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75" windowWidth="22035" windowHeight="11055" tabRatio="689"/>
  </bookViews>
  <sheets>
    <sheet name="New in Version 4" sheetId="3" r:id="rId1"/>
    <sheet name="Updated in Version 4" sheetId="4" r:id="rId2"/>
    <sheet name="Removed from Version 4" sheetId="5" r:id="rId3"/>
    <sheet name="New Associations" sheetId="6" r:id="rId4"/>
    <sheet name="All - By Name" sheetId="2" r:id="rId5"/>
    <sheet name="All - By Domain Entity" sheetId="7" r:id="rId6"/>
    <sheet name="Extend Elements" sheetId="8" r:id="rId7"/>
  </sheets>
  <definedNames>
    <definedName name="_xlnm._FilterDatabase" localSheetId="5" hidden="1">'All - By Domain Entity'!$A$1:$P$1</definedName>
    <definedName name="_xlnm._FilterDatabase" localSheetId="4" hidden="1">'All - By Name'!$A$1:$N$1349</definedName>
    <definedName name="_xlnm._FilterDatabase" localSheetId="3" hidden="1">'New Associations'!$A$1:$O$70</definedName>
    <definedName name="_xlnm._FilterDatabase" localSheetId="0" hidden="1">'New in Version 4'!$A$1:$N$237</definedName>
    <definedName name="_xlnm._FilterDatabase" localSheetId="2" hidden="1">'Removed from Version 4'!$A$1:$O$13</definedName>
    <definedName name="_xlnm._FilterDatabase" localSheetId="1" hidden="1">'Updated in Version 4'!$A$1:$O$86</definedName>
  </definedNames>
  <calcPr calcId="125725"/>
</workbook>
</file>

<file path=xl/calcChain.xml><?xml version="1.0" encoding="utf-8"?>
<calcChain xmlns="http://schemas.openxmlformats.org/spreadsheetml/2006/main">
  <c r="P2963" i="7"/>
  <c r="O2963"/>
  <c r="P2962"/>
  <c r="O2962"/>
  <c r="P2961"/>
  <c r="O2961"/>
  <c r="P2960"/>
  <c r="O2960"/>
  <c r="P2959"/>
  <c r="O2959"/>
  <c r="P2958"/>
  <c r="O2958"/>
  <c r="P2957"/>
  <c r="O2957"/>
  <c r="P2956"/>
  <c r="O2956"/>
  <c r="P2955"/>
  <c r="O2955"/>
  <c r="P2954"/>
  <c r="O2954"/>
  <c r="P2953"/>
  <c r="O2953"/>
  <c r="P2952"/>
  <c r="O2952"/>
  <c r="P2951"/>
  <c r="O2951"/>
  <c r="P2950"/>
  <c r="O2950"/>
  <c r="P2949"/>
  <c r="O2949"/>
  <c r="P2948"/>
  <c r="O2948"/>
  <c r="P2947"/>
  <c r="O2947"/>
  <c r="P2945"/>
  <c r="O2945"/>
  <c r="P2944"/>
  <c r="O2944"/>
  <c r="P2943"/>
  <c r="O2943"/>
  <c r="P2942"/>
  <c r="O2942"/>
  <c r="P2941"/>
  <c r="O2941"/>
  <c r="P2940"/>
  <c r="O2940"/>
  <c r="P2939"/>
  <c r="O2939"/>
  <c r="P2938"/>
  <c r="O2938"/>
  <c r="P2937"/>
  <c r="O2937"/>
  <c r="P2936"/>
  <c r="O2936"/>
  <c r="P2935"/>
  <c r="O2935"/>
  <c r="P2934"/>
  <c r="O2934"/>
  <c r="P2933"/>
  <c r="O2933"/>
  <c r="P2932"/>
  <c r="O2932"/>
  <c r="P2931"/>
  <c r="O2931"/>
  <c r="P2930"/>
  <c r="O2930"/>
  <c r="P2929"/>
  <c r="O2929"/>
  <c r="P2928"/>
  <c r="O2928"/>
  <c r="P2927"/>
  <c r="O2927"/>
  <c r="P2926"/>
  <c r="O2926"/>
  <c r="P2925"/>
  <c r="O2925"/>
  <c r="P2924"/>
  <c r="O2924"/>
  <c r="P2923"/>
  <c r="O2923"/>
  <c r="P2922"/>
  <c r="O2922"/>
  <c r="P2921"/>
  <c r="O2921"/>
  <c r="P2920"/>
  <c r="O2920"/>
  <c r="P2919"/>
  <c r="O2919"/>
  <c r="P2918"/>
  <c r="O2918"/>
  <c r="P2917"/>
  <c r="O2917"/>
  <c r="P2916"/>
  <c r="O2916"/>
  <c r="P2915"/>
  <c r="O2915"/>
  <c r="P2914"/>
  <c r="O2914"/>
  <c r="P2913"/>
  <c r="O2913"/>
  <c r="P2912"/>
  <c r="O2912"/>
  <c r="P2911"/>
  <c r="O2911"/>
  <c r="P2910"/>
  <c r="O2910"/>
  <c r="P2909"/>
  <c r="O2909"/>
  <c r="P2908"/>
  <c r="O2908"/>
  <c r="P2907"/>
  <c r="O2907"/>
  <c r="P2906"/>
  <c r="O2906"/>
  <c r="P2905"/>
  <c r="O2905"/>
  <c r="P2904"/>
  <c r="O2904"/>
  <c r="P2903"/>
  <c r="O2903"/>
  <c r="P2902"/>
  <c r="O2902"/>
  <c r="P2901"/>
  <c r="O2901"/>
  <c r="P2900"/>
  <c r="O2900"/>
  <c r="P2899"/>
  <c r="O2899"/>
  <c r="P2898"/>
  <c r="O2898"/>
  <c r="P2897"/>
  <c r="O2897"/>
  <c r="P2895"/>
  <c r="O2895"/>
  <c r="P2894"/>
  <c r="O2894"/>
  <c r="P2893"/>
  <c r="O2893"/>
  <c r="P2892"/>
  <c r="O2892"/>
  <c r="P2891"/>
  <c r="O2891"/>
  <c r="P2890"/>
  <c r="O2890"/>
  <c r="P2889"/>
  <c r="O2889"/>
  <c r="P2888"/>
  <c r="O2888"/>
  <c r="P2887"/>
  <c r="O2887"/>
  <c r="P2886"/>
  <c r="O2886"/>
  <c r="P2885"/>
  <c r="O2885"/>
  <c r="P2884"/>
  <c r="O2884"/>
  <c r="P2883"/>
  <c r="O2883"/>
  <c r="P2882"/>
  <c r="O2882"/>
  <c r="P2881"/>
  <c r="O2881"/>
  <c r="P2880"/>
  <c r="O2880"/>
  <c r="P2879"/>
  <c r="O2879"/>
  <c r="P2878"/>
  <c r="O2878"/>
  <c r="P2877"/>
  <c r="O2877"/>
  <c r="P2876"/>
  <c r="O2876"/>
  <c r="P2875"/>
  <c r="O2875"/>
  <c r="P2874"/>
  <c r="O2874"/>
  <c r="P2873"/>
  <c r="O2873"/>
  <c r="P2872"/>
  <c r="O2872"/>
  <c r="P2871"/>
  <c r="O2871"/>
  <c r="P2870"/>
  <c r="O2870"/>
  <c r="P2869"/>
  <c r="O2869"/>
  <c r="P2868"/>
  <c r="O2868"/>
  <c r="P2867"/>
  <c r="O2867"/>
  <c r="P2866"/>
  <c r="O2866"/>
  <c r="P2865"/>
  <c r="O2865"/>
  <c r="P2864"/>
  <c r="O2864"/>
  <c r="P2863"/>
  <c r="O2863"/>
  <c r="P2862"/>
  <c r="O2862"/>
  <c r="P2861"/>
  <c r="O2861"/>
  <c r="P2860"/>
  <c r="O2860"/>
  <c r="P2859"/>
  <c r="O2859"/>
  <c r="P2858"/>
  <c r="O2858"/>
  <c r="P2857"/>
  <c r="O2857"/>
  <c r="P2856"/>
  <c r="O2856"/>
  <c r="P2855"/>
  <c r="O2855"/>
  <c r="P2854"/>
  <c r="O2854"/>
  <c r="P2853"/>
  <c r="O2853"/>
  <c r="P2852"/>
  <c r="O2852"/>
  <c r="P2851"/>
  <c r="O2851"/>
  <c r="P2850"/>
  <c r="O2850"/>
  <c r="P2849"/>
  <c r="O2849"/>
  <c r="P2848"/>
  <c r="O2848"/>
  <c r="P2847"/>
  <c r="O2847"/>
  <c r="P2846"/>
  <c r="O2846"/>
  <c r="P2845"/>
  <c r="O2845"/>
  <c r="P2844"/>
  <c r="O2844"/>
  <c r="P2843"/>
  <c r="O2843"/>
  <c r="P2842"/>
  <c r="O2842"/>
  <c r="P2841"/>
  <c r="O2841"/>
  <c r="P2840"/>
  <c r="O2840"/>
  <c r="P2839"/>
  <c r="O2839"/>
  <c r="P2838"/>
  <c r="O2838"/>
  <c r="P2837"/>
  <c r="O2837"/>
  <c r="P2836"/>
  <c r="O2836"/>
  <c r="P2835"/>
  <c r="O2835"/>
  <c r="P2834"/>
  <c r="O2834"/>
  <c r="P2833"/>
  <c r="O2833"/>
  <c r="P2832"/>
  <c r="O2832"/>
  <c r="P2831"/>
  <c r="O2831"/>
  <c r="P2830"/>
  <c r="O2830"/>
  <c r="P2829"/>
  <c r="O2829"/>
  <c r="P2828"/>
  <c r="O2828"/>
  <c r="P2827"/>
  <c r="O2827"/>
  <c r="P2826"/>
  <c r="O2826"/>
  <c r="P2825"/>
  <c r="O2825"/>
  <c r="P2824"/>
  <c r="O2824"/>
  <c r="P2823"/>
  <c r="O2823"/>
  <c r="P2822"/>
  <c r="O2822"/>
  <c r="P2821"/>
  <c r="O2821"/>
  <c r="P2820"/>
  <c r="O2820"/>
  <c r="P2819"/>
  <c r="O2819"/>
  <c r="P2818"/>
  <c r="O2818"/>
  <c r="P2817"/>
  <c r="O2817"/>
  <c r="P2816"/>
  <c r="O2816"/>
  <c r="P2815"/>
  <c r="O2815"/>
  <c r="P2814"/>
  <c r="O2814"/>
  <c r="P2813"/>
  <c r="O2813"/>
  <c r="P2812"/>
  <c r="O2812"/>
  <c r="P2811"/>
  <c r="O2811"/>
  <c r="P2810"/>
  <c r="O2810"/>
  <c r="P2809"/>
  <c r="O2809"/>
  <c r="P2808"/>
  <c r="O2808"/>
  <c r="P2806"/>
  <c r="O2806"/>
  <c r="P2805"/>
  <c r="O2805"/>
  <c r="P2804"/>
  <c r="O2804"/>
  <c r="P2803"/>
  <c r="O2803"/>
  <c r="P2802"/>
  <c r="O2802"/>
  <c r="P2801"/>
  <c r="O2801"/>
  <c r="P2800"/>
  <c r="O2800"/>
  <c r="P2799"/>
  <c r="O2799"/>
  <c r="P2798"/>
  <c r="O2798"/>
  <c r="P2797"/>
  <c r="O2797"/>
  <c r="P2796"/>
  <c r="O2796"/>
  <c r="P2795"/>
  <c r="O2795"/>
  <c r="P2794"/>
  <c r="O2794"/>
  <c r="P2793"/>
  <c r="O2793"/>
  <c r="P2792"/>
  <c r="O2792"/>
  <c r="P2791"/>
  <c r="O2791"/>
  <c r="P2790"/>
  <c r="O2790"/>
  <c r="P2789"/>
  <c r="O2789"/>
  <c r="P2788"/>
  <c r="O2788"/>
  <c r="P2787"/>
  <c r="O2787"/>
  <c r="P2786"/>
  <c r="O2786"/>
  <c r="P2785"/>
  <c r="O2785"/>
  <c r="P2784"/>
  <c r="O2784"/>
  <c r="P2783"/>
  <c r="O2783"/>
  <c r="P2782"/>
  <c r="O2782"/>
  <c r="P2781"/>
  <c r="O2781"/>
  <c r="P2780"/>
  <c r="O2780"/>
  <c r="P2779"/>
  <c r="O2779"/>
  <c r="P2778"/>
  <c r="O2778"/>
  <c r="P2777"/>
  <c r="O2777"/>
  <c r="P2776"/>
  <c r="O2776"/>
  <c r="P2775"/>
  <c r="O2775"/>
  <c r="P2774"/>
  <c r="O2774"/>
  <c r="P2773"/>
  <c r="O2773"/>
  <c r="P2772"/>
  <c r="O2772"/>
  <c r="P2771"/>
  <c r="O2771"/>
  <c r="P2770"/>
  <c r="O2770"/>
  <c r="P2769"/>
  <c r="O2769"/>
  <c r="P2768"/>
  <c r="O2768"/>
  <c r="P2767"/>
  <c r="O2767"/>
  <c r="P2766"/>
  <c r="O2766"/>
  <c r="P2765"/>
  <c r="O2765"/>
  <c r="P2764"/>
  <c r="O2764"/>
  <c r="P2763"/>
  <c r="O2763"/>
  <c r="P2762"/>
  <c r="O2762"/>
  <c r="P2761"/>
  <c r="O2761"/>
  <c r="P2760"/>
  <c r="O2760"/>
  <c r="P2759"/>
  <c r="O2759"/>
  <c r="P2758"/>
  <c r="O2758"/>
  <c r="P2757"/>
  <c r="O2757"/>
  <c r="P2756"/>
  <c r="O2756"/>
  <c r="P2755"/>
  <c r="O2755"/>
  <c r="P2754"/>
  <c r="O2754"/>
  <c r="P2753"/>
  <c r="O2753"/>
  <c r="P2752"/>
  <c r="O2752"/>
  <c r="P2751"/>
  <c r="O2751"/>
  <c r="P2750"/>
  <c r="O2750"/>
  <c r="P2749"/>
  <c r="O2749"/>
  <c r="P2748"/>
  <c r="O2748"/>
  <c r="P2747"/>
  <c r="O2747"/>
  <c r="P2746"/>
  <c r="O2746"/>
  <c r="P2745"/>
  <c r="O2745"/>
  <c r="P2744"/>
  <c r="O2744"/>
  <c r="P2743"/>
  <c r="O2743"/>
  <c r="P2742"/>
  <c r="O2742"/>
  <c r="P2741"/>
  <c r="O2741"/>
  <c r="P2740"/>
  <c r="O2740"/>
  <c r="P2739"/>
  <c r="O2739"/>
  <c r="P2738"/>
  <c r="O2738"/>
  <c r="P2737"/>
  <c r="O2737"/>
  <c r="P2736"/>
  <c r="O2736"/>
  <c r="P2735"/>
  <c r="O2735"/>
  <c r="P2734"/>
  <c r="O2734"/>
  <c r="P2733"/>
  <c r="O2733"/>
  <c r="P2732"/>
  <c r="O2732"/>
  <c r="P2731"/>
  <c r="O2731"/>
  <c r="P2730"/>
  <c r="O2730"/>
  <c r="P2729"/>
  <c r="O2729"/>
  <c r="P2728"/>
  <c r="O2728"/>
  <c r="P2727"/>
  <c r="O2727"/>
  <c r="P2726"/>
  <c r="O2726"/>
  <c r="P2725"/>
  <c r="O2725"/>
  <c r="P2724"/>
  <c r="O2724"/>
  <c r="P2723"/>
  <c r="O2723"/>
  <c r="P2722"/>
  <c r="O2722"/>
  <c r="P2721"/>
  <c r="O2721"/>
  <c r="P2720"/>
  <c r="O2720"/>
  <c r="P2719"/>
  <c r="O2719"/>
  <c r="P2718"/>
  <c r="O2718"/>
  <c r="P2717"/>
  <c r="O2717"/>
  <c r="P2716"/>
  <c r="O2716"/>
  <c r="P2715"/>
  <c r="O2715"/>
  <c r="P2714"/>
  <c r="O2714"/>
  <c r="P2713"/>
  <c r="O2713"/>
  <c r="P2712"/>
  <c r="O2712"/>
  <c r="P2711"/>
  <c r="O2711"/>
  <c r="P2710"/>
  <c r="O2710"/>
  <c r="P2709"/>
  <c r="O2709"/>
  <c r="P2708"/>
  <c r="O2708"/>
  <c r="P2707"/>
  <c r="O2707"/>
  <c r="P2706"/>
  <c r="O2706"/>
  <c r="P2705"/>
  <c r="O2705"/>
  <c r="P2704"/>
  <c r="O2704"/>
  <c r="P2703"/>
  <c r="O2703"/>
  <c r="P2702"/>
  <c r="O2702"/>
  <c r="P2701"/>
  <c r="O2701"/>
  <c r="P2700"/>
  <c r="O2700"/>
  <c r="P2699"/>
  <c r="O2699"/>
  <c r="P2698"/>
  <c r="O2698"/>
  <c r="P2697"/>
  <c r="O2697"/>
  <c r="P2696"/>
  <c r="O2696"/>
  <c r="P2695"/>
  <c r="O2695"/>
  <c r="P2694"/>
  <c r="O2694"/>
  <c r="P2693"/>
  <c r="O2693"/>
  <c r="P2692"/>
  <c r="O2692"/>
  <c r="P2691"/>
  <c r="O2691"/>
  <c r="P2690"/>
  <c r="O2690"/>
  <c r="P2689"/>
  <c r="O2689"/>
  <c r="P2688"/>
  <c r="O2688"/>
  <c r="P2687"/>
  <c r="O2687"/>
  <c r="P2686"/>
  <c r="O2686"/>
  <c r="P2685"/>
  <c r="O2685"/>
  <c r="P2684"/>
  <c r="O2684"/>
  <c r="P2683"/>
  <c r="O2683"/>
  <c r="P2682"/>
  <c r="O2682"/>
  <c r="P2681"/>
  <c r="O2681"/>
  <c r="P2680"/>
  <c r="O2680"/>
  <c r="P2679"/>
  <c r="O2679"/>
  <c r="P2678"/>
  <c r="O2678"/>
  <c r="P2677"/>
  <c r="O2677"/>
  <c r="P2676"/>
  <c r="O2676"/>
  <c r="P2675"/>
  <c r="O2675"/>
  <c r="P2674"/>
  <c r="O2674"/>
  <c r="P2673"/>
  <c r="O2673"/>
  <c r="P2672"/>
  <c r="O2672"/>
  <c r="P2671"/>
  <c r="O2671"/>
  <c r="P2670"/>
  <c r="O2670"/>
  <c r="P2669"/>
  <c r="O2669"/>
  <c r="P2668"/>
  <c r="O2668"/>
  <c r="P2667"/>
  <c r="O2667"/>
  <c r="P2666"/>
  <c r="O2666"/>
  <c r="P2665"/>
  <c r="O2665"/>
  <c r="P2664"/>
  <c r="O2664"/>
  <c r="P2663"/>
  <c r="O2663"/>
  <c r="P2662"/>
  <c r="O2662"/>
  <c r="P2661"/>
  <c r="O2661"/>
  <c r="P2660"/>
  <c r="O2660"/>
  <c r="P2659"/>
  <c r="O2659"/>
  <c r="P2658"/>
  <c r="O2658"/>
  <c r="P2657"/>
  <c r="O2657"/>
  <c r="P2656"/>
  <c r="O2656"/>
  <c r="P2655"/>
  <c r="O2655"/>
  <c r="P2654"/>
  <c r="O2654"/>
  <c r="P2653"/>
  <c r="O2653"/>
  <c r="P2652"/>
  <c r="O2652"/>
  <c r="P2651"/>
  <c r="O2651"/>
  <c r="P2650"/>
  <c r="O2650"/>
  <c r="P2649"/>
  <c r="O2649"/>
  <c r="P2648"/>
  <c r="O2648"/>
  <c r="P2647"/>
  <c r="O2647"/>
  <c r="P2646"/>
  <c r="O2646"/>
  <c r="P2645"/>
  <c r="O2645"/>
  <c r="P2644"/>
  <c r="O2644"/>
  <c r="P2643"/>
  <c r="O2643"/>
  <c r="P2642"/>
  <c r="O2642"/>
  <c r="P2641"/>
  <c r="O2641"/>
  <c r="P2640"/>
  <c r="O2640"/>
  <c r="P2639"/>
  <c r="O2639"/>
  <c r="P2638"/>
  <c r="O2638"/>
  <c r="P2637"/>
  <c r="O2637"/>
  <c r="P2636"/>
  <c r="O2636"/>
  <c r="P2635"/>
  <c r="O2635"/>
  <c r="P2634"/>
  <c r="O2634"/>
  <c r="P2633"/>
  <c r="O2633"/>
  <c r="P2632"/>
  <c r="O2632"/>
  <c r="P2631"/>
  <c r="O2631"/>
  <c r="P2630"/>
  <c r="O2630"/>
  <c r="P2629"/>
  <c r="O2629"/>
  <c r="P2628"/>
  <c r="O2628"/>
  <c r="P2627"/>
  <c r="O2627"/>
  <c r="P2626"/>
  <c r="O2626"/>
  <c r="P2625"/>
  <c r="O2625"/>
  <c r="P2624"/>
  <c r="O2624"/>
  <c r="P2623"/>
  <c r="O2623"/>
  <c r="P2622"/>
  <c r="O2622"/>
  <c r="P2621"/>
  <c r="O2621"/>
  <c r="P2620"/>
  <c r="O2620"/>
  <c r="P2619"/>
  <c r="O2619"/>
  <c r="P2618"/>
  <c r="O2618"/>
  <c r="P2617"/>
  <c r="O2617"/>
  <c r="P2616"/>
  <c r="O2616"/>
  <c r="P2615"/>
  <c r="O2615"/>
  <c r="P2614"/>
  <c r="O2614"/>
  <c r="P2613"/>
  <c r="O2613"/>
  <c r="P2612"/>
  <c r="O2612"/>
  <c r="P2611"/>
  <c r="O2611"/>
  <c r="P2610"/>
  <c r="O2610"/>
  <c r="P2609"/>
  <c r="O2609"/>
  <c r="P2608"/>
  <c r="O2608"/>
  <c r="P2607"/>
  <c r="O2607"/>
  <c r="P2606"/>
  <c r="O2606"/>
  <c r="P2605"/>
  <c r="O2605"/>
  <c r="P2604"/>
  <c r="O2604"/>
  <c r="P2603"/>
  <c r="O2603"/>
  <c r="P2602"/>
  <c r="O2602"/>
  <c r="P2601"/>
  <c r="O2601"/>
  <c r="P2600"/>
  <c r="O2600"/>
  <c r="P2599"/>
  <c r="O2599"/>
  <c r="P2598"/>
  <c r="O2598"/>
  <c r="P2597"/>
  <c r="O2597"/>
  <c r="P2596"/>
  <c r="O2596"/>
  <c r="P2595"/>
  <c r="O2595"/>
  <c r="P2594"/>
  <c r="O2594"/>
  <c r="P2593"/>
  <c r="O2593"/>
  <c r="P2592"/>
  <c r="O2592"/>
  <c r="P2591"/>
  <c r="O2591"/>
  <c r="P2590"/>
  <c r="O2590"/>
  <c r="P2589"/>
  <c r="O2589"/>
  <c r="P2588"/>
  <c r="O2588"/>
  <c r="P2587"/>
  <c r="O2587"/>
  <c r="P2586"/>
  <c r="O2586"/>
  <c r="P2585"/>
  <c r="O2585"/>
  <c r="P2584"/>
  <c r="O2584"/>
  <c r="P2583"/>
  <c r="O2583"/>
  <c r="P2582"/>
  <c r="O2582"/>
  <c r="P2581"/>
  <c r="O2581"/>
  <c r="P2580"/>
  <c r="O2580"/>
  <c r="P2579"/>
  <c r="O2579"/>
  <c r="P2578"/>
  <c r="O2578"/>
  <c r="P2577"/>
  <c r="O2577"/>
  <c r="P2576"/>
  <c r="O2576"/>
  <c r="P2575"/>
  <c r="O2575"/>
  <c r="P2574"/>
  <c r="O2574"/>
  <c r="P2573"/>
  <c r="O2573"/>
  <c r="P2572"/>
  <c r="O2572"/>
  <c r="P2571"/>
  <c r="O2571"/>
  <c r="P2570"/>
  <c r="O2570"/>
  <c r="P2569"/>
  <c r="O2569"/>
  <c r="P2568"/>
  <c r="O2568"/>
  <c r="P2567"/>
  <c r="O2567"/>
  <c r="P2566"/>
  <c r="O2566"/>
  <c r="P2565"/>
  <c r="O2565"/>
  <c r="P2564"/>
  <c r="O2564"/>
  <c r="P2563"/>
  <c r="O2563"/>
  <c r="P2562"/>
  <c r="O2562"/>
  <c r="P2561"/>
  <c r="O2561"/>
  <c r="P2560"/>
  <c r="O2560"/>
  <c r="P2559"/>
  <c r="O2559"/>
  <c r="P2558"/>
  <c r="O2558"/>
  <c r="P2557"/>
  <c r="O2557"/>
  <c r="P2556"/>
  <c r="O2556"/>
  <c r="P2555"/>
  <c r="O2555"/>
  <c r="P2554"/>
  <c r="O2554"/>
  <c r="P2553"/>
  <c r="O2553"/>
  <c r="P2552"/>
  <c r="O2552"/>
  <c r="P2551"/>
  <c r="O2551"/>
  <c r="P2550"/>
  <c r="O2550"/>
  <c r="P2549"/>
  <c r="O2549"/>
  <c r="P2548"/>
  <c r="O2548"/>
  <c r="P2547"/>
  <c r="O2547"/>
  <c r="P2546"/>
  <c r="O2546"/>
  <c r="P2545"/>
  <c r="O2545"/>
  <c r="P2544"/>
  <c r="O2544"/>
  <c r="P2543"/>
  <c r="O2543"/>
  <c r="P2542"/>
  <c r="O2542"/>
  <c r="P2541"/>
  <c r="O2541"/>
  <c r="P2540"/>
  <c r="O2540"/>
  <c r="P2539"/>
  <c r="O2539"/>
  <c r="P2538"/>
  <c r="O2538"/>
  <c r="P2537"/>
  <c r="O2537"/>
  <c r="P2536"/>
  <c r="O2536"/>
  <c r="P2535"/>
  <c r="O2535"/>
  <c r="P2534"/>
  <c r="O2534"/>
  <c r="P2533"/>
  <c r="O2533"/>
  <c r="P2532"/>
  <c r="O2532"/>
  <c r="P2531"/>
  <c r="O2531"/>
  <c r="P2530"/>
  <c r="O2530"/>
  <c r="P2529"/>
  <c r="O2529"/>
  <c r="P2528"/>
  <c r="O2528"/>
  <c r="P2527"/>
  <c r="O2527"/>
  <c r="P2526"/>
  <c r="O2526"/>
  <c r="P2525"/>
  <c r="O2525"/>
  <c r="P2524"/>
  <c r="O2524"/>
  <c r="P2523"/>
  <c r="O2523"/>
  <c r="P2522"/>
  <c r="O2522"/>
  <c r="P2521"/>
  <c r="O2521"/>
  <c r="P2520"/>
  <c r="O2520"/>
  <c r="P2519"/>
  <c r="O2519"/>
  <c r="P2518"/>
  <c r="O2518"/>
  <c r="P2517"/>
  <c r="O2517"/>
  <c r="P2516"/>
  <c r="O2516"/>
  <c r="P2515"/>
  <c r="O2515"/>
  <c r="P2514"/>
  <c r="O2514"/>
  <c r="P2513"/>
  <c r="O2513"/>
  <c r="P2512"/>
  <c r="O2512"/>
  <c r="P2511"/>
  <c r="O2511"/>
  <c r="P2510"/>
  <c r="O2510"/>
  <c r="P2509"/>
  <c r="O2509"/>
  <c r="P2508"/>
  <c r="O2508"/>
  <c r="P2507"/>
  <c r="O2507"/>
  <c r="P2506"/>
  <c r="O2506"/>
  <c r="P2505"/>
  <c r="O2505"/>
  <c r="P2504"/>
  <c r="O2504"/>
  <c r="P2503"/>
  <c r="O2503"/>
  <c r="P2502"/>
  <c r="O2502"/>
  <c r="P2501"/>
  <c r="O2501"/>
  <c r="P2500"/>
  <c r="O2500"/>
  <c r="P2499"/>
  <c r="O2499"/>
  <c r="P2498"/>
  <c r="O2498"/>
  <c r="P2497"/>
  <c r="O2497"/>
  <c r="P2496"/>
  <c r="O2496"/>
  <c r="P2495"/>
  <c r="O2495"/>
  <c r="P2494"/>
  <c r="O2494"/>
  <c r="P2493"/>
  <c r="O2493"/>
  <c r="P2492"/>
  <c r="O2492"/>
  <c r="P2491"/>
  <c r="O2491"/>
  <c r="P2490"/>
  <c r="O2490"/>
  <c r="P2489"/>
  <c r="O2489"/>
  <c r="P2488"/>
  <c r="O2488"/>
  <c r="P2487"/>
  <c r="O2487"/>
  <c r="P2486"/>
  <c r="O2486"/>
  <c r="P2485"/>
  <c r="O2485"/>
  <c r="P2484"/>
  <c r="O2484"/>
  <c r="P2483"/>
  <c r="O2483"/>
  <c r="P2482"/>
  <c r="O2482"/>
  <c r="P2481"/>
  <c r="O2481"/>
  <c r="P2480"/>
  <c r="O2480"/>
  <c r="P2479"/>
  <c r="O2479"/>
  <c r="P2478"/>
  <c r="O2478"/>
  <c r="P2477"/>
  <c r="O2477"/>
  <c r="P2476"/>
  <c r="O2476"/>
  <c r="P2475"/>
  <c r="O2475"/>
  <c r="P2474"/>
  <c r="O2474"/>
  <c r="P2473"/>
  <c r="O2473"/>
  <c r="P2472"/>
  <c r="O2472"/>
  <c r="P2471"/>
  <c r="O2471"/>
  <c r="P2470"/>
  <c r="O2470"/>
  <c r="P2469"/>
  <c r="O2469"/>
  <c r="P2468"/>
  <c r="O2468"/>
  <c r="P2467"/>
  <c r="O2467"/>
  <c r="P2466"/>
  <c r="O2466"/>
  <c r="P2465"/>
  <c r="O2465"/>
  <c r="P2464"/>
  <c r="O2464"/>
  <c r="P2463"/>
  <c r="O2463"/>
  <c r="P2462"/>
  <c r="O2462"/>
  <c r="P2461"/>
  <c r="O2461"/>
  <c r="P2460"/>
  <c r="O2460"/>
  <c r="P2459"/>
  <c r="O2459"/>
  <c r="P2458"/>
  <c r="O2458"/>
  <c r="P2457"/>
  <c r="O2457"/>
  <c r="P2456"/>
  <c r="O2456"/>
  <c r="P2455"/>
  <c r="O2455"/>
  <c r="P2454"/>
  <c r="O2454"/>
  <c r="P2453"/>
  <c r="O2453"/>
  <c r="P2452"/>
  <c r="O2452"/>
  <c r="P2451"/>
  <c r="O2451"/>
  <c r="P2450"/>
  <c r="O2450"/>
  <c r="P2449"/>
  <c r="O2449"/>
  <c r="P2448"/>
  <c r="O2448"/>
  <c r="P2447"/>
  <c r="O2447"/>
  <c r="P2446"/>
  <c r="O2446"/>
  <c r="P2445"/>
  <c r="O2445"/>
  <c r="P2444"/>
  <c r="O2444"/>
  <c r="P2443"/>
  <c r="O2443"/>
  <c r="P2442"/>
  <c r="O2442"/>
  <c r="P2441"/>
  <c r="O2441"/>
  <c r="P2440"/>
  <c r="O2440"/>
  <c r="P2439"/>
  <c r="O2439"/>
  <c r="P2438"/>
  <c r="O2438"/>
  <c r="P2437"/>
  <c r="O2437"/>
  <c r="P2436"/>
  <c r="O2436"/>
  <c r="P2435"/>
  <c r="O2435"/>
  <c r="P2434"/>
  <c r="O2434"/>
  <c r="P2433"/>
  <c r="O2433"/>
  <c r="P2432"/>
  <c r="O2432"/>
  <c r="P2431"/>
  <c r="O2431"/>
  <c r="P2430"/>
  <c r="O2430"/>
  <c r="P2429"/>
  <c r="O2429"/>
  <c r="P2428"/>
  <c r="O2428"/>
  <c r="P2427"/>
  <c r="O2427"/>
  <c r="P2426"/>
  <c r="O2426"/>
  <c r="P2425"/>
  <c r="O2425"/>
  <c r="P2424"/>
  <c r="O2424"/>
  <c r="P2423"/>
  <c r="O2423"/>
  <c r="P2422"/>
  <c r="O2422"/>
  <c r="P2421"/>
  <c r="O2421"/>
  <c r="P2420"/>
  <c r="O2420"/>
  <c r="P2419"/>
  <c r="O2419"/>
  <c r="P2418"/>
  <c r="O2418"/>
  <c r="P2417"/>
  <c r="O2417"/>
  <c r="P2416"/>
  <c r="O2416"/>
  <c r="P2415"/>
  <c r="O2415"/>
  <c r="P2414"/>
  <c r="O2414"/>
  <c r="P2413"/>
  <c r="O2413"/>
  <c r="P2412"/>
  <c r="O2412"/>
  <c r="P2411"/>
  <c r="O2411"/>
  <c r="P2410"/>
  <c r="O2410"/>
  <c r="P2409"/>
  <c r="O2409"/>
  <c r="P2408"/>
  <c r="O2408"/>
  <c r="P2407"/>
  <c r="O2407"/>
  <c r="P2406"/>
  <c r="O2406"/>
  <c r="P2405"/>
  <c r="O2405"/>
  <c r="P2404"/>
  <c r="O2404"/>
  <c r="P2403"/>
  <c r="O2403"/>
  <c r="P2402"/>
  <c r="O2402"/>
  <c r="P2401"/>
  <c r="O2401"/>
  <c r="P2400"/>
  <c r="O2400"/>
  <c r="P2399"/>
  <c r="O2399"/>
  <c r="P2398"/>
  <c r="O2398"/>
  <c r="P2397"/>
  <c r="O2397"/>
  <c r="P2396"/>
  <c r="O2396"/>
  <c r="P2395"/>
  <c r="O2395"/>
  <c r="P2394"/>
  <c r="O2394"/>
  <c r="P2393"/>
  <c r="O2393"/>
  <c r="P2392"/>
  <c r="O2392"/>
  <c r="P2391"/>
  <c r="O2391"/>
  <c r="P2390"/>
  <c r="O2390"/>
  <c r="P2389"/>
  <c r="O2389"/>
  <c r="P2388"/>
  <c r="O2388"/>
  <c r="P2387"/>
  <c r="O2387"/>
  <c r="P2386"/>
  <c r="O2386"/>
  <c r="P2385"/>
  <c r="O2385"/>
  <c r="P2384"/>
  <c r="O2384"/>
  <c r="P2383"/>
  <c r="O2383"/>
  <c r="P2382"/>
  <c r="O2382"/>
  <c r="P2381"/>
  <c r="O2381"/>
  <c r="P2380"/>
  <c r="O2380"/>
  <c r="P2379"/>
  <c r="O2379"/>
  <c r="P2378"/>
  <c r="O2378"/>
  <c r="P2377"/>
  <c r="O2377"/>
  <c r="P2376"/>
  <c r="O2376"/>
  <c r="P2375"/>
  <c r="O2375"/>
  <c r="P2374"/>
  <c r="O2374"/>
  <c r="P2373"/>
  <c r="O2373"/>
  <c r="P2372"/>
  <c r="O2372"/>
  <c r="P2371"/>
  <c r="O2371"/>
  <c r="P2370"/>
  <c r="O2370"/>
  <c r="P2369"/>
  <c r="O2369"/>
  <c r="P2368"/>
  <c r="O2368"/>
  <c r="P2367"/>
  <c r="O2367"/>
  <c r="P2366"/>
  <c r="O2366"/>
  <c r="P2365"/>
  <c r="O2365"/>
  <c r="P2364"/>
  <c r="O2364"/>
  <c r="P2363"/>
  <c r="O2363"/>
  <c r="P2362"/>
  <c r="O2362"/>
  <c r="P2361"/>
  <c r="O2361"/>
  <c r="P2360"/>
  <c r="O2360"/>
  <c r="P2359"/>
  <c r="O2359"/>
  <c r="P2358"/>
  <c r="O2358"/>
  <c r="P2357"/>
  <c r="O2357"/>
  <c r="P2356"/>
  <c r="O2356"/>
  <c r="P2355"/>
  <c r="O2355"/>
  <c r="P2354"/>
  <c r="O2354"/>
  <c r="P2353"/>
  <c r="O2353"/>
  <c r="P2352"/>
  <c r="O2352"/>
  <c r="P2351"/>
  <c r="O2351"/>
  <c r="P2350"/>
  <c r="O2350"/>
  <c r="P2349"/>
  <c r="O2349"/>
  <c r="P2348"/>
  <c r="O2348"/>
  <c r="P2347"/>
  <c r="O2347"/>
  <c r="P2346"/>
  <c r="O2346"/>
  <c r="P2345"/>
  <c r="O2345"/>
  <c r="P2344"/>
  <c r="O2344"/>
  <c r="P2343"/>
  <c r="O2343"/>
  <c r="P2342"/>
  <c r="O2342"/>
  <c r="P2341"/>
  <c r="O2341"/>
  <c r="P2340"/>
  <c r="O2340"/>
  <c r="P2339"/>
  <c r="O2339"/>
  <c r="P2338"/>
  <c r="O2338"/>
  <c r="P2337"/>
  <c r="O2337"/>
  <c r="P2336"/>
  <c r="O2336"/>
  <c r="P2335"/>
  <c r="O2335"/>
  <c r="P2334"/>
  <c r="O2334"/>
  <c r="P2333"/>
  <c r="O2333"/>
  <c r="P2332"/>
  <c r="O2332"/>
  <c r="P2331"/>
  <c r="O2331"/>
  <c r="P2330"/>
  <c r="O2330"/>
  <c r="P2329"/>
  <c r="O2329"/>
  <c r="P2328"/>
  <c r="O2328"/>
  <c r="P2327"/>
  <c r="O2327"/>
  <c r="P2326"/>
  <c r="O2326"/>
  <c r="P2325"/>
  <c r="O2325"/>
  <c r="P2324"/>
  <c r="O2324"/>
  <c r="P2323"/>
  <c r="O2323"/>
  <c r="P2322"/>
  <c r="O2322"/>
  <c r="P2321"/>
  <c r="O2321"/>
  <c r="P2320"/>
  <c r="O2320"/>
  <c r="P2319"/>
  <c r="O2319"/>
  <c r="P2318"/>
  <c r="O2318"/>
  <c r="P2317"/>
  <c r="O2317"/>
  <c r="P2316"/>
  <c r="O2316"/>
  <c r="P2315"/>
  <c r="O2315"/>
  <c r="P2314"/>
  <c r="O2314"/>
  <c r="P2313"/>
  <c r="O2313"/>
  <c r="P2312"/>
  <c r="O2312"/>
  <c r="P2311"/>
  <c r="O2311"/>
  <c r="P2310"/>
  <c r="O2310"/>
  <c r="P2309"/>
  <c r="O2309"/>
  <c r="P2308"/>
  <c r="O2308"/>
  <c r="P2307"/>
  <c r="O2307"/>
  <c r="P2306"/>
  <c r="O2306"/>
  <c r="P2305"/>
  <c r="O2305"/>
  <c r="P2304"/>
  <c r="O2304"/>
  <c r="P2303"/>
  <c r="O2303"/>
  <c r="P2302"/>
  <c r="O2302"/>
  <c r="P2301"/>
  <c r="O2301"/>
  <c r="P2300"/>
  <c r="O2300"/>
  <c r="P2299"/>
  <c r="O2299"/>
  <c r="P2298"/>
  <c r="O2298"/>
  <c r="P2297"/>
  <c r="O2297"/>
  <c r="P2296"/>
  <c r="O2296"/>
  <c r="P2295"/>
  <c r="O2295"/>
  <c r="P2294"/>
  <c r="O2294"/>
  <c r="P2293"/>
  <c r="O2293"/>
  <c r="P2292"/>
  <c r="O2292"/>
  <c r="P2291"/>
  <c r="O2291"/>
  <c r="P2290"/>
  <c r="O2290"/>
  <c r="P2289"/>
  <c r="O2289"/>
  <c r="P2288"/>
  <c r="O2288"/>
  <c r="P2287"/>
  <c r="O2287"/>
  <c r="P2286"/>
  <c r="O2286"/>
  <c r="P2285"/>
  <c r="O2285"/>
  <c r="P2284"/>
  <c r="O2284"/>
  <c r="P2283"/>
  <c r="O2283"/>
  <c r="P2282"/>
  <c r="O2282"/>
  <c r="P2281"/>
  <c r="O2281"/>
  <c r="P2280"/>
  <c r="O2280"/>
  <c r="P2279"/>
  <c r="O2279"/>
  <c r="P2278"/>
  <c r="O2278"/>
  <c r="P2277"/>
  <c r="O2277"/>
  <c r="P2276"/>
  <c r="O2276"/>
  <c r="P2275"/>
  <c r="O2275"/>
  <c r="P2274"/>
  <c r="O2274"/>
  <c r="P2273"/>
  <c r="O2273"/>
  <c r="P2272"/>
  <c r="O2272"/>
  <c r="P2271"/>
  <c r="O2271"/>
  <c r="P2270"/>
  <c r="O2270"/>
  <c r="P2269"/>
  <c r="O2269"/>
  <c r="P2268"/>
  <c r="O2268"/>
  <c r="P2267"/>
  <c r="O2267"/>
  <c r="P2266"/>
  <c r="O2266"/>
  <c r="P2265"/>
  <c r="O2265"/>
  <c r="P2264"/>
  <c r="O2264"/>
  <c r="P2263"/>
  <c r="O2263"/>
  <c r="P2262"/>
  <c r="O2262"/>
  <c r="P2261"/>
  <c r="O2261"/>
  <c r="P2260"/>
  <c r="O2260"/>
  <c r="P2259"/>
  <c r="O2259"/>
  <c r="P2258"/>
  <c r="O2258"/>
  <c r="P2257"/>
  <c r="O2257"/>
  <c r="P2256"/>
  <c r="O2256"/>
  <c r="P2255"/>
  <c r="O2255"/>
  <c r="P2254"/>
  <c r="O2254"/>
  <c r="P2253"/>
  <c r="O2253"/>
  <c r="P2252"/>
  <c r="O2252"/>
  <c r="P2251"/>
  <c r="O2251"/>
  <c r="P2250"/>
  <c r="O2250"/>
  <c r="P2249"/>
  <c r="O2249"/>
  <c r="P2248"/>
  <c r="O2248"/>
  <c r="P2247"/>
  <c r="O2247"/>
  <c r="P2246"/>
  <c r="O2246"/>
  <c r="P2245"/>
  <c r="O2245"/>
  <c r="P2244"/>
  <c r="O2244"/>
  <c r="P2243"/>
  <c r="O2243"/>
  <c r="P2242"/>
  <c r="O2242"/>
  <c r="P2241"/>
  <c r="O2241"/>
  <c r="P2240"/>
  <c r="O2240"/>
  <c r="P2239"/>
  <c r="O2239"/>
  <c r="P2238"/>
  <c r="O2238"/>
  <c r="P2237"/>
  <c r="O2237"/>
  <c r="P2236"/>
  <c r="O2236"/>
  <c r="P2235"/>
  <c r="O2235"/>
  <c r="P2234"/>
  <c r="O2234"/>
  <c r="P2233"/>
  <c r="O2233"/>
  <c r="P2232"/>
  <c r="O2232"/>
  <c r="P2231"/>
  <c r="O2231"/>
  <c r="P2230"/>
  <c r="O2230"/>
  <c r="P2229"/>
  <c r="O2229"/>
  <c r="P2228"/>
  <c r="O2228"/>
  <c r="P2227"/>
  <c r="O2227"/>
  <c r="P2226"/>
  <c r="O2226"/>
  <c r="P2225"/>
  <c r="O2225"/>
  <c r="P2224"/>
  <c r="O2224"/>
  <c r="P2223"/>
  <c r="O2223"/>
  <c r="P2222"/>
  <c r="O2222"/>
  <c r="P2221"/>
  <c r="O2221"/>
  <c r="P2220"/>
  <c r="O2220"/>
  <c r="P2219"/>
  <c r="O2219"/>
  <c r="P2218"/>
  <c r="O2218"/>
  <c r="P2217"/>
  <c r="O2217"/>
  <c r="P2216"/>
  <c r="O2216"/>
  <c r="P2215"/>
  <c r="O2215"/>
  <c r="P2214"/>
  <c r="O2214"/>
  <c r="P2213"/>
  <c r="O2213"/>
  <c r="P2212"/>
  <c r="O2212"/>
  <c r="P2211"/>
  <c r="O2211"/>
  <c r="P2210"/>
  <c r="O2210"/>
  <c r="P2209"/>
  <c r="O2209"/>
  <c r="P2208"/>
  <c r="O2208"/>
  <c r="P2207"/>
  <c r="O2207"/>
  <c r="P2206"/>
  <c r="O2206"/>
  <c r="P2205"/>
  <c r="O2205"/>
  <c r="P2204"/>
  <c r="O2204"/>
  <c r="P2203"/>
  <c r="O2203"/>
  <c r="P2202"/>
  <c r="O2202"/>
  <c r="P2201"/>
  <c r="O2201"/>
  <c r="P2200"/>
  <c r="O2200"/>
  <c r="P2199"/>
  <c r="O2199"/>
  <c r="P2198"/>
  <c r="O2198"/>
  <c r="P2197"/>
  <c r="O2197"/>
  <c r="P2196"/>
  <c r="O2196"/>
  <c r="P2195"/>
  <c r="O2195"/>
  <c r="P2194"/>
  <c r="O2194"/>
  <c r="P2193"/>
  <c r="O2193"/>
  <c r="P2192"/>
  <c r="O2192"/>
  <c r="P2191"/>
  <c r="O2191"/>
  <c r="P2190"/>
  <c r="O2190"/>
  <c r="P2189"/>
  <c r="O2189"/>
  <c r="P2188"/>
  <c r="O2188"/>
  <c r="P2187"/>
  <c r="O2187"/>
  <c r="P2186"/>
  <c r="O2186"/>
  <c r="P2185"/>
  <c r="O2185"/>
  <c r="P2184"/>
  <c r="O2184"/>
  <c r="P2183"/>
  <c r="O2183"/>
  <c r="P2182"/>
  <c r="O2182"/>
  <c r="P2181"/>
  <c r="O2181"/>
  <c r="P2180"/>
  <c r="O2180"/>
  <c r="P2179"/>
  <c r="O2179"/>
  <c r="P2178"/>
  <c r="O2178"/>
  <c r="P2177"/>
  <c r="O2177"/>
  <c r="P2176"/>
  <c r="O2176"/>
  <c r="P2175"/>
  <c r="O2175"/>
  <c r="P2174"/>
  <c r="O2174"/>
  <c r="P2173"/>
  <c r="O2173"/>
  <c r="P2172"/>
  <c r="O2172"/>
  <c r="P2171"/>
  <c r="O2171"/>
  <c r="P2170"/>
  <c r="O2170"/>
  <c r="P2169"/>
  <c r="O2169"/>
  <c r="P2168"/>
  <c r="O2168"/>
  <c r="P2167"/>
  <c r="O2167"/>
  <c r="P2166"/>
  <c r="O2166"/>
  <c r="P2165"/>
  <c r="O2165"/>
  <c r="P2164"/>
  <c r="O2164"/>
  <c r="P2163"/>
  <c r="O2163"/>
  <c r="P2162"/>
  <c r="O2162"/>
  <c r="P2161"/>
  <c r="O2161"/>
  <c r="P2160"/>
  <c r="O2160"/>
  <c r="P2159"/>
  <c r="O2159"/>
  <c r="P2158"/>
  <c r="O2158"/>
  <c r="P2157"/>
  <c r="O2157"/>
  <c r="P2156"/>
  <c r="O2156"/>
  <c r="P2155"/>
  <c r="O2155"/>
  <c r="P2154"/>
  <c r="O2154"/>
  <c r="P2153"/>
  <c r="O2153"/>
  <c r="P2152"/>
  <c r="O2152"/>
  <c r="P2151"/>
  <c r="O2151"/>
  <c r="P2150"/>
  <c r="O2150"/>
  <c r="P2149"/>
  <c r="O2149"/>
  <c r="P2148"/>
  <c r="O2148"/>
  <c r="P2147"/>
  <c r="O2147"/>
  <c r="P2146"/>
  <c r="O2146"/>
  <c r="P2145"/>
  <c r="O2145"/>
  <c r="P2144"/>
  <c r="O2144"/>
  <c r="P2143"/>
  <c r="O2143"/>
  <c r="P2142"/>
  <c r="O2142"/>
  <c r="P2141"/>
  <c r="O2141"/>
  <c r="P2140"/>
  <c r="O2140"/>
  <c r="P2139"/>
  <c r="O2139"/>
  <c r="P2138"/>
  <c r="O2138"/>
  <c r="P2137"/>
  <c r="O2137"/>
  <c r="P2136"/>
  <c r="O2136"/>
  <c r="P2135"/>
  <c r="O2135"/>
  <c r="P2134"/>
  <c r="O2134"/>
  <c r="P2133"/>
  <c r="O2133"/>
  <c r="P2132"/>
  <c r="O2132"/>
  <c r="P2131"/>
  <c r="O2131"/>
  <c r="P2130"/>
  <c r="O2130"/>
  <c r="P2129"/>
  <c r="O2129"/>
  <c r="P2128"/>
  <c r="O2128"/>
  <c r="P2127"/>
  <c r="O2127"/>
  <c r="P2126"/>
  <c r="O2126"/>
  <c r="P2125"/>
  <c r="O2125"/>
  <c r="P2124"/>
  <c r="O2124"/>
  <c r="P2123"/>
  <c r="O2123"/>
  <c r="P2122"/>
  <c r="O2122"/>
  <c r="P2121"/>
  <c r="O2121"/>
  <c r="P2120"/>
  <c r="O2120"/>
  <c r="P2119"/>
  <c r="O2119"/>
  <c r="P2118"/>
  <c r="O2118"/>
  <c r="P2117"/>
  <c r="O2117"/>
  <c r="P2116"/>
  <c r="O2116"/>
  <c r="P2115"/>
  <c r="O2115"/>
  <c r="P2114"/>
  <c r="O2114"/>
  <c r="P2113"/>
  <c r="O2113"/>
  <c r="P2112"/>
  <c r="O2112"/>
  <c r="P2111"/>
  <c r="O2111"/>
  <c r="P2110"/>
  <c r="O2110"/>
  <c r="P2109"/>
  <c r="O2109"/>
  <c r="P2108"/>
  <c r="O2108"/>
  <c r="P2107"/>
  <c r="O2107"/>
  <c r="P2106"/>
  <c r="O2106"/>
  <c r="P2105"/>
  <c r="O2105"/>
  <c r="P2104"/>
  <c r="O2104"/>
  <c r="P2103"/>
  <c r="O2103"/>
  <c r="P2102"/>
  <c r="O2102"/>
  <c r="P2101"/>
  <c r="O2101"/>
  <c r="P2100"/>
  <c r="O2100"/>
  <c r="P2099"/>
  <c r="O2099"/>
  <c r="P2098"/>
  <c r="O2098"/>
  <c r="P2097"/>
  <c r="O2097"/>
  <c r="P2096"/>
  <c r="O2096"/>
  <c r="P2095"/>
  <c r="O2095"/>
  <c r="P2094"/>
  <c r="O2094"/>
  <c r="P2093"/>
  <c r="O2093"/>
  <c r="P2092"/>
  <c r="O2092"/>
  <c r="P2091"/>
  <c r="O2091"/>
  <c r="P2090"/>
  <c r="O2090"/>
  <c r="P2089"/>
  <c r="O2089"/>
  <c r="P2088"/>
  <c r="O2088"/>
  <c r="P2087"/>
  <c r="O2087"/>
  <c r="P2086"/>
  <c r="O2086"/>
  <c r="P2085"/>
  <c r="O2085"/>
  <c r="P2084"/>
  <c r="O2084"/>
  <c r="P2083"/>
  <c r="O2083"/>
  <c r="P2082"/>
  <c r="O2082"/>
  <c r="P2081"/>
  <c r="O2081"/>
  <c r="P2080"/>
  <c r="O2080"/>
  <c r="P2079"/>
  <c r="O2079"/>
  <c r="P2078"/>
  <c r="O2078"/>
  <c r="P2077"/>
  <c r="O2077"/>
  <c r="P2076"/>
  <c r="O2076"/>
  <c r="P2075"/>
  <c r="O2075"/>
  <c r="P2074"/>
  <c r="O2074"/>
  <c r="P2073"/>
  <c r="O2073"/>
  <c r="P2072"/>
  <c r="O2072"/>
  <c r="P2071"/>
  <c r="O2071"/>
  <c r="P2070"/>
  <c r="O2070"/>
  <c r="P2069"/>
  <c r="O2069"/>
  <c r="P2068"/>
  <c r="O2068"/>
  <c r="P2067"/>
  <c r="O2067"/>
  <c r="P2066"/>
  <c r="O2066"/>
  <c r="P2065"/>
  <c r="O2065"/>
  <c r="P2064"/>
  <c r="O2064"/>
  <c r="P2063"/>
  <c r="O2063"/>
  <c r="P2062"/>
  <c r="O2062"/>
  <c r="P2061"/>
  <c r="O2061"/>
  <c r="P2060"/>
  <c r="O2060"/>
  <c r="P2059"/>
  <c r="O2059"/>
  <c r="P2058"/>
  <c r="O2058"/>
  <c r="P2057"/>
  <c r="O2057"/>
  <c r="P2056"/>
  <c r="O2056"/>
  <c r="P2055"/>
  <c r="O2055"/>
  <c r="P2054"/>
  <c r="O2054"/>
  <c r="P2053"/>
  <c r="O2053"/>
  <c r="P2052"/>
  <c r="O2052"/>
  <c r="P2051"/>
  <c r="O2051"/>
  <c r="P2050"/>
  <c r="O2050"/>
  <c r="P2049"/>
  <c r="O2049"/>
  <c r="P2048"/>
  <c r="O2048"/>
  <c r="P2047"/>
  <c r="O2047"/>
  <c r="P2046"/>
  <c r="O2046"/>
  <c r="P2045"/>
  <c r="O2045"/>
  <c r="P2044"/>
  <c r="O2044"/>
  <c r="P2043"/>
  <c r="O2043"/>
  <c r="P2042"/>
  <c r="O2042"/>
  <c r="P2041"/>
  <c r="O2041"/>
  <c r="P2040"/>
  <c r="O2040"/>
  <c r="P2039"/>
  <c r="O2039"/>
  <c r="P2038"/>
  <c r="O2038"/>
  <c r="P2037"/>
  <c r="O2037"/>
  <c r="P2036"/>
  <c r="O2036"/>
  <c r="P2035"/>
  <c r="O2035"/>
  <c r="P2034"/>
  <c r="O2034"/>
  <c r="P2033"/>
  <c r="O2033"/>
  <c r="P2032"/>
  <c r="O2032"/>
  <c r="P2031"/>
  <c r="O2031"/>
  <c r="P2030"/>
  <c r="O2030"/>
  <c r="P2029"/>
  <c r="O2029"/>
  <c r="P2028"/>
  <c r="O2028"/>
  <c r="P2027"/>
  <c r="O2027"/>
  <c r="P2026"/>
  <c r="O2026"/>
  <c r="P2025"/>
  <c r="O2025"/>
  <c r="P2024"/>
  <c r="O2024"/>
  <c r="P2023"/>
  <c r="O2023"/>
  <c r="P2022"/>
  <c r="O2022"/>
  <c r="P2021"/>
  <c r="O2021"/>
  <c r="P2020"/>
  <c r="O2020"/>
  <c r="P2019"/>
  <c r="O2019"/>
  <c r="P2018"/>
  <c r="O2018"/>
  <c r="P2017"/>
  <c r="O2017"/>
  <c r="P2016"/>
  <c r="O2016"/>
  <c r="P2015"/>
  <c r="O2015"/>
  <c r="P2014"/>
  <c r="O2014"/>
  <c r="P2013"/>
  <c r="O2013"/>
  <c r="P2012"/>
  <c r="O2012"/>
  <c r="P2011"/>
  <c r="O2011"/>
  <c r="P2010"/>
  <c r="O2010"/>
  <c r="P2009"/>
  <c r="O2009"/>
  <c r="P2008"/>
  <c r="O2008"/>
  <c r="P2007"/>
  <c r="O2007"/>
  <c r="P2006"/>
  <c r="O2006"/>
  <c r="P2005"/>
  <c r="O2005"/>
  <c r="P2004"/>
  <c r="O2004"/>
  <c r="P2003"/>
  <c r="O2003"/>
  <c r="P2002"/>
  <c r="O2002"/>
  <c r="P2001"/>
  <c r="O2001"/>
  <c r="P2000"/>
  <c r="O2000"/>
  <c r="P1999"/>
  <c r="O1999"/>
  <c r="P1998"/>
  <c r="O1998"/>
  <c r="P1997"/>
  <c r="O1997"/>
  <c r="P1996"/>
  <c r="O1996"/>
  <c r="P1995"/>
  <c r="O1995"/>
  <c r="P1994"/>
  <c r="O1994"/>
  <c r="P1993"/>
  <c r="O1993"/>
  <c r="P1992"/>
  <c r="O1992"/>
  <c r="P1991"/>
  <c r="O1991"/>
  <c r="P1990"/>
  <c r="O1990"/>
  <c r="P1989"/>
  <c r="O1989"/>
  <c r="P1988"/>
  <c r="O1988"/>
  <c r="P1987"/>
  <c r="O1987"/>
  <c r="P1986"/>
  <c r="O1986"/>
  <c r="P1985"/>
  <c r="O1985"/>
  <c r="P1984"/>
  <c r="O1984"/>
  <c r="P1983"/>
  <c r="O1983"/>
  <c r="P1982"/>
  <c r="O1982"/>
  <c r="P1981"/>
  <c r="O1981"/>
  <c r="P1980"/>
  <c r="O1980"/>
  <c r="P1979"/>
  <c r="O1979"/>
  <c r="P1978"/>
  <c r="O1978"/>
  <c r="P1977"/>
  <c r="O1977"/>
  <c r="P1976"/>
  <c r="O1976"/>
  <c r="P1975"/>
  <c r="O1975"/>
  <c r="P1974"/>
  <c r="O1974"/>
  <c r="P1973"/>
  <c r="O1973"/>
  <c r="P1972"/>
  <c r="O1972"/>
  <c r="P1971"/>
  <c r="O1971"/>
  <c r="P1970"/>
  <c r="O1970"/>
  <c r="P1969"/>
  <c r="O1969"/>
  <c r="P1968"/>
  <c r="O1968"/>
  <c r="P1967"/>
  <c r="O1967"/>
  <c r="P1966"/>
  <c r="O1966"/>
  <c r="P1965"/>
  <c r="O1965"/>
  <c r="P1964"/>
  <c r="O1964"/>
  <c r="P1963"/>
  <c r="O1963"/>
  <c r="P1962"/>
  <c r="O1962"/>
  <c r="P1961"/>
  <c r="O1961"/>
  <c r="P1960"/>
  <c r="O1960"/>
  <c r="P1959"/>
  <c r="O1959"/>
  <c r="P1958"/>
  <c r="O1958"/>
  <c r="P1957"/>
  <c r="O1957"/>
  <c r="P1956"/>
  <c r="O1956"/>
  <c r="P1955"/>
  <c r="O1955"/>
  <c r="P1954"/>
  <c r="O1954"/>
  <c r="P1953"/>
  <c r="O1953"/>
  <c r="P1952"/>
  <c r="O1952"/>
  <c r="P1951"/>
  <c r="O1951"/>
  <c r="P1950"/>
  <c r="O1950"/>
  <c r="P1949"/>
  <c r="O1949"/>
  <c r="P1948"/>
  <c r="O1948"/>
  <c r="P1947"/>
  <c r="O1947"/>
  <c r="P1946"/>
  <c r="O1946"/>
  <c r="P1945"/>
  <c r="O1945"/>
  <c r="P1944"/>
  <c r="O1944"/>
  <c r="P1943"/>
  <c r="O1943"/>
  <c r="P1942"/>
  <c r="O1942"/>
  <c r="P1941"/>
  <c r="O1941"/>
  <c r="P1940"/>
  <c r="O1940"/>
  <c r="P1939"/>
  <c r="O1939"/>
  <c r="P1938"/>
  <c r="O1938"/>
  <c r="P1937"/>
  <c r="O1937"/>
  <c r="P1936"/>
  <c r="O1936"/>
  <c r="P1935"/>
  <c r="O1935"/>
  <c r="P1934"/>
  <c r="O1934"/>
  <c r="P1933"/>
  <c r="O1933"/>
  <c r="P1932"/>
  <c r="O1932"/>
  <c r="P1931"/>
  <c r="O1931"/>
  <c r="P1929"/>
  <c r="O1929"/>
  <c r="P1928"/>
  <c r="O1928"/>
  <c r="P1927"/>
  <c r="O1927"/>
  <c r="P1926"/>
  <c r="O1926"/>
  <c r="P1925"/>
  <c r="O1925"/>
  <c r="P1924"/>
  <c r="O1924"/>
  <c r="P1923"/>
  <c r="O1923"/>
  <c r="P1922"/>
  <c r="O1922"/>
  <c r="P1921"/>
  <c r="O1921"/>
  <c r="P1920"/>
  <c r="O1920"/>
  <c r="P1919"/>
  <c r="O1919"/>
  <c r="P1918"/>
  <c r="O1918"/>
  <c r="P1917"/>
  <c r="O1917"/>
  <c r="P1916"/>
  <c r="O1916"/>
  <c r="P1915"/>
  <c r="O1915"/>
  <c r="P1914"/>
  <c r="O1914"/>
  <c r="P1913"/>
  <c r="O1913"/>
  <c r="P1912"/>
  <c r="O1912"/>
  <c r="P1911"/>
  <c r="O1911"/>
  <c r="P1910"/>
  <c r="O1910"/>
  <c r="P1909"/>
  <c r="O1909"/>
  <c r="P1908"/>
  <c r="O1908"/>
  <c r="P1907"/>
  <c r="O1907"/>
  <c r="P1906"/>
  <c r="O1906"/>
  <c r="P1905"/>
  <c r="O1905"/>
  <c r="P1904"/>
  <c r="O1904"/>
  <c r="P1903"/>
  <c r="O1903"/>
  <c r="P1902"/>
  <c r="O1902"/>
  <c r="P1901"/>
  <c r="O1901"/>
  <c r="P1900"/>
  <c r="O1900"/>
  <c r="P1899"/>
  <c r="O1899"/>
  <c r="P1898"/>
  <c r="O1898"/>
  <c r="P1897"/>
  <c r="O1897"/>
  <c r="P1896"/>
  <c r="O1896"/>
  <c r="P1895"/>
  <c r="O1895"/>
  <c r="P1894"/>
  <c r="O1894"/>
  <c r="P1893"/>
  <c r="O1893"/>
  <c r="P1892"/>
  <c r="O1892"/>
  <c r="P1891"/>
  <c r="O1891"/>
  <c r="P1890"/>
  <c r="O1890"/>
  <c r="P1889"/>
  <c r="O1889"/>
  <c r="P1888"/>
  <c r="O1888"/>
  <c r="P1887"/>
  <c r="O1887"/>
  <c r="P1886"/>
  <c r="O1886"/>
  <c r="P1885"/>
  <c r="O1885"/>
  <c r="P1884"/>
  <c r="O1884"/>
  <c r="P1883"/>
  <c r="O1883"/>
  <c r="P1882"/>
  <c r="O1882"/>
  <c r="P1881"/>
  <c r="O1881"/>
  <c r="P1880"/>
  <c r="O1880"/>
  <c r="P1879"/>
  <c r="O1879"/>
  <c r="P1878"/>
  <c r="O1878"/>
  <c r="P1877"/>
  <c r="O1877"/>
  <c r="P1876"/>
  <c r="O1876"/>
  <c r="P1875"/>
  <c r="O1875"/>
  <c r="P1874"/>
  <c r="O1874"/>
  <c r="P1873"/>
  <c r="O1873"/>
  <c r="P1872"/>
  <c r="O1872"/>
  <c r="P1871"/>
  <c r="O1871"/>
  <c r="P1870"/>
  <c r="O1870"/>
  <c r="P1869"/>
  <c r="O1869"/>
  <c r="P1868"/>
  <c r="O1868"/>
  <c r="P1867"/>
  <c r="O1867"/>
  <c r="P1866"/>
  <c r="O1866"/>
  <c r="P1865"/>
  <c r="O1865"/>
  <c r="P1864"/>
  <c r="O1864"/>
  <c r="P1863"/>
  <c r="O1863"/>
  <c r="P1862"/>
  <c r="O1862"/>
  <c r="P1861"/>
  <c r="O1861"/>
  <c r="P1860"/>
  <c r="O1860"/>
  <c r="P1859"/>
  <c r="O1859"/>
  <c r="P1858"/>
  <c r="O1858"/>
  <c r="P1857"/>
  <c r="O1857"/>
  <c r="P1856"/>
  <c r="O1856"/>
  <c r="P1855"/>
  <c r="O1855"/>
  <c r="P1854"/>
  <c r="O1854"/>
  <c r="P1853"/>
  <c r="O1853"/>
  <c r="P1852"/>
  <c r="O1852"/>
  <c r="P1851"/>
  <c r="O1851"/>
  <c r="P1850"/>
  <c r="O1850"/>
  <c r="P1849"/>
  <c r="O1849"/>
  <c r="P1848"/>
  <c r="O1848"/>
  <c r="P1847"/>
  <c r="O1847"/>
  <c r="P1846"/>
  <c r="O1846"/>
  <c r="P1845"/>
  <c r="O1845"/>
  <c r="P1844"/>
  <c r="O1844"/>
  <c r="P1843"/>
  <c r="O1843"/>
  <c r="P1842"/>
  <c r="O1842"/>
  <c r="P1841"/>
  <c r="O1841"/>
  <c r="P1840"/>
  <c r="O1840"/>
  <c r="P1839"/>
  <c r="O1839"/>
  <c r="P1838"/>
  <c r="O1838"/>
  <c r="P1837"/>
  <c r="O1837"/>
  <c r="P1836"/>
  <c r="O1836"/>
  <c r="P1835"/>
  <c r="O1835"/>
  <c r="P1834"/>
  <c r="O1834"/>
  <c r="P1833"/>
  <c r="O1833"/>
  <c r="P1832"/>
  <c r="O1832"/>
  <c r="P1831"/>
  <c r="O1831"/>
  <c r="P1830"/>
  <c r="O1830"/>
  <c r="P1829"/>
  <c r="O1829"/>
  <c r="P1828"/>
  <c r="O1828"/>
  <c r="P1827"/>
  <c r="O1827"/>
  <c r="P1826"/>
  <c r="O1826"/>
  <c r="P1825"/>
  <c r="O1825"/>
  <c r="P1824"/>
  <c r="O1824"/>
  <c r="P1823"/>
  <c r="O1823"/>
  <c r="P1822"/>
  <c r="O1822"/>
  <c r="P1821"/>
  <c r="O1821"/>
  <c r="P1820"/>
  <c r="O1820"/>
  <c r="P1819"/>
  <c r="O1819"/>
  <c r="P1818"/>
  <c r="O1818"/>
  <c r="P1817"/>
  <c r="O1817"/>
  <c r="P1816"/>
  <c r="O1816"/>
  <c r="P1815"/>
  <c r="O1815"/>
  <c r="P1814"/>
  <c r="O1814"/>
  <c r="P1813"/>
  <c r="O1813"/>
  <c r="P1812"/>
  <c r="O1812"/>
  <c r="P1811"/>
  <c r="O1811"/>
  <c r="P1810"/>
  <c r="O1810"/>
  <c r="P1809"/>
  <c r="O1809"/>
  <c r="P1808"/>
  <c r="O1808"/>
  <c r="P1807"/>
  <c r="O1807"/>
  <c r="P1806"/>
  <c r="O1806"/>
  <c r="P1805"/>
  <c r="O1805"/>
  <c r="P1804"/>
  <c r="O1804"/>
  <c r="P1803"/>
  <c r="O1803"/>
  <c r="P1802"/>
  <c r="O1802"/>
  <c r="P1801"/>
  <c r="O1801"/>
  <c r="P1800"/>
  <c r="O1800"/>
  <c r="P1799"/>
  <c r="O1799"/>
  <c r="P1798"/>
  <c r="O1798"/>
  <c r="P1797"/>
  <c r="O1797"/>
  <c r="P1796"/>
  <c r="O1796"/>
  <c r="P1795"/>
  <c r="O1795"/>
  <c r="P1794"/>
  <c r="O1794"/>
  <c r="P1793"/>
  <c r="O1793"/>
  <c r="P1792"/>
  <c r="O1792"/>
  <c r="P1791"/>
  <c r="O1791"/>
  <c r="P1790"/>
  <c r="O1790"/>
  <c r="P1789"/>
  <c r="O1789"/>
  <c r="P1788"/>
  <c r="O1788"/>
  <c r="P1787"/>
  <c r="O1787"/>
  <c r="P1786"/>
  <c r="O1786"/>
  <c r="P1785"/>
  <c r="O1785"/>
  <c r="P1784"/>
  <c r="O1784"/>
  <c r="P1783"/>
  <c r="O1783"/>
  <c r="P1782"/>
  <c r="O1782"/>
  <c r="P1781"/>
  <c r="O1781"/>
  <c r="P1780"/>
  <c r="O1780"/>
  <c r="P1779"/>
  <c r="O1779"/>
  <c r="P1778"/>
  <c r="O1778"/>
  <c r="P1777"/>
  <c r="O1777"/>
  <c r="P1776"/>
  <c r="O1776"/>
  <c r="P1775"/>
  <c r="O1775"/>
  <c r="P1774"/>
  <c r="O1774"/>
  <c r="P1773"/>
  <c r="O1773"/>
  <c r="P1772"/>
  <c r="O1772"/>
  <c r="P1771"/>
  <c r="O1771"/>
  <c r="P1770"/>
  <c r="O1770"/>
  <c r="P1769"/>
  <c r="O1769"/>
  <c r="P1768"/>
  <c r="O1768"/>
  <c r="P1767"/>
  <c r="O1767"/>
  <c r="P1766"/>
  <c r="O1766"/>
  <c r="P1765"/>
  <c r="O1765"/>
  <c r="P1764"/>
  <c r="O1764"/>
  <c r="P1763"/>
  <c r="O1763"/>
  <c r="P1762"/>
  <c r="O1762"/>
  <c r="P1761"/>
  <c r="O1761"/>
  <c r="P1760"/>
  <c r="O1760"/>
  <c r="P1759"/>
  <c r="O1759"/>
  <c r="P1758"/>
  <c r="O1758"/>
  <c r="P1757"/>
  <c r="O1757"/>
  <c r="P1756"/>
  <c r="O1756"/>
  <c r="P1755"/>
  <c r="O1755"/>
  <c r="P1754"/>
  <c r="O1754"/>
  <c r="P1753"/>
  <c r="O1753"/>
  <c r="P1752"/>
  <c r="O1752"/>
  <c r="P1751"/>
  <c r="O1751"/>
  <c r="P1750"/>
  <c r="O1750"/>
  <c r="P1749"/>
  <c r="O1749"/>
  <c r="P1748"/>
  <c r="O1748"/>
  <c r="P1747"/>
  <c r="O1747"/>
  <c r="P1746"/>
  <c r="O1746"/>
  <c r="P1745"/>
  <c r="O1745"/>
  <c r="P1744"/>
  <c r="O1744"/>
  <c r="P1743"/>
  <c r="O1743"/>
  <c r="P1742"/>
  <c r="O1742"/>
  <c r="P1741"/>
  <c r="O1741"/>
  <c r="P1740"/>
  <c r="O1740"/>
  <c r="P1739"/>
  <c r="O1739"/>
  <c r="P1738"/>
  <c r="O1738"/>
  <c r="P1737"/>
  <c r="O1737"/>
  <c r="P1736"/>
  <c r="O1736"/>
  <c r="P1735"/>
  <c r="O1735"/>
  <c r="P1734"/>
  <c r="O1734"/>
  <c r="P1733"/>
  <c r="O1733"/>
  <c r="P1732"/>
  <c r="O1732"/>
  <c r="P1731"/>
  <c r="O1731"/>
  <c r="P1730"/>
  <c r="O1730"/>
  <c r="P1729"/>
  <c r="O1729"/>
  <c r="P1728"/>
  <c r="O1728"/>
  <c r="P1727"/>
  <c r="O1727"/>
  <c r="P1726"/>
  <c r="O1726"/>
  <c r="P1725"/>
  <c r="O1725"/>
  <c r="P1724"/>
  <c r="O1724"/>
  <c r="P1723"/>
  <c r="O1723"/>
  <c r="P1722"/>
  <c r="O1722"/>
  <c r="P1721"/>
  <c r="O1721"/>
  <c r="P1720"/>
  <c r="O1720"/>
  <c r="P1719"/>
  <c r="O1719"/>
  <c r="P1718"/>
  <c r="O1718"/>
  <c r="P1717"/>
  <c r="O1717"/>
  <c r="P1716"/>
  <c r="O1716"/>
  <c r="P1715"/>
  <c r="O1715"/>
  <c r="P1714"/>
  <c r="O1714"/>
  <c r="P1713"/>
  <c r="O1713"/>
  <c r="P1712"/>
  <c r="O1712"/>
  <c r="P1711"/>
  <c r="O1711"/>
  <c r="P1710"/>
  <c r="O1710"/>
  <c r="P1709"/>
  <c r="O1709"/>
  <c r="P1708"/>
  <c r="O1708"/>
  <c r="P1707"/>
  <c r="O1707"/>
  <c r="P1706"/>
  <c r="O1706"/>
  <c r="P1705"/>
  <c r="O1705"/>
  <c r="P1704"/>
  <c r="O1704"/>
  <c r="P1703"/>
  <c r="O1703"/>
  <c r="P1702"/>
  <c r="O1702"/>
  <c r="P1701"/>
  <c r="O1701"/>
  <c r="P1700"/>
  <c r="O1700"/>
  <c r="P1699"/>
  <c r="O1699"/>
  <c r="P1698"/>
  <c r="O1698"/>
  <c r="P1697"/>
  <c r="O1697"/>
  <c r="P1696"/>
  <c r="O1696"/>
  <c r="P1695"/>
  <c r="O1695"/>
  <c r="P1694"/>
  <c r="O1694"/>
  <c r="P1693"/>
  <c r="O1693"/>
  <c r="P1692"/>
  <c r="O1692"/>
  <c r="P1691"/>
  <c r="O1691"/>
  <c r="P1690"/>
  <c r="O1690"/>
  <c r="P1689"/>
  <c r="O1689"/>
  <c r="P1688"/>
  <c r="O1688"/>
  <c r="P1687"/>
  <c r="O1687"/>
  <c r="P1686"/>
  <c r="O1686"/>
  <c r="P1685"/>
  <c r="O1685"/>
  <c r="P1684"/>
  <c r="O1684"/>
  <c r="P1683"/>
  <c r="O1683"/>
  <c r="P1682"/>
  <c r="O1682"/>
  <c r="P1681"/>
  <c r="O1681"/>
  <c r="P1680"/>
  <c r="O1680"/>
  <c r="P1679"/>
  <c r="O1679"/>
  <c r="P1678"/>
  <c r="O1678"/>
  <c r="P1677"/>
  <c r="O1677"/>
  <c r="P1676"/>
  <c r="O1676"/>
  <c r="P1675"/>
  <c r="O1675"/>
  <c r="P1674"/>
  <c r="O1674"/>
  <c r="P1673"/>
  <c r="O1673"/>
  <c r="P1672"/>
  <c r="O1672"/>
  <c r="P1671"/>
  <c r="O1671"/>
  <c r="P1670"/>
  <c r="O1670"/>
  <c r="P1669"/>
  <c r="O1669"/>
  <c r="P1668"/>
  <c r="O1668"/>
  <c r="P1667"/>
  <c r="O1667"/>
  <c r="P1666"/>
  <c r="O1666"/>
  <c r="P1665"/>
  <c r="O1665"/>
  <c r="P1664"/>
  <c r="O1664"/>
  <c r="P1663"/>
  <c r="O1663"/>
  <c r="P1662"/>
  <c r="O1662"/>
  <c r="P1661"/>
  <c r="O1661"/>
  <c r="P1660"/>
  <c r="O1660"/>
  <c r="P1659"/>
  <c r="O1659"/>
  <c r="P1658"/>
  <c r="O1658"/>
  <c r="P1657"/>
  <c r="O1657"/>
  <c r="P1656"/>
  <c r="O1656"/>
  <c r="P1655"/>
  <c r="O1655"/>
  <c r="P1654"/>
  <c r="O1654"/>
  <c r="P1653"/>
  <c r="O1653"/>
  <c r="P1652"/>
  <c r="O1652"/>
  <c r="P1651"/>
  <c r="O1651"/>
  <c r="P1650"/>
  <c r="O1650"/>
  <c r="P1649"/>
  <c r="O1649"/>
  <c r="P1648"/>
  <c r="O1648"/>
  <c r="P1647"/>
  <c r="O1647"/>
  <c r="P1646"/>
  <c r="O1646"/>
  <c r="P1645"/>
  <c r="O1645"/>
  <c r="P1644"/>
  <c r="O1644"/>
  <c r="P1643"/>
  <c r="O1643"/>
  <c r="P1642"/>
  <c r="O1642"/>
  <c r="P1641"/>
  <c r="O1641"/>
  <c r="P1640"/>
  <c r="O1640"/>
  <c r="P1639"/>
  <c r="O1639"/>
  <c r="P1638"/>
  <c r="O1638"/>
  <c r="P1637"/>
  <c r="O1637"/>
  <c r="P1636"/>
  <c r="O1636"/>
  <c r="P1635"/>
  <c r="O1635"/>
  <c r="P1634"/>
  <c r="O1634"/>
  <c r="P1633"/>
  <c r="O1633"/>
  <c r="P1632"/>
  <c r="O1632"/>
  <c r="P1631"/>
  <c r="O1631"/>
  <c r="P1630"/>
  <c r="O1630"/>
  <c r="P1629"/>
  <c r="O1629"/>
  <c r="P1628"/>
  <c r="O1628"/>
  <c r="P1627"/>
  <c r="O1627"/>
  <c r="P1626"/>
  <c r="O1626"/>
  <c r="P1625"/>
  <c r="O1625"/>
  <c r="P1624"/>
  <c r="O1624"/>
  <c r="P1623"/>
  <c r="O1623"/>
  <c r="P1622"/>
  <c r="O1622"/>
  <c r="P1621"/>
  <c r="O1621"/>
  <c r="P1620"/>
  <c r="O1620"/>
  <c r="P1619"/>
  <c r="O1619"/>
  <c r="P1618"/>
  <c r="O1618"/>
  <c r="P1617"/>
  <c r="O1617"/>
  <c r="P1616"/>
  <c r="O1616"/>
  <c r="P1615"/>
  <c r="O1615"/>
  <c r="P1614"/>
  <c r="O1614"/>
  <c r="P1613"/>
  <c r="O1613"/>
  <c r="P1612"/>
  <c r="O1612"/>
  <c r="P1611"/>
  <c r="O1611"/>
  <c r="P1610"/>
  <c r="O1610"/>
  <c r="P1609"/>
  <c r="O1609"/>
  <c r="P1608"/>
  <c r="O1608"/>
  <c r="P1607"/>
  <c r="O1607"/>
  <c r="P1606"/>
  <c r="O1606"/>
  <c r="P1605"/>
  <c r="O1605"/>
  <c r="P1604"/>
  <c r="O1604"/>
  <c r="P1603"/>
  <c r="O1603"/>
  <c r="P1602"/>
  <c r="O1602"/>
  <c r="P1601"/>
  <c r="O1601"/>
  <c r="P1600"/>
  <c r="O1600"/>
  <c r="P1599"/>
  <c r="O1599"/>
  <c r="P1598"/>
  <c r="O1598"/>
  <c r="P1597"/>
  <c r="O1597"/>
  <c r="P1596"/>
  <c r="O1596"/>
  <c r="P1595"/>
  <c r="O1595"/>
  <c r="P1594"/>
  <c r="O1594"/>
  <c r="P1593"/>
  <c r="O1593"/>
  <c r="P1592"/>
  <c r="O1592"/>
  <c r="P1591"/>
  <c r="O1591"/>
  <c r="P1590"/>
  <c r="O1590"/>
  <c r="P1589"/>
  <c r="O1589"/>
  <c r="P1588"/>
  <c r="O1588"/>
  <c r="P1587"/>
  <c r="O1587"/>
  <c r="P1586"/>
  <c r="O1586"/>
  <c r="P1585"/>
  <c r="O1585"/>
  <c r="P1584"/>
  <c r="O1584"/>
  <c r="P1583"/>
  <c r="O1583"/>
  <c r="P1582"/>
  <c r="O1582"/>
  <c r="P1581"/>
  <c r="O1581"/>
  <c r="P1580"/>
  <c r="O1580"/>
  <c r="P1579"/>
  <c r="O1579"/>
  <c r="P1578"/>
  <c r="O1578"/>
  <c r="P1577"/>
  <c r="O1577"/>
  <c r="P1576"/>
  <c r="O1576"/>
  <c r="P1575"/>
  <c r="O1575"/>
  <c r="P1574"/>
  <c r="O1574"/>
  <c r="P1573"/>
  <c r="O1573"/>
  <c r="P1572"/>
  <c r="O1572"/>
  <c r="P1571"/>
  <c r="O1571"/>
  <c r="P1570"/>
  <c r="O1570"/>
  <c r="P1569"/>
  <c r="O1569"/>
  <c r="P1568"/>
  <c r="O1568"/>
  <c r="P1567"/>
  <c r="O1567"/>
  <c r="P1566"/>
  <c r="O1566"/>
  <c r="P1565"/>
  <c r="O1565"/>
  <c r="P1564"/>
  <c r="O1564"/>
  <c r="P1563"/>
  <c r="O1563"/>
  <c r="P1562"/>
  <c r="O1562"/>
  <c r="P1561"/>
  <c r="O1561"/>
  <c r="P1560"/>
  <c r="O1560"/>
  <c r="P1559"/>
  <c r="O1559"/>
  <c r="P1558"/>
  <c r="O1558"/>
  <c r="P1557"/>
  <c r="O1557"/>
  <c r="P1556"/>
  <c r="O1556"/>
  <c r="P1555"/>
  <c r="O1555"/>
  <c r="P1554"/>
  <c r="O1554"/>
  <c r="P1553"/>
  <c r="O1553"/>
  <c r="P1552"/>
  <c r="O1552"/>
  <c r="P1551"/>
  <c r="O1551"/>
  <c r="P1550"/>
  <c r="O1550"/>
  <c r="P1549"/>
  <c r="O1549"/>
  <c r="P1548"/>
  <c r="O1548"/>
  <c r="P1547"/>
  <c r="O1547"/>
  <c r="P1546"/>
  <c r="O1546"/>
  <c r="P1545"/>
  <c r="O1545"/>
  <c r="P1544"/>
  <c r="O1544"/>
  <c r="P1543"/>
  <c r="O1543"/>
  <c r="P1542"/>
  <c r="O1542"/>
  <c r="P1541"/>
  <c r="O1541"/>
  <c r="P1540"/>
  <c r="O1540"/>
  <c r="P1539"/>
  <c r="O1539"/>
  <c r="P1538"/>
  <c r="O1538"/>
  <c r="P1537"/>
  <c r="O1537"/>
  <c r="P1536"/>
  <c r="O1536"/>
  <c r="P1535"/>
  <c r="O1535"/>
  <c r="P1534"/>
  <c r="O1534"/>
  <c r="P1533"/>
  <c r="O1533"/>
  <c r="P1532"/>
  <c r="O1532"/>
  <c r="P1531"/>
  <c r="O1531"/>
  <c r="P1530"/>
  <c r="O1530"/>
  <c r="P1529"/>
  <c r="O1529"/>
  <c r="P1528"/>
  <c r="O1528"/>
  <c r="P1527"/>
  <c r="O1527"/>
  <c r="P1526"/>
  <c r="O1526"/>
  <c r="P1525"/>
  <c r="O1525"/>
  <c r="P1524"/>
  <c r="O1524"/>
  <c r="P1523"/>
  <c r="O1523"/>
  <c r="P1522"/>
  <c r="O1522"/>
  <c r="P1521"/>
  <c r="O1521"/>
  <c r="P1520"/>
  <c r="O1520"/>
  <c r="P1519"/>
  <c r="O1519"/>
  <c r="P1518"/>
  <c r="O1518"/>
  <c r="P1517"/>
  <c r="O1517"/>
  <c r="P1516"/>
  <c r="O1516"/>
  <c r="P1515"/>
  <c r="O1515"/>
  <c r="P1514"/>
  <c r="O1514"/>
  <c r="P1513"/>
  <c r="O1513"/>
  <c r="P1512"/>
  <c r="O1512"/>
  <c r="P1511"/>
  <c r="O1511"/>
  <c r="P1510"/>
  <c r="O1510"/>
  <c r="P1509"/>
  <c r="O1509"/>
  <c r="P1508"/>
  <c r="O1508"/>
  <c r="P1507"/>
  <c r="O1507"/>
  <c r="P1506"/>
  <c r="O1506"/>
  <c r="P1505"/>
  <c r="O1505"/>
  <c r="P1504"/>
  <c r="O1504"/>
  <c r="P1503"/>
  <c r="O1503"/>
  <c r="P1502"/>
  <c r="O1502"/>
  <c r="P1501"/>
  <c r="O1501"/>
  <c r="P1500"/>
  <c r="O1500"/>
  <c r="P1499"/>
  <c r="O1499"/>
  <c r="P1498"/>
  <c r="O1498"/>
  <c r="P1497"/>
  <c r="O1497"/>
  <c r="P1496"/>
  <c r="O1496"/>
  <c r="P1495"/>
  <c r="O1495"/>
  <c r="P1494"/>
  <c r="O1494"/>
  <c r="P1493"/>
  <c r="O1493"/>
  <c r="P1492"/>
  <c r="O1492"/>
  <c r="P1491"/>
  <c r="O1491"/>
  <c r="P1490"/>
  <c r="O1490"/>
  <c r="P1489"/>
  <c r="O1489"/>
  <c r="P1488"/>
  <c r="O1488"/>
  <c r="P1487"/>
  <c r="O1487"/>
  <c r="P1486"/>
  <c r="O1486"/>
  <c r="P1485"/>
  <c r="O1485"/>
  <c r="P1484"/>
  <c r="O1484"/>
  <c r="P1483"/>
  <c r="O1483"/>
  <c r="P1482"/>
  <c r="O1482"/>
  <c r="P1481"/>
  <c r="O1481"/>
  <c r="P1480"/>
  <c r="O1480"/>
  <c r="P1479"/>
  <c r="O1479"/>
  <c r="P1478"/>
  <c r="O1478"/>
  <c r="P1477"/>
  <c r="O1477"/>
  <c r="P1476"/>
  <c r="O1476"/>
  <c r="P1475"/>
  <c r="O1475"/>
  <c r="P1474"/>
  <c r="O1474"/>
  <c r="P1473"/>
  <c r="O1473"/>
  <c r="P1472"/>
  <c r="O1472"/>
  <c r="P1471"/>
  <c r="O1471"/>
  <c r="P1470"/>
  <c r="O1470"/>
  <c r="P1469"/>
  <c r="O1469"/>
  <c r="P1468"/>
  <c r="O1468"/>
  <c r="P1467"/>
  <c r="O1467"/>
  <c r="P1466"/>
  <c r="O1466"/>
  <c r="P1465"/>
  <c r="O1465"/>
  <c r="P1464"/>
  <c r="O1464"/>
  <c r="P1463"/>
  <c r="O1463"/>
  <c r="P1462"/>
  <c r="O1462"/>
  <c r="P1461"/>
  <c r="O1461"/>
  <c r="P1460"/>
  <c r="O1460"/>
  <c r="P1459"/>
  <c r="O1459"/>
  <c r="P1458"/>
  <c r="O1458"/>
  <c r="P1457"/>
  <c r="O1457"/>
  <c r="P1456"/>
  <c r="O1456"/>
  <c r="P1455"/>
  <c r="O1455"/>
  <c r="P1454"/>
  <c r="O1454"/>
  <c r="P1453"/>
  <c r="O1453"/>
  <c r="P1452"/>
  <c r="O1452"/>
  <c r="P1451"/>
  <c r="O1451"/>
  <c r="P1450"/>
  <c r="O1450"/>
  <c r="P1449"/>
  <c r="O1449"/>
  <c r="P1448"/>
  <c r="O1448"/>
  <c r="P1447"/>
  <c r="O1447"/>
  <c r="P1446"/>
  <c r="O1446"/>
  <c r="P1445"/>
  <c r="O1445"/>
  <c r="P1444"/>
  <c r="O1444"/>
  <c r="P1443"/>
  <c r="O1443"/>
  <c r="P1442"/>
  <c r="O1442"/>
  <c r="P1441"/>
  <c r="O1441"/>
  <c r="P1440"/>
  <c r="O1440"/>
  <c r="P1439"/>
  <c r="O1439"/>
  <c r="P1438"/>
  <c r="O1438"/>
  <c r="P1437"/>
  <c r="O1437"/>
  <c r="P1436"/>
  <c r="O1436"/>
  <c r="P1435"/>
  <c r="O1435"/>
  <c r="P1434"/>
  <c r="O1434"/>
  <c r="P1433"/>
  <c r="O1433"/>
  <c r="P1432"/>
  <c r="O1432"/>
  <c r="P1431"/>
  <c r="O1431"/>
  <c r="P1430"/>
  <c r="O1430"/>
  <c r="P1429"/>
  <c r="O1429"/>
  <c r="P1428"/>
  <c r="O1428"/>
  <c r="P1427"/>
  <c r="O1427"/>
  <c r="P1426"/>
  <c r="O1426"/>
  <c r="P1425"/>
  <c r="O1425"/>
  <c r="P1424"/>
  <c r="O1424"/>
  <c r="P1423"/>
  <c r="O1423"/>
  <c r="P1422"/>
  <c r="O1422"/>
  <c r="P1421"/>
  <c r="O1421"/>
  <c r="P1420"/>
  <c r="O1420"/>
  <c r="P1419"/>
  <c r="O1419"/>
  <c r="P1418"/>
  <c r="O1418"/>
  <c r="P1417"/>
  <c r="O1417"/>
  <c r="P1416"/>
  <c r="O1416"/>
  <c r="P1415"/>
  <c r="O1415"/>
  <c r="P1414"/>
  <c r="O1414"/>
  <c r="P1413"/>
  <c r="O1413"/>
  <c r="P1412"/>
  <c r="O1412"/>
  <c r="P1411"/>
  <c r="O1411"/>
  <c r="P1410"/>
  <c r="O1410"/>
  <c r="P1409"/>
  <c r="O1409"/>
  <c r="P1408"/>
  <c r="O1408"/>
  <c r="P1407"/>
  <c r="O1407"/>
  <c r="P1406"/>
  <c r="O1406"/>
  <c r="P1405"/>
  <c r="O1405"/>
  <c r="P1404"/>
  <c r="O1404"/>
  <c r="P1403"/>
  <c r="O1403"/>
  <c r="P1402"/>
  <c r="O1402"/>
  <c r="P1401"/>
  <c r="O1401"/>
  <c r="P1400"/>
  <c r="O1400"/>
  <c r="P1399"/>
  <c r="O1399"/>
  <c r="P1398"/>
  <c r="O1398"/>
  <c r="P1397"/>
  <c r="O1397"/>
  <c r="P1396"/>
  <c r="O1396"/>
  <c r="P1395"/>
  <c r="O1395"/>
  <c r="P1394"/>
  <c r="O1394"/>
  <c r="P1393"/>
  <c r="O1393"/>
  <c r="P1392"/>
  <c r="O1392"/>
  <c r="P1391"/>
  <c r="O1391"/>
  <c r="P1390"/>
  <c r="O1390"/>
  <c r="P1389"/>
  <c r="O1389"/>
  <c r="P1388"/>
  <c r="O1388"/>
  <c r="P1387"/>
  <c r="O1387"/>
  <c r="P1386"/>
  <c r="O1386"/>
  <c r="P1385"/>
  <c r="O1385"/>
  <c r="P1384"/>
  <c r="O1384"/>
  <c r="P1383"/>
  <c r="O1383"/>
  <c r="P1382"/>
  <c r="O1382"/>
  <c r="P1381"/>
  <c r="O1381"/>
  <c r="P1380"/>
  <c r="O1380"/>
  <c r="P1379"/>
  <c r="O1379"/>
  <c r="P1378"/>
  <c r="O1378"/>
  <c r="P1377"/>
  <c r="O1377"/>
  <c r="P1376"/>
  <c r="O1376"/>
  <c r="P1375"/>
  <c r="O1375"/>
  <c r="P1374"/>
  <c r="O1374"/>
  <c r="P1373"/>
  <c r="O1373"/>
  <c r="P1372"/>
  <c r="O1372"/>
  <c r="P1371"/>
  <c r="O1371"/>
  <c r="P1370"/>
  <c r="O1370"/>
  <c r="P1369"/>
  <c r="O1369"/>
  <c r="P1368"/>
  <c r="O1368"/>
  <c r="P1367"/>
  <c r="O1367"/>
  <c r="P1366"/>
  <c r="O1366"/>
  <c r="P1365"/>
  <c r="O1365"/>
  <c r="P1364"/>
  <c r="O1364"/>
  <c r="P1363"/>
  <c r="O1363"/>
  <c r="P1362"/>
  <c r="O1362"/>
  <c r="P1361"/>
  <c r="O1361"/>
  <c r="P1360"/>
  <c r="O1360"/>
  <c r="P1359"/>
  <c r="O1359"/>
  <c r="P1358"/>
  <c r="O1358"/>
  <c r="P1357"/>
  <c r="O1357"/>
  <c r="P1356"/>
  <c r="O1356"/>
  <c r="P1355"/>
  <c r="O1355"/>
  <c r="P1354"/>
  <c r="O1354"/>
  <c r="P1353"/>
  <c r="O1353"/>
  <c r="P1352"/>
  <c r="O1352"/>
  <c r="P1351"/>
  <c r="O1351"/>
  <c r="P1350"/>
  <c r="O1350"/>
  <c r="P1349"/>
  <c r="O1349"/>
  <c r="P1348"/>
  <c r="O1348"/>
  <c r="P1347"/>
  <c r="O1347"/>
  <c r="P1346"/>
  <c r="O1346"/>
  <c r="P1345"/>
  <c r="O1345"/>
  <c r="P1344"/>
  <c r="O1344"/>
  <c r="P1343"/>
  <c r="O1343"/>
  <c r="P1342"/>
  <c r="O1342"/>
  <c r="P1341"/>
  <c r="O1341"/>
  <c r="P1340"/>
  <c r="O1340"/>
  <c r="P1339"/>
  <c r="O1339"/>
  <c r="P1338"/>
  <c r="O1338"/>
  <c r="P1337"/>
  <c r="O1337"/>
  <c r="P1336"/>
  <c r="O1336"/>
  <c r="P1335"/>
  <c r="O1335"/>
  <c r="P1334"/>
  <c r="O1334"/>
  <c r="P1333"/>
  <c r="O1333"/>
  <c r="P1332"/>
  <c r="O1332"/>
  <c r="P1331"/>
  <c r="O1331"/>
  <c r="P1330"/>
  <c r="O1330"/>
  <c r="P1329"/>
  <c r="O1329"/>
  <c r="P1328"/>
  <c r="O1328"/>
  <c r="P1327"/>
  <c r="O1327"/>
  <c r="P1326"/>
  <c r="O1326"/>
  <c r="P1325"/>
  <c r="O1325"/>
  <c r="P1324"/>
  <c r="O1324"/>
  <c r="P1323"/>
  <c r="O1323"/>
  <c r="P1322"/>
  <c r="O1322"/>
  <c r="P1321"/>
  <c r="O1321"/>
  <c r="P1320"/>
  <c r="O1320"/>
  <c r="P1319"/>
  <c r="O1319"/>
  <c r="P1318"/>
  <c r="O1318"/>
  <c r="P1317"/>
  <c r="O1317"/>
  <c r="P1316"/>
  <c r="O1316"/>
  <c r="P1315"/>
  <c r="O1315"/>
  <c r="P1314"/>
  <c r="O1314"/>
  <c r="P1313"/>
  <c r="O1313"/>
  <c r="P1312"/>
  <c r="O1312"/>
  <c r="P1311"/>
  <c r="O1311"/>
  <c r="P1310"/>
  <c r="O1310"/>
  <c r="P1309"/>
  <c r="O1309"/>
  <c r="P1308"/>
  <c r="O1308"/>
  <c r="P1307"/>
  <c r="O1307"/>
  <c r="P1306"/>
  <c r="O1306"/>
  <c r="P1305"/>
  <c r="O1305"/>
  <c r="P1304"/>
  <c r="O1304"/>
  <c r="P1303"/>
  <c r="O1303"/>
  <c r="P1302"/>
  <c r="O1302"/>
  <c r="P1301"/>
  <c r="O1301"/>
  <c r="P1300"/>
  <c r="O1300"/>
  <c r="P1299"/>
  <c r="O1299"/>
  <c r="P1298"/>
  <c r="O1298"/>
  <c r="P1297"/>
  <c r="O1297"/>
  <c r="P1296"/>
  <c r="O1296"/>
  <c r="P1295"/>
  <c r="O1295"/>
  <c r="P1294"/>
  <c r="O1294"/>
  <c r="P1293"/>
  <c r="O1293"/>
  <c r="P1292"/>
  <c r="O1292"/>
  <c r="P1291"/>
  <c r="O1291"/>
  <c r="P1290"/>
  <c r="O1290"/>
  <c r="P1289"/>
  <c r="O1289"/>
  <c r="P1288"/>
  <c r="O1288"/>
  <c r="P1287"/>
  <c r="O1287"/>
  <c r="P1286"/>
  <c r="O1286"/>
  <c r="P1285"/>
  <c r="O1285"/>
  <c r="P1284"/>
  <c r="O1284"/>
  <c r="P1283"/>
  <c r="O1283"/>
  <c r="P1282"/>
  <c r="O1282"/>
  <c r="P1281"/>
  <c r="O1281"/>
  <c r="P1280"/>
  <c r="O1280"/>
  <c r="P1279"/>
  <c r="O1279"/>
  <c r="P1278"/>
  <c r="O1278"/>
  <c r="P1277"/>
  <c r="O1277"/>
  <c r="P1276"/>
  <c r="O1276"/>
  <c r="P1275"/>
  <c r="O1275"/>
  <c r="P1274"/>
  <c r="O1274"/>
  <c r="P1273"/>
  <c r="O1273"/>
  <c r="P1272"/>
  <c r="O1272"/>
  <c r="P1271"/>
  <c r="O1271"/>
  <c r="P1270"/>
  <c r="O1270"/>
  <c r="P1269"/>
  <c r="O1269"/>
  <c r="P1268"/>
  <c r="O1268"/>
  <c r="P1267"/>
  <c r="O1267"/>
  <c r="P1266"/>
  <c r="O1266"/>
  <c r="P1265"/>
  <c r="O1265"/>
  <c r="P1264"/>
  <c r="O1264"/>
  <c r="P1263"/>
  <c r="O1263"/>
  <c r="P1262"/>
  <c r="O1262"/>
  <c r="P1261"/>
  <c r="O1261"/>
  <c r="P1260"/>
  <c r="O1260"/>
  <c r="P1259"/>
  <c r="O1259"/>
  <c r="P1258"/>
  <c r="O1258"/>
  <c r="P1257"/>
  <c r="O1257"/>
  <c r="P1256"/>
  <c r="O1256"/>
  <c r="P1255"/>
  <c r="O1255"/>
  <c r="P1254"/>
  <c r="O1254"/>
  <c r="P1253"/>
  <c r="O1253"/>
  <c r="P1252"/>
  <c r="O1252"/>
  <c r="P1251"/>
  <c r="O1251"/>
  <c r="P1250"/>
  <c r="O1250"/>
  <c r="P1249"/>
  <c r="O1249"/>
  <c r="P1248"/>
  <c r="O1248"/>
  <c r="P1247"/>
  <c r="O1247"/>
  <c r="P1246"/>
  <c r="O1246"/>
  <c r="P1245"/>
  <c r="O1245"/>
  <c r="P1244"/>
  <c r="O1244"/>
  <c r="P1243"/>
  <c r="O1243"/>
  <c r="P1242"/>
  <c r="O1242"/>
  <c r="P1241"/>
  <c r="O1241"/>
  <c r="P1240"/>
  <c r="O1240"/>
  <c r="P1239"/>
  <c r="O1239"/>
  <c r="P1238"/>
  <c r="O1238"/>
  <c r="P1237"/>
  <c r="O1237"/>
  <c r="P1236"/>
  <c r="O1236"/>
  <c r="P1235"/>
  <c r="O1235"/>
  <c r="P1234"/>
  <c r="O1234"/>
  <c r="P1233"/>
  <c r="O1233"/>
  <c r="P1232"/>
  <c r="O1232"/>
  <c r="P1231"/>
  <c r="O1231"/>
  <c r="P1230"/>
  <c r="O1230"/>
  <c r="P1229"/>
  <c r="O1229"/>
  <c r="P1228"/>
  <c r="O1228"/>
  <c r="P1227"/>
  <c r="O1227"/>
  <c r="P1226"/>
  <c r="O1226"/>
  <c r="P1225"/>
  <c r="O1225"/>
  <c r="P1224"/>
  <c r="O1224"/>
  <c r="P1223"/>
  <c r="O1223"/>
  <c r="P1222"/>
  <c r="O1222"/>
  <c r="P1221"/>
  <c r="O1221"/>
  <c r="P1220"/>
  <c r="O1220"/>
  <c r="P1219"/>
  <c r="O1219"/>
  <c r="P1218"/>
  <c r="O1218"/>
  <c r="P1217"/>
  <c r="O1217"/>
  <c r="P1216"/>
  <c r="O1216"/>
  <c r="P1215"/>
  <c r="O1215"/>
  <c r="P1214"/>
  <c r="O1214"/>
  <c r="P1213"/>
  <c r="O1213"/>
  <c r="P1212"/>
  <c r="O1212"/>
  <c r="P1211"/>
  <c r="O1211"/>
  <c r="P1210"/>
  <c r="O1210"/>
  <c r="P1209"/>
  <c r="O1209"/>
  <c r="P1208"/>
  <c r="O1208"/>
  <c r="P1207"/>
  <c r="O1207"/>
  <c r="P1206"/>
  <c r="O1206"/>
  <c r="P1205"/>
  <c r="O1205"/>
  <c r="P1204"/>
  <c r="O1204"/>
  <c r="P1203"/>
  <c r="O1203"/>
  <c r="P1202"/>
  <c r="O1202"/>
  <c r="P1201"/>
  <c r="O1201"/>
  <c r="P1200"/>
  <c r="O1200"/>
  <c r="P1199"/>
  <c r="O1199"/>
  <c r="P1198"/>
  <c r="O1198"/>
  <c r="P1197"/>
  <c r="O1197"/>
  <c r="P1196"/>
  <c r="O1196"/>
  <c r="P1195"/>
  <c r="O1195"/>
  <c r="P1194"/>
  <c r="O1194"/>
  <c r="P1193"/>
  <c r="O1193"/>
  <c r="P1192"/>
  <c r="O1192"/>
  <c r="P1191"/>
  <c r="O1191"/>
  <c r="P1190"/>
  <c r="O1190"/>
  <c r="P1189"/>
  <c r="O1189"/>
  <c r="P1188"/>
  <c r="O1188"/>
  <c r="P1187"/>
  <c r="O1187"/>
  <c r="P1186"/>
  <c r="O1186"/>
  <c r="P1185"/>
  <c r="O1185"/>
  <c r="P1184"/>
  <c r="O1184"/>
  <c r="P1183"/>
  <c r="O1183"/>
  <c r="P1182"/>
  <c r="O1182"/>
  <c r="P1181"/>
  <c r="O1181"/>
  <c r="P1180"/>
  <c r="O1180"/>
  <c r="P1179"/>
  <c r="O1179"/>
  <c r="P1178"/>
  <c r="O1178"/>
  <c r="P1177"/>
  <c r="O1177"/>
  <c r="P1176"/>
  <c r="O1176"/>
  <c r="P1175"/>
  <c r="O1175"/>
  <c r="P1174"/>
  <c r="O1174"/>
  <c r="P1173"/>
  <c r="O1173"/>
  <c r="P1172"/>
  <c r="O1172"/>
  <c r="P1171"/>
  <c r="O1171"/>
  <c r="P1170"/>
  <c r="O1170"/>
  <c r="P1169"/>
  <c r="O1169"/>
  <c r="P1168"/>
  <c r="O1168"/>
  <c r="P1167"/>
  <c r="O1167"/>
  <c r="P1166"/>
  <c r="O1166"/>
  <c r="P1165"/>
  <c r="O1165"/>
  <c r="P1164"/>
  <c r="O1164"/>
  <c r="P1163"/>
  <c r="O1163"/>
  <c r="P1162"/>
  <c r="O1162"/>
  <c r="P1161"/>
  <c r="O1161"/>
  <c r="P1160"/>
  <c r="O1160"/>
  <c r="P1159"/>
  <c r="O1159"/>
  <c r="P1158"/>
  <c r="O1158"/>
  <c r="P1157"/>
  <c r="O1157"/>
  <c r="P1156"/>
  <c r="O1156"/>
  <c r="P1155"/>
  <c r="O1155"/>
  <c r="P1154"/>
  <c r="O1154"/>
  <c r="P1153"/>
  <c r="O1153"/>
  <c r="P1152"/>
  <c r="O1152"/>
  <c r="P1151"/>
  <c r="O1151"/>
  <c r="P1150"/>
  <c r="O1150"/>
  <c r="P1149"/>
  <c r="O1149"/>
  <c r="P1148"/>
  <c r="O1148"/>
  <c r="P1147"/>
  <c r="O1147"/>
  <c r="P1146"/>
  <c r="O1146"/>
  <c r="P1145"/>
  <c r="O1145"/>
  <c r="P1144"/>
  <c r="O1144"/>
  <c r="P1143"/>
  <c r="O1143"/>
  <c r="P1142"/>
  <c r="O1142"/>
  <c r="P1141"/>
  <c r="O1141"/>
  <c r="P1140"/>
  <c r="O1140"/>
  <c r="P1139"/>
  <c r="O1139"/>
  <c r="P1138"/>
  <c r="O1138"/>
  <c r="P1137"/>
  <c r="O1137"/>
  <c r="P1136"/>
  <c r="O1136"/>
  <c r="P1135"/>
  <c r="O1135"/>
  <c r="P1134"/>
  <c r="O1134"/>
  <c r="P1133"/>
  <c r="O1133"/>
  <c r="P1132"/>
  <c r="O1132"/>
  <c r="P1131"/>
  <c r="O1131"/>
  <c r="P1130"/>
  <c r="O1130"/>
  <c r="P1129"/>
  <c r="O1129"/>
  <c r="P1128"/>
  <c r="O1128"/>
  <c r="P1127"/>
  <c r="O1127"/>
  <c r="P1126"/>
  <c r="O1126"/>
  <c r="P1125"/>
  <c r="O1125"/>
  <c r="P1124"/>
  <c r="O1124"/>
  <c r="P1123"/>
  <c r="O1123"/>
  <c r="P1122"/>
  <c r="O1122"/>
  <c r="P1121"/>
  <c r="O1121"/>
  <c r="P1120"/>
  <c r="O1120"/>
  <c r="P1119"/>
  <c r="O1119"/>
  <c r="P1118"/>
  <c r="O1118"/>
  <c r="P1117"/>
  <c r="O1117"/>
  <c r="P1116"/>
  <c r="O1116"/>
  <c r="P1115"/>
  <c r="O1115"/>
  <c r="P1114"/>
  <c r="O1114"/>
  <c r="P1113"/>
  <c r="O1113"/>
  <c r="P1112"/>
  <c r="O1112"/>
  <c r="P1111"/>
  <c r="O1111"/>
  <c r="P1110"/>
  <c r="O1110"/>
  <c r="P1109"/>
  <c r="O1109"/>
  <c r="P1108"/>
  <c r="O1108"/>
  <c r="P1107"/>
  <c r="O1107"/>
  <c r="P1106"/>
  <c r="O1106"/>
  <c r="P1105"/>
  <c r="O1105"/>
  <c r="P1104"/>
  <c r="O1104"/>
  <c r="P1103"/>
  <c r="O1103"/>
  <c r="P1102"/>
  <c r="O1102"/>
  <c r="P1101"/>
  <c r="O1101"/>
  <c r="P1100"/>
  <c r="O1100"/>
  <c r="P1099"/>
  <c r="O1099"/>
  <c r="P1098"/>
  <c r="O1098"/>
  <c r="P1097"/>
  <c r="O1097"/>
  <c r="P1096"/>
  <c r="O1096"/>
  <c r="P1095"/>
  <c r="O1095"/>
  <c r="P1094"/>
  <c r="O1094"/>
  <c r="P1093"/>
  <c r="O1093"/>
  <c r="P1092"/>
  <c r="O1092"/>
  <c r="P1091"/>
  <c r="O1091"/>
  <c r="P1090"/>
  <c r="O1090"/>
  <c r="P1089"/>
  <c r="O1089"/>
  <c r="P1088"/>
  <c r="O1088"/>
  <c r="P1087"/>
  <c r="O1087"/>
  <c r="P1086"/>
  <c r="O1086"/>
  <c r="P1085"/>
  <c r="O1085"/>
  <c r="P1084"/>
  <c r="O1084"/>
  <c r="P1083"/>
  <c r="O1083"/>
  <c r="P1082"/>
  <c r="O1082"/>
  <c r="P1081"/>
  <c r="O1081"/>
  <c r="P1080"/>
  <c r="O1080"/>
  <c r="P1079"/>
  <c r="O1079"/>
  <c r="P1078"/>
  <c r="O1078"/>
  <c r="P1077"/>
  <c r="O1077"/>
  <c r="P1076"/>
  <c r="O1076"/>
  <c r="P1075"/>
  <c r="O1075"/>
  <c r="P1074"/>
  <c r="O1074"/>
  <c r="P1073"/>
  <c r="O1073"/>
  <c r="P1072"/>
  <c r="O1072"/>
  <c r="P1071"/>
  <c r="O1071"/>
  <c r="P1070"/>
  <c r="O1070"/>
  <c r="P1069"/>
  <c r="O1069"/>
  <c r="P1068"/>
  <c r="O1068"/>
  <c r="P1067"/>
  <c r="O1067"/>
  <c r="P1066"/>
  <c r="O1066"/>
  <c r="P1065"/>
  <c r="O1065"/>
  <c r="P1064"/>
  <c r="O1064"/>
  <c r="P1063"/>
  <c r="O1063"/>
  <c r="P1062"/>
  <c r="O1062"/>
  <c r="P1061"/>
  <c r="O1061"/>
  <c r="P1060"/>
  <c r="O1060"/>
  <c r="P1059"/>
  <c r="O1059"/>
  <c r="P1058"/>
  <c r="O1058"/>
  <c r="P1057"/>
  <c r="O1057"/>
  <c r="P1056"/>
  <c r="O1056"/>
  <c r="P1055"/>
  <c r="O1055"/>
  <c r="P1054"/>
  <c r="O1054"/>
  <c r="P1053"/>
  <c r="O1053"/>
  <c r="P1052"/>
  <c r="O1052"/>
  <c r="P1051"/>
  <c r="O1051"/>
  <c r="P1050"/>
  <c r="O1050"/>
  <c r="P1049"/>
  <c r="O1049"/>
  <c r="P1048"/>
  <c r="O1048"/>
  <c r="P1047"/>
  <c r="O1047"/>
  <c r="P1046"/>
  <c r="O1046"/>
  <c r="P1045"/>
  <c r="O1045"/>
  <c r="P1044"/>
  <c r="O1044"/>
  <c r="P1043"/>
  <c r="O1043"/>
  <c r="P1042"/>
  <c r="O1042"/>
  <c r="P1041"/>
  <c r="O1041"/>
  <c r="P1040"/>
  <c r="O1040"/>
  <c r="P1039"/>
  <c r="O1039"/>
  <c r="P1038"/>
  <c r="O1038"/>
  <c r="P1037"/>
  <c r="O1037"/>
  <c r="P1036"/>
  <c r="O1036"/>
  <c r="P1035"/>
  <c r="O1035"/>
  <c r="P1034"/>
  <c r="O1034"/>
  <c r="P1033"/>
  <c r="O1033"/>
  <c r="P1032"/>
  <c r="O1032"/>
  <c r="P1031"/>
  <c r="O1031"/>
  <c r="P1030"/>
  <c r="O1030"/>
  <c r="P1029"/>
  <c r="O1029"/>
  <c r="P1028"/>
  <c r="O1028"/>
  <c r="P1027"/>
  <c r="O1027"/>
  <c r="P1026"/>
  <c r="O1026"/>
  <c r="P1025"/>
  <c r="O1025"/>
  <c r="P1024"/>
  <c r="O1024"/>
  <c r="P1023"/>
  <c r="O1023"/>
  <c r="P1022"/>
  <c r="O1022"/>
  <c r="P1021"/>
  <c r="O1021"/>
  <c r="P1020"/>
  <c r="O1020"/>
  <c r="P1019"/>
  <c r="O1019"/>
  <c r="P1018"/>
  <c r="O1018"/>
  <c r="P1017"/>
  <c r="O1017"/>
  <c r="P1016"/>
  <c r="O1016"/>
  <c r="P1015"/>
  <c r="O1015"/>
  <c r="P1014"/>
  <c r="O1014"/>
  <c r="P1013"/>
  <c r="O1013"/>
  <c r="P1012"/>
  <c r="O1012"/>
  <c r="P1011"/>
  <c r="O1011"/>
  <c r="P1010"/>
  <c r="O1010"/>
  <c r="P1009"/>
  <c r="O1009"/>
  <c r="P1008"/>
  <c r="O1008"/>
  <c r="P1007"/>
  <c r="O1007"/>
  <c r="P1006"/>
  <c r="O1006"/>
  <c r="P1005"/>
  <c r="O1005"/>
  <c r="P1004"/>
  <c r="O1004"/>
  <c r="P1003"/>
  <c r="O1003"/>
  <c r="P1002"/>
  <c r="O1002"/>
  <c r="P1001"/>
  <c r="O1001"/>
  <c r="P1000"/>
  <c r="O1000"/>
  <c r="P999"/>
  <c r="O999"/>
  <c r="P998"/>
  <c r="O998"/>
  <c r="P997"/>
  <c r="O997"/>
  <c r="P996"/>
  <c r="O996"/>
  <c r="P995"/>
  <c r="O995"/>
  <c r="P994"/>
  <c r="O994"/>
  <c r="P993"/>
  <c r="O993"/>
  <c r="P992"/>
  <c r="O992"/>
  <c r="P991"/>
  <c r="O991"/>
  <c r="P990"/>
  <c r="O990"/>
  <c r="P989"/>
  <c r="O989"/>
  <c r="P988"/>
  <c r="O988"/>
  <c r="P987"/>
  <c r="O987"/>
  <c r="P986"/>
  <c r="O986"/>
  <c r="P985"/>
  <c r="O985"/>
  <c r="P984"/>
  <c r="O984"/>
  <c r="P983"/>
  <c r="O983"/>
  <c r="P982"/>
  <c r="O982"/>
  <c r="P981"/>
  <c r="O981"/>
  <c r="P980"/>
  <c r="O980"/>
  <c r="P979"/>
  <c r="O979"/>
  <c r="P978"/>
  <c r="O978"/>
  <c r="P977"/>
  <c r="O977"/>
  <c r="P976"/>
  <c r="O976"/>
  <c r="P975"/>
  <c r="O975"/>
  <c r="P974"/>
  <c r="O974"/>
  <c r="P973"/>
  <c r="O973"/>
  <c r="P972"/>
  <c r="O972"/>
  <c r="P971"/>
  <c r="O971"/>
  <c r="P970"/>
  <c r="O970"/>
  <c r="P969"/>
  <c r="O969"/>
  <c r="P968"/>
  <c r="O968"/>
  <c r="P967"/>
  <c r="O967"/>
  <c r="P966"/>
  <c r="O966"/>
  <c r="P965"/>
  <c r="O965"/>
  <c r="P964"/>
  <c r="O964"/>
  <c r="P963"/>
  <c r="O963"/>
  <c r="P962"/>
  <c r="O962"/>
  <c r="P961"/>
  <c r="O961"/>
  <c r="P960"/>
  <c r="O960"/>
  <c r="P959"/>
  <c r="O959"/>
  <c r="P958"/>
  <c r="O958"/>
  <c r="P957"/>
  <c r="O957"/>
  <c r="P956"/>
  <c r="O956"/>
  <c r="P955"/>
  <c r="O955"/>
  <c r="P954"/>
  <c r="O954"/>
  <c r="P953"/>
  <c r="O953"/>
  <c r="P952"/>
  <c r="O952"/>
  <c r="P951"/>
  <c r="O951"/>
  <c r="P950"/>
  <c r="O950"/>
  <c r="P949"/>
  <c r="O949"/>
  <c r="P948"/>
  <c r="O948"/>
  <c r="P947"/>
  <c r="O947"/>
  <c r="P946"/>
  <c r="O946"/>
  <c r="P945"/>
  <c r="O945"/>
  <c r="P944"/>
  <c r="O944"/>
  <c r="P943"/>
  <c r="O943"/>
  <c r="P942"/>
  <c r="O942"/>
  <c r="P941"/>
  <c r="O941"/>
  <c r="P940"/>
  <c r="O940"/>
  <c r="P939"/>
  <c r="O939"/>
  <c r="P938"/>
  <c r="O938"/>
  <c r="P937"/>
  <c r="O937"/>
  <c r="P936"/>
  <c r="O936"/>
  <c r="P935"/>
  <c r="O935"/>
  <c r="P934"/>
  <c r="O934"/>
  <c r="P933"/>
  <c r="O933"/>
  <c r="P932"/>
  <c r="O932"/>
  <c r="P931"/>
  <c r="O931"/>
  <c r="P930"/>
  <c r="O930"/>
  <c r="P929"/>
  <c r="O929"/>
  <c r="P928"/>
  <c r="O928"/>
  <c r="P927"/>
  <c r="O927"/>
  <c r="P926"/>
  <c r="O926"/>
  <c r="P925"/>
  <c r="O925"/>
  <c r="P924"/>
  <c r="O924"/>
  <c r="P923"/>
  <c r="O923"/>
  <c r="P922"/>
  <c r="O922"/>
  <c r="P921"/>
  <c r="O921"/>
  <c r="P920"/>
  <c r="O920"/>
  <c r="P919"/>
  <c r="O919"/>
  <c r="P918"/>
  <c r="O918"/>
  <c r="P917"/>
  <c r="O917"/>
  <c r="P916"/>
  <c r="O916"/>
  <c r="P915"/>
  <c r="O915"/>
  <c r="P914"/>
  <c r="O914"/>
  <c r="P913"/>
  <c r="O913"/>
  <c r="P912"/>
  <c r="O912"/>
  <c r="P911"/>
  <c r="O911"/>
  <c r="P910"/>
  <c r="O910"/>
  <c r="P909"/>
  <c r="O909"/>
  <c r="P908"/>
  <c r="O908"/>
  <c r="P907"/>
  <c r="O907"/>
  <c r="P906"/>
  <c r="O906"/>
  <c r="P905"/>
  <c r="O905"/>
  <c r="P904"/>
  <c r="O904"/>
  <c r="P903"/>
  <c r="O903"/>
  <c r="P902"/>
  <c r="O902"/>
  <c r="P901"/>
  <c r="O901"/>
  <c r="P900"/>
  <c r="O900"/>
  <c r="P899"/>
  <c r="O899"/>
  <c r="P898"/>
  <c r="O898"/>
  <c r="P897"/>
  <c r="O897"/>
  <c r="P896"/>
  <c r="O896"/>
  <c r="P895"/>
  <c r="O895"/>
  <c r="P894"/>
  <c r="O894"/>
  <c r="P893"/>
  <c r="O893"/>
  <c r="P892"/>
  <c r="O892"/>
  <c r="P891"/>
  <c r="O891"/>
  <c r="P890"/>
  <c r="O890"/>
  <c r="P889"/>
  <c r="O889"/>
  <c r="P888"/>
  <c r="O888"/>
  <c r="P887"/>
  <c r="O887"/>
  <c r="P886"/>
  <c r="O886"/>
  <c r="P885"/>
  <c r="O885"/>
  <c r="P884"/>
  <c r="O884"/>
  <c r="P883"/>
  <c r="O883"/>
  <c r="P882"/>
  <c r="O882"/>
  <c r="P881"/>
  <c r="O881"/>
  <c r="P880"/>
  <c r="O880"/>
  <c r="P879"/>
  <c r="O879"/>
  <c r="P878"/>
  <c r="O878"/>
  <c r="P877"/>
  <c r="O877"/>
  <c r="P876"/>
  <c r="O876"/>
  <c r="P875"/>
  <c r="O875"/>
  <c r="P874"/>
  <c r="O874"/>
  <c r="P873"/>
  <c r="O873"/>
  <c r="P872"/>
  <c r="O872"/>
  <c r="P871"/>
  <c r="O871"/>
  <c r="P870"/>
  <c r="O870"/>
  <c r="P869"/>
  <c r="O869"/>
  <c r="P868"/>
  <c r="O868"/>
  <c r="P867"/>
  <c r="O867"/>
  <c r="P866"/>
  <c r="O866"/>
  <c r="P865"/>
  <c r="O865"/>
  <c r="P864"/>
  <c r="O864"/>
  <c r="P863"/>
  <c r="O863"/>
  <c r="P862"/>
  <c r="O862"/>
  <c r="P861"/>
  <c r="O861"/>
  <c r="P860"/>
  <c r="O860"/>
  <c r="P859"/>
  <c r="O859"/>
  <c r="P858"/>
  <c r="O858"/>
  <c r="P857"/>
  <c r="O857"/>
  <c r="P856"/>
  <c r="O856"/>
  <c r="P855"/>
  <c r="O855"/>
  <c r="P854"/>
  <c r="O854"/>
  <c r="P853"/>
  <c r="O853"/>
  <c r="P852"/>
  <c r="O852"/>
  <c r="P851"/>
  <c r="O851"/>
  <c r="P850"/>
  <c r="O850"/>
  <c r="P849"/>
  <c r="O849"/>
  <c r="P848"/>
  <c r="O848"/>
  <c r="P847"/>
  <c r="O847"/>
  <c r="P846"/>
  <c r="O846"/>
  <c r="P845"/>
  <c r="O845"/>
  <c r="P844"/>
  <c r="O844"/>
  <c r="P843"/>
  <c r="O843"/>
  <c r="P842"/>
  <c r="O842"/>
  <c r="P841"/>
  <c r="O841"/>
  <c r="P840"/>
  <c r="O840"/>
  <c r="P839"/>
  <c r="O839"/>
  <c r="P838"/>
  <c r="O838"/>
  <c r="P837"/>
  <c r="O837"/>
  <c r="P836"/>
  <c r="O836"/>
  <c r="P835"/>
  <c r="O835"/>
  <c r="P834"/>
  <c r="O834"/>
  <c r="P833"/>
  <c r="O833"/>
  <c r="P832"/>
  <c r="O832"/>
  <c r="P831"/>
  <c r="O831"/>
  <c r="P830"/>
  <c r="O830"/>
  <c r="P829"/>
  <c r="O829"/>
  <c r="P828"/>
  <c r="O828"/>
  <c r="P827"/>
  <c r="O827"/>
  <c r="P826"/>
  <c r="O826"/>
  <c r="P825"/>
  <c r="O825"/>
  <c r="P824"/>
  <c r="O824"/>
  <c r="P823"/>
  <c r="O823"/>
  <c r="P822"/>
  <c r="O822"/>
  <c r="P821"/>
  <c r="O821"/>
  <c r="P820"/>
  <c r="O820"/>
  <c r="P819"/>
  <c r="O819"/>
  <c r="P818"/>
  <c r="O818"/>
  <c r="P817"/>
  <c r="O817"/>
  <c r="P816"/>
  <c r="O816"/>
  <c r="P815"/>
  <c r="O815"/>
  <c r="P814"/>
  <c r="O814"/>
  <c r="P813"/>
  <c r="O813"/>
  <c r="P812"/>
  <c r="O812"/>
  <c r="P811"/>
  <c r="O811"/>
  <c r="P810"/>
  <c r="O810"/>
  <c r="P809"/>
  <c r="O809"/>
  <c r="P808"/>
  <c r="O808"/>
  <c r="P807"/>
  <c r="O807"/>
  <c r="P806"/>
  <c r="O806"/>
  <c r="P805"/>
  <c r="O805"/>
  <c r="P804"/>
  <c r="O804"/>
  <c r="P803"/>
  <c r="O803"/>
  <c r="P802"/>
  <c r="O802"/>
  <c r="P801"/>
  <c r="O801"/>
  <c r="P800"/>
  <c r="O800"/>
  <c r="P799"/>
  <c r="O799"/>
  <c r="P798"/>
  <c r="O798"/>
  <c r="P797"/>
  <c r="O797"/>
  <c r="P796"/>
  <c r="O796"/>
  <c r="P795"/>
  <c r="O795"/>
  <c r="P794"/>
  <c r="O794"/>
  <c r="P793"/>
  <c r="O793"/>
  <c r="P792"/>
  <c r="O792"/>
  <c r="P791"/>
  <c r="O791"/>
  <c r="P790"/>
  <c r="O790"/>
  <c r="P789"/>
  <c r="O789"/>
  <c r="P788"/>
  <c r="O788"/>
  <c r="P787"/>
  <c r="O787"/>
  <c r="P786"/>
  <c r="O786"/>
  <c r="P785"/>
  <c r="O785"/>
  <c r="P784"/>
  <c r="O784"/>
  <c r="P783"/>
  <c r="O783"/>
  <c r="P782"/>
  <c r="O782"/>
  <c r="P781"/>
  <c r="O781"/>
  <c r="P780"/>
  <c r="O780"/>
  <c r="P779"/>
  <c r="O779"/>
  <c r="P778"/>
  <c r="O778"/>
  <c r="P777"/>
  <c r="O777"/>
  <c r="P776"/>
  <c r="O776"/>
  <c r="P775"/>
  <c r="O775"/>
  <c r="P774"/>
  <c r="O774"/>
  <c r="P773"/>
  <c r="O773"/>
  <c r="P772"/>
  <c r="O772"/>
  <c r="P771"/>
  <c r="O771"/>
  <c r="P770"/>
  <c r="O770"/>
  <c r="P769"/>
  <c r="O769"/>
  <c r="P768"/>
  <c r="O768"/>
  <c r="P767"/>
  <c r="O767"/>
  <c r="P766"/>
  <c r="O766"/>
  <c r="P765"/>
  <c r="O765"/>
  <c r="P764"/>
  <c r="O764"/>
  <c r="P763"/>
  <c r="O763"/>
  <c r="P762"/>
  <c r="O762"/>
  <c r="P761"/>
  <c r="O761"/>
  <c r="P760"/>
  <c r="O760"/>
  <c r="P759"/>
  <c r="O759"/>
  <c r="P758"/>
  <c r="O758"/>
  <c r="P757"/>
  <c r="O757"/>
  <c r="P756"/>
  <c r="O756"/>
  <c r="P755"/>
  <c r="O755"/>
  <c r="P754"/>
  <c r="O754"/>
  <c r="P753"/>
  <c r="O753"/>
  <c r="P752"/>
  <c r="O752"/>
  <c r="P751"/>
  <c r="O751"/>
  <c r="P750"/>
  <c r="O750"/>
  <c r="P749"/>
  <c r="O749"/>
  <c r="P748"/>
  <c r="O748"/>
  <c r="P747"/>
  <c r="O747"/>
  <c r="P746"/>
  <c r="O746"/>
  <c r="P745"/>
  <c r="O745"/>
  <c r="P744"/>
  <c r="O744"/>
  <c r="P743"/>
  <c r="O743"/>
  <c r="P742"/>
  <c r="O742"/>
  <c r="P741"/>
  <c r="O741"/>
  <c r="P740"/>
  <c r="O740"/>
  <c r="P739"/>
  <c r="O739"/>
  <c r="P738"/>
  <c r="O738"/>
  <c r="P737"/>
  <c r="O737"/>
  <c r="P736"/>
  <c r="O736"/>
  <c r="P735"/>
  <c r="O735"/>
  <c r="P734"/>
  <c r="O734"/>
  <c r="P733"/>
  <c r="O733"/>
  <c r="P732"/>
  <c r="O732"/>
  <c r="P731"/>
  <c r="O731"/>
  <c r="P730"/>
  <c r="O730"/>
  <c r="P729"/>
  <c r="O729"/>
  <c r="P728"/>
  <c r="O728"/>
  <c r="P727"/>
  <c r="O727"/>
  <c r="P726"/>
  <c r="O726"/>
  <c r="P725"/>
  <c r="O725"/>
  <c r="P724"/>
  <c r="O724"/>
  <c r="P723"/>
  <c r="O723"/>
  <c r="P722"/>
  <c r="O722"/>
  <c r="P721"/>
  <c r="O721"/>
  <c r="P720"/>
  <c r="O720"/>
  <c r="P719"/>
  <c r="O719"/>
  <c r="P718"/>
  <c r="O718"/>
  <c r="P717"/>
  <c r="O717"/>
  <c r="P716"/>
  <c r="O716"/>
  <c r="P715"/>
  <c r="O715"/>
  <c r="P714"/>
  <c r="O714"/>
  <c r="P713"/>
  <c r="O713"/>
  <c r="P712"/>
  <c r="O712"/>
  <c r="P711"/>
  <c r="O711"/>
  <c r="P710"/>
  <c r="O710"/>
  <c r="P709"/>
  <c r="O709"/>
  <c r="P708"/>
  <c r="O708"/>
  <c r="P707"/>
  <c r="O707"/>
  <c r="P706"/>
  <c r="O706"/>
  <c r="P705"/>
  <c r="O705"/>
  <c r="P704"/>
  <c r="O704"/>
  <c r="P703"/>
  <c r="O703"/>
  <c r="P702"/>
  <c r="O702"/>
  <c r="P701"/>
  <c r="O701"/>
  <c r="P700"/>
  <c r="O700"/>
  <c r="P699"/>
  <c r="O699"/>
  <c r="P698"/>
  <c r="O698"/>
  <c r="P697"/>
  <c r="O697"/>
  <c r="P696"/>
  <c r="O696"/>
  <c r="P695"/>
  <c r="O695"/>
  <c r="P694"/>
  <c r="O694"/>
  <c r="P693"/>
  <c r="O693"/>
  <c r="P692"/>
  <c r="O692"/>
  <c r="P691"/>
  <c r="O691"/>
  <c r="P690"/>
  <c r="O690"/>
  <c r="P689"/>
  <c r="O689"/>
  <c r="P688"/>
  <c r="O688"/>
  <c r="P687"/>
  <c r="O687"/>
  <c r="P686"/>
  <c r="O686"/>
  <c r="P685"/>
  <c r="O685"/>
  <c r="P684"/>
  <c r="O684"/>
  <c r="P683"/>
  <c r="O683"/>
  <c r="P682"/>
  <c r="O682"/>
  <c r="P681"/>
  <c r="O681"/>
  <c r="P680"/>
  <c r="O680"/>
  <c r="P679"/>
  <c r="O679"/>
  <c r="P678"/>
  <c r="O678"/>
  <c r="P677"/>
  <c r="O677"/>
  <c r="P676"/>
  <c r="O676"/>
  <c r="P675"/>
  <c r="O675"/>
  <c r="P674"/>
  <c r="O674"/>
  <c r="P673"/>
  <c r="O673"/>
  <c r="P672"/>
  <c r="O672"/>
  <c r="P671"/>
  <c r="O671"/>
  <c r="P670"/>
  <c r="O670"/>
  <c r="P669"/>
  <c r="O669"/>
  <c r="P668"/>
  <c r="O668"/>
  <c r="P667"/>
  <c r="O667"/>
  <c r="P666"/>
  <c r="O666"/>
  <c r="P665"/>
  <c r="O665"/>
  <c r="P664"/>
  <c r="O664"/>
  <c r="P663"/>
  <c r="O663"/>
  <c r="P662"/>
  <c r="O662"/>
  <c r="P661"/>
  <c r="O661"/>
  <c r="P660"/>
  <c r="O660"/>
  <c r="P659"/>
  <c r="O659"/>
  <c r="P658"/>
  <c r="O658"/>
  <c r="P657"/>
  <c r="O657"/>
  <c r="P656"/>
  <c r="O656"/>
  <c r="P655"/>
  <c r="O655"/>
  <c r="P654"/>
  <c r="O654"/>
  <c r="P653"/>
  <c r="O653"/>
  <c r="P652"/>
  <c r="O652"/>
  <c r="P651"/>
  <c r="O651"/>
  <c r="P650"/>
  <c r="O650"/>
  <c r="P649"/>
  <c r="O649"/>
  <c r="P648"/>
  <c r="O648"/>
  <c r="P647"/>
  <c r="O647"/>
  <c r="P646"/>
  <c r="O646"/>
  <c r="P645"/>
  <c r="O645"/>
  <c r="P644"/>
  <c r="O644"/>
  <c r="P643"/>
  <c r="O643"/>
  <c r="P642"/>
  <c r="O642"/>
  <c r="P641"/>
  <c r="O641"/>
  <c r="P640"/>
  <c r="O640"/>
  <c r="P639"/>
  <c r="O639"/>
  <c r="P638"/>
  <c r="O638"/>
  <c r="P637"/>
  <c r="O637"/>
  <c r="P636"/>
  <c r="O636"/>
  <c r="P635"/>
  <c r="O635"/>
  <c r="P634"/>
  <c r="O634"/>
  <c r="P633"/>
  <c r="O633"/>
  <c r="P632"/>
  <c r="O632"/>
  <c r="P631"/>
  <c r="O631"/>
  <c r="P630"/>
  <c r="O630"/>
  <c r="P629"/>
  <c r="O629"/>
  <c r="P628"/>
  <c r="O628"/>
  <c r="P627"/>
  <c r="O627"/>
  <c r="P626"/>
  <c r="O626"/>
  <c r="P625"/>
  <c r="O625"/>
  <c r="P624"/>
  <c r="O624"/>
  <c r="P623"/>
  <c r="O623"/>
  <c r="P622"/>
  <c r="O622"/>
  <c r="P621"/>
  <c r="O621"/>
  <c r="P620"/>
  <c r="O620"/>
  <c r="P619"/>
  <c r="O619"/>
  <c r="P618"/>
  <c r="O618"/>
  <c r="P617"/>
  <c r="O617"/>
  <c r="P616"/>
  <c r="O616"/>
  <c r="P615"/>
  <c r="O615"/>
  <c r="P614"/>
  <c r="O614"/>
  <c r="P613"/>
  <c r="O613"/>
  <c r="P612"/>
  <c r="O612"/>
  <c r="P611"/>
  <c r="O611"/>
  <c r="P610"/>
  <c r="O610"/>
  <c r="P609"/>
  <c r="O609"/>
  <c r="P608"/>
  <c r="O608"/>
  <c r="P607"/>
  <c r="O607"/>
  <c r="P606"/>
  <c r="O606"/>
  <c r="P605"/>
  <c r="O605"/>
  <c r="P604"/>
  <c r="O604"/>
  <c r="P603"/>
  <c r="O603"/>
  <c r="P602"/>
  <c r="O602"/>
  <c r="P601"/>
  <c r="O601"/>
  <c r="P600"/>
  <c r="O600"/>
  <c r="P599"/>
  <c r="O599"/>
  <c r="P598"/>
  <c r="O598"/>
  <c r="P597"/>
  <c r="O597"/>
  <c r="P596"/>
  <c r="O596"/>
  <c r="P595"/>
  <c r="O595"/>
  <c r="P594"/>
  <c r="O594"/>
  <c r="P593"/>
  <c r="O593"/>
  <c r="P592"/>
  <c r="O592"/>
  <c r="P591"/>
  <c r="O591"/>
  <c r="P590"/>
  <c r="O590"/>
  <c r="P589"/>
  <c r="O589"/>
  <c r="P588"/>
  <c r="O588"/>
  <c r="P587"/>
  <c r="O587"/>
  <c r="P586"/>
  <c r="O586"/>
  <c r="P585"/>
  <c r="O585"/>
  <c r="P584"/>
  <c r="O584"/>
  <c r="P583"/>
  <c r="O583"/>
  <c r="P582"/>
  <c r="O582"/>
  <c r="P581"/>
  <c r="O581"/>
  <c r="P580"/>
  <c r="O580"/>
  <c r="P579"/>
  <c r="O579"/>
  <c r="P578"/>
  <c r="O578"/>
  <c r="P577"/>
  <c r="O577"/>
  <c r="P576"/>
  <c r="O576"/>
  <c r="P575"/>
  <c r="O575"/>
  <c r="P574"/>
  <c r="O574"/>
  <c r="P573"/>
  <c r="O573"/>
  <c r="P572"/>
  <c r="O572"/>
  <c r="P571"/>
  <c r="O571"/>
  <c r="P570"/>
  <c r="O570"/>
  <c r="P569"/>
  <c r="O569"/>
  <c r="P568"/>
  <c r="O568"/>
  <c r="P567"/>
  <c r="O567"/>
  <c r="P566"/>
  <c r="O566"/>
  <c r="P565"/>
  <c r="O565"/>
  <c r="P564"/>
  <c r="O564"/>
  <c r="P563"/>
  <c r="O563"/>
  <c r="P562"/>
  <c r="O562"/>
  <c r="P561"/>
  <c r="O561"/>
  <c r="P560"/>
  <c r="O560"/>
  <c r="P559"/>
  <c r="O559"/>
  <c r="P558"/>
  <c r="O558"/>
  <c r="P557"/>
  <c r="O557"/>
  <c r="P556"/>
  <c r="O556"/>
  <c r="P555"/>
  <c r="O555"/>
  <c r="P554"/>
  <c r="O554"/>
  <c r="P553"/>
  <c r="O553"/>
  <c r="P552"/>
  <c r="O552"/>
  <c r="P551"/>
  <c r="O551"/>
  <c r="P550"/>
  <c r="O550"/>
  <c r="P549"/>
  <c r="O549"/>
  <c r="P548"/>
  <c r="O548"/>
  <c r="P547"/>
  <c r="O547"/>
  <c r="P546"/>
  <c r="O546"/>
  <c r="P545"/>
  <c r="O545"/>
  <c r="P544"/>
  <c r="O544"/>
  <c r="P543"/>
  <c r="O543"/>
  <c r="P542"/>
  <c r="O542"/>
  <c r="P541"/>
  <c r="O541"/>
  <c r="P540"/>
  <c r="O540"/>
  <c r="P539"/>
  <c r="O539"/>
  <c r="P538"/>
  <c r="O538"/>
  <c r="P537"/>
  <c r="O537"/>
  <c r="P536"/>
  <c r="O536"/>
  <c r="P535"/>
  <c r="O535"/>
  <c r="P534"/>
  <c r="O534"/>
  <c r="P533"/>
  <c r="O533"/>
  <c r="P532"/>
  <c r="O532"/>
  <c r="P531"/>
  <c r="O531"/>
  <c r="P530"/>
  <c r="O530"/>
  <c r="P529"/>
  <c r="O529"/>
  <c r="P528"/>
  <c r="O528"/>
  <c r="P527"/>
  <c r="O527"/>
  <c r="P526"/>
  <c r="O526"/>
  <c r="P525"/>
  <c r="O525"/>
  <c r="P524"/>
  <c r="O524"/>
  <c r="P523"/>
  <c r="O523"/>
  <c r="P522"/>
  <c r="O522"/>
  <c r="P521"/>
  <c r="O521"/>
  <c r="P520"/>
  <c r="O520"/>
  <c r="P519"/>
  <c r="O519"/>
  <c r="P518"/>
  <c r="O518"/>
  <c r="P517"/>
  <c r="O517"/>
  <c r="P516"/>
  <c r="O516"/>
  <c r="P515"/>
  <c r="O515"/>
  <c r="P514"/>
  <c r="O514"/>
  <c r="P513"/>
  <c r="O513"/>
  <c r="P512"/>
  <c r="O512"/>
  <c r="P511"/>
  <c r="O511"/>
  <c r="P510"/>
  <c r="O510"/>
  <c r="P509"/>
  <c r="O509"/>
  <c r="P508"/>
  <c r="O508"/>
  <c r="P507"/>
  <c r="O507"/>
  <c r="P506"/>
  <c r="O506"/>
  <c r="P505"/>
  <c r="O505"/>
  <c r="P504"/>
  <c r="O504"/>
  <c r="P503"/>
  <c r="O503"/>
  <c r="P502"/>
  <c r="O502"/>
  <c r="P501"/>
  <c r="O501"/>
  <c r="P500"/>
  <c r="O500"/>
  <c r="P499"/>
  <c r="O499"/>
  <c r="P498"/>
  <c r="O498"/>
  <c r="P497"/>
  <c r="O497"/>
  <c r="P496"/>
  <c r="O496"/>
  <c r="P495"/>
  <c r="O495"/>
  <c r="P494"/>
  <c r="O494"/>
  <c r="P493"/>
  <c r="O493"/>
  <c r="P492"/>
  <c r="O492"/>
  <c r="P491"/>
  <c r="O491"/>
  <c r="P490"/>
  <c r="O490"/>
  <c r="P489"/>
  <c r="O489"/>
  <c r="P488"/>
  <c r="O488"/>
  <c r="P487"/>
  <c r="O487"/>
  <c r="P486"/>
  <c r="O486"/>
  <c r="P485"/>
  <c r="O485"/>
  <c r="P484"/>
  <c r="O484"/>
  <c r="P483"/>
  <c r="O483"/>
  <c r="P482"/>
  <c r="O482"/>
  <c r="P481"/>
  <c r="O481"/>
  <c r="P480"/>
  <c r="O480"/>
  <c r="P479"/>
  <c r="O479"/>
  <c r="P478"/>
  <c r="O478"/>
  <c r="P477"/>
  <c r="O477"/>
  <c r="P476"/>
  <c r="O476"/>
  <c r="P475"/>
  <c r="O475"/>
  <c r="P474"/>
  <c r="O474"/>
  <c r="P473"/>
  <c r="O473"/>
  <c r="P472"/>
  <c r="O472"/>
  <c r="P471"/>
  <c r="O471"/>
  <c r="P470"/>
  <c r="O470"/>
  <c r="P469"/>
  <c r="O469"/>
  <c r="P468"/>
  <c r="O468"/>
  <c r="P467"/>
  <c r="O467"/>
  <c r="P466"/>
  <c r="O466"/>
  <c r="P465"/>
  <c r="O465"/>
  <c r="P464"/>
  <c r="O464"/>
  <c r="P463"/>
  <c r="O463"/>
  <c r="P462"/>
  <c r="O462"/>
  <c r="P461"/>
  <c r="O461"/>
  <c r="P460"/>
  <c r="O460"/>
  <c r="P459"/>
  <c r="O459"/>
  <c r="P458"/>
  <c r="O458"/>
  <c r="P457"/>
  <c r="O457"/>
  <c r="P456"/>
  <c r="O456"/>
  <c r="P455"/>
  <c r="O455"/>
  <c r="P454"/>
  <c r="O454"/>
  <c r="P453"/>
  <c r="O453"/>
  <c r="P452"/>
  <c r="O452"/>
  <c r="P451"/>
  <c r="O451"/>
  <c r="P450"/>
  <c r="O450"/>
  <c r="P449"/>
  <c r="O449"/>
  <c r="P448"/>
  <c r="O448"/>
  <c r="P447"/>
  <c r="O447"/>
  <c r="P446"/>
  <c r="O446"/>
  <c r="P445"/>
  <c r="O445"/>
  <c r="P444"/>
  <c r="O444"/>
  <c r="P443"/>
  <c r="O443"/>
  <c r="P442"/>
  <c r="O442"/>
  <c r="P441"/>
  <c r="O441"/>
  <c r="P440"/>
  <c r="O440"/>
  <c r="P439"/>
  <c r="O439"/>
  <c r="P438"/>
  <c r="O438"/>
  <c r="P437"/>
  <c r="O437"/>
  <c r="P436"/>
  <c r="O436"/>
  <c r="P435"/>
  <c r="O435"/>
  <c r="P434"/>
  <c r="O434"/>
  <c r="P433"/>
  <c r="O433"/>
  <c r="P432"/>
  <c r="O432"/>
  <c r="P431"/>
  <c r="O431"/>
  <c r="P430"/>
  <c r="O430"/>
  <c r="P429"/>
  <c r="O429"/>
  <c r="P428"/>
  <c r="O428"/>
  <c r="P427"/>
  <c r="O427"/>
  <c r="P426"/>
  <c r="O426"/>
  <c r="P425"/>
  <c r="O425"/>
  <c r="P424"/>
  <c r="O424"/>
  <c r="P423"/>
  <c r="O423"/>
  <c r="P422"/>
  <c r="O422"/>
  <c r="P421"/>
  <c r="O421"/>
  <c r="P420"/>
  <c r="O420"/>
  <c r="P419"/>
  <c r="O419"/>
  <c r="P418"/>
  <c r="O418"/>
  <c r="P417"/>
  <c r="O417"/>
  <c r="P416"/>
  <c r="O416"/>
  <c r="P415"/>
  <c r="O415"/>
  <c r="P414"/>
  <c r="O414"/>
  <c r="P413"/>
  <c r="O413"/>
  <c r="P412"/>
  <c r="O412"/>
  <c r="P411"/>
  <c r="O411"/>
  <c r="P410"/>
  <c r="O410"/>
  <c r="P409"/>
  <c r="O409"/>
  <c r="P408"/>
  <c r="O408"/>
  <c r="P407"/>
  <c r="O407"/>
  <c r="P406"/>
  <c r="O406"/>
  <c r="P405"/>
  <c r="O405"/>
  <c r="P404"/>
  <c r="O404"/>
  <c r="P403"/>
  <c r="O403"/>
  <c r="P402"/>
  <c r="O402"/>
  <c r="P401"/>
  <c r="O401"/>
  <c r="P400"/>
  <c r="O400"/>
  <c r="P399"/>
  <c r="O399"/>
  <c r="P398"/>
  <c r="O398"/>
  <c r="P397"/>
  <c r="O397"/>
  <c r="P396"/>
  <c r="O396"/>
  <c r="P395"/>
  <c r="O395"/>
  <c r="P394"/>
  <c r="O394"/>
  <c r="P393"/>
  <c r="O393"/>
  <c r="P392"/>
  <c r="O392"/>
  <c r="P391"/>
  <c r="O391"/>
  <c r="P390"/>
  <c r="O390"/>
  <c r="P389"/>
  <c r="O389"/>
  <c r="P388"/>
  <c r="O388"/>
  <c r="P387"/>
  <c r="O387"/>
  <c r="P386"/>
  <c r="O386"/>
  <c r="P385"/>
  <c r="O385"/>
  <c r="P384"/>
  <c r="O384"/>
  <c r="P383"/>
  <c r="O383"/>
  <c r="P382"/>
  <c r="O382"/>
  <c r="P381"/>
  <c r="O381"/>
  <c r="P380"/>
  <c r="O380"/>
  <c r="P379"/>
  <c r="O379"/>
  <c r="P378"/>
  <c r="O378"/>
  <c r="P377"/>
  <c r="O377"/>
  <c r="P376"/>
  <c r="O376"/>
  <c r="P375"/>
  <c r="O375"/>
  <c r="P374"/>
  <c r="O374"/>
  <c r="P373"/>
  <c r="O373"/>
  <c r="P372"/>
  <c r="O372"/>
  <c r="P371"/>
  <c r="O371"/>
  <c r="P370"/>
  <c r="O370"/>
  <c r="P369"/>
  <c r="O369"/>
  <c r="P368"/>
  <c r="O368"/>
  <c r="P367"/>
  <c r="O367"/>
  <c r="P366"/>
  <c r="O366"/>
  <c r="P365"/>
  <c r="O365"/>
  <c r="P364"/>
  <c r="O364"/>
  <c r="P363"/>
  <c r="O363"/>
  <c r="P362"/>
  <c r="O362"/>
  <c r="P361"/>
  <c r="O361"/>
  <c r="P360"/>
  <c r="O360"/>
  <c r="P359"/>
  <c r="O359"/>
  <c r="P358"/>
  <c r="O358"/>
  <c r="P357"/>
  <c r="O357"/>
  <c r="P356"/>
  <c r="O356"/>
  <c r="P355"/>
  <c r="O355"/>
  <c r="P354"/>
  <c r="O354"/>
  <c r="P353"/>
  <c r="O353"/>
  <c r="P352"/>
  <c r="O352"/>
  <c r="P351"/>
  <c r="O351"/>
  <c r="P350"/>
  <c r="O350"/>
  <c r="P349"/>
  <c r="O349"/>
  <c r="P348"/>
  <c r="O348"/>
  <c r="P347"/>
  <c r="O347"/>
  <c r="P346"/>
  <c r="O346"/>
  <c r="P345"/>
  <c r="O345"/>
  <c r="P344"/>
  <c r="O344"/>
  <c r="P343"/>
  <c r="O343"/>
  <c r="P342"/>
  <c r="O342"/>
  <c r="P341"/>
  <c r="O341"/>
  <c r="P340"/>
  <c r="O340"/>
  <c r="P339"/>
  <c r="O339"/>
  <c r="P338"/>
  <c r="O338"/>
  <c r="P337"/>
  <c r="O337"/>
  <c r="P336"/>
  <c r="O336"/>
  <c r="P335"/>
  <c r="O335"/>
  <c r="P334"/>
  <c r="O334"/>
  <c r="P333"/>
  <c r="O333"/>
  <c r="P332"/>
  <c r="O332"/>
  <c r="P331"/>
  <c r="O331"/>
  <c r="P330"/>
  <c r="O330"/>
  <c r="P329"/>
  <c r="O329"/>
  <c r="P328"/>
  <c r="O328"/>
  <c r="P327"/>
  <c r="O327"/>
  <c r="P326"/>
  <c r="O326"/>
  <c r="P325"/>
  <c r="O325"/>
  <c r="P324"/>
  <c r="O324"/>
  <c r="P323"/>
  <c r="O323"/>
  <c r="P322"/>
  <c r="O322"/>
  <c r="P321"/>
  <c r="O321"/>
  <c r="P320"/>
  <c r="O320"/>
  <c r="P319"/>
  <c r="O319"/>
  <c r="P318"/>
  <c r="O318"/>
  <c r="P317"/>
  <c r="O317"/>
  <c r="P316"/>
  <c r="O316"/>
  <c r="P315"/>
  <c r="O315"/>
  <c r="P314"/>
  <c r="O314"/>
  <c r="P313"/>
  <c r="O313"/>
  <c r="P312"/>
  <c r="O312"/>
  <c r="P311"/>
  <c r="O311"/>
  <c r="P310"/>
  <c r="O310"/>
  <c r="P309"/>
  <c r="O309"/>
  <c r="P308"/>
  <c r="O308"/>
  <c r="P307"/>
  <c r="O307"/>
  <c r="P306"/>
  <c r="O306"/>
  <c r="P305"/>
  <c r="O305"/>
  <c r="P304"/>
  <c r="O304"/>
  <c r="P303"/>
  <c r="O303"/>
  <c r="P302"/>
  <c r="O302"/>
  <c r="P301"/>
  <c r="O301"/>
  <c r="P300"/>
  <c r="O300"/>
  <c r="P299"/>
  <c r="O299"/>
  <c r="P298"/>
  <c r="O298"/>
  <c r="P297"/>
  <c r="O297"/>
  <c r="P296"/>
  <c r="O296"/>
  <c r="P295"/>
  <c r="O295"/>
  <c r="P294"/>
  <c r="O294"/>
  <c r="P293"/>
  <c r="O293"/>
  <c r="P292"/>
  <c r="O292"/>
  <c r="P291"/>
  <c r="O291"/>
  <c r="P290"/>
  <c r="O290"/>
  <c r="P289"/>
  <c r="O289"/>
  <c r="P288"/>
  <c r="O288"/>
  <c r="P287"/>
  <c r="O287"/>
  <c r="P286"/>
  <c r="O286"/>
  <c r="P285"/>
  <c r="O285"/>
  <c r="P284"/>
  <c r="O284"/>
  <c r="P283"/>
  <c r="O283"/>
  <c r="P282"/>
  <c r="O282"/>
  <c r="P281"/>
  <c r="O281"/>
  <c r="P280"/>
  <c r="O280"/>
  <c r="P279"/>
  <c r="O279"/>
  <c r="P278"/>
  <c r="O278"/>
  <c r="P277"/>
  <c r="O277"/>
  <c r="P276"/>
  <c r="O276"/>
  <c r="P275"/>
  <c r="O275"/>
  <c r="P274"/>
  <c r="O274"/>
  <c r="P273"/>
  <c r="O273"/>
  <c r="P272"/>
  <c r="O272"/>
  <c r="P271"/>
  <c r="O271"/>
  <c r="P270"/>
  <c r="O270"/>
  <c r="P269"/>
  <c r="O269"/>
  <c r="P268"/>
  <c r="O268"/>
  <c r="P267"/>
  <c r="O267"/>
  <c r="P266"/>
  <c r="O266"/>
  <c r="P265"/>
  <c r="O265"/>
  <c r="P264"/>
  <c r="O264"/>
  <c r="P263"/>
  <c r="O263"/>
  <c r="P262"/>
  <c r="O262"/>
  <c r="P261"/>
  <c r="O261"/>
  <c r="P260"/>
  <c r="O260"/>
  <c r="P259"/>
  <c r="O259"/>
  <c r="P258"/>
  <c r="O258"/>
  <c r="P257"/>
  <c r="O257"/>
  <c r="P256"/>
  <c r="O256"/>
  <c r="P255"/>
  <c r="O255"/>
  <c r="P254"/>
  <c r="O254"/>
  <c r="P253"/>
  <c r="O253"/>
  <c r="P252"/>
  <c r="O252"/>
  <c r="P251"/>
  <c r="O251"/>
  <c r="P250"/>
  <c r="O250"/>
  <c r="P249"/>
  <c r="O249"/>
  <c r="P248"/>
  <c r="O248"/>
  <c r="P247"/>
  <c r="O247"/>
  <c r="P246"/>
  <c r="O246"/>
  <c r="P245"/>
  <c r="O245"/>
  <c r="P244"/>
  <c r="O244"/>
  <c r="P243"/>
  <c r="O243"/>
  <c r="P242"/>
  <c r="O242"/>
  <c r="P241"/>
  <c r="O241"/>
  <c r="P240"/>
  <c r="O240"/>
  <c r="P239"/>
  <c r="O239"/>
  <c r="P238"/>
  <c r="O238"/>
  <c r="P237"/>
  <c r="O237"/>
  <c r="P236"/>
  <c r="O236"/>
  <c r="P235"/>
  <c r="O235"/>
  <c r="P234"/>
  <c r="O234"/>
  <c r="P233"/>
  <c r="O233"/>
  <c r="P232"/>
  <c r="O232"/>
  <c r="P231"/>
  <c r="O231"/>
  <c r="P230"/>
  <c r="O230"/>
  <c r="P229"/>
  <c r="O229"/>
  <c r="P228"/>
  <c r="O228"/>
  <c r="P227"/>
  <c r="O227"/>
  <c r="P226"/>
  <c r="O226"/>
  <c r="P225"/>
  <c r="O225"/>
  <c r="P224"/>
  <c r="O224"/>
  <c r="P223"/>
  <c r="O223"/>
  <c r="P222"/>
  <c r="O222"/>
  <c r="P221"/>
  <c r="O221"/>
  <c r="P220"/>
  <c r="O220"/>
  <c r="P219"/>
  <c r="O219"/>
  <c r="P218"/>
  <c r="O218"/>
  <c r="P217"/>
  <c r="O217"/>
  <c r="P216"/>
  <c r="O216"/>
  <c r="P215"/>
  <c r="O215"/>
  <c r="P214"/>
  <c r="O214"/>
  <c r="P213"/>
  <c r="O213"/>
  <c r="P212"/>
  <c r="O212"/>
  <c r="P211"/>
  <c r="O211"/>
  <c r="P210"/>
  <c r="O210"/>
  <c r="P209"/>
  <c r="O209"/>
  <c r="P208"/>
  <c r="O208"/>
  <c r="P207"/>
  <c r="O207"/>
  <c r="P206"/>
  <c r="O206"/>
  <c r="P205"/>
  <c r="O205"/>
  <c r="P204"/>
  <c r="O204"/>
  <c r="P203"/>
  <c r="O203"/>
  <c r="P202"/>
  <c r="O202"/>
  <c r="P201"/>
  <c r="O201"/>
  <c r="P200"/>
  <c r="O200"/>
  <c r="P199"/>
  <c r="O199"/>
  <c r="P198"/>
  <c r="O198"/>
  <c r="P197"/>
  <c r="O197"/>
  <c r="P196"/>
  <c r="O196"/>
  <c r="P195"/>
  <c r="O195"/>
  <c r="P194"/>
  <c r="O194"/>
  <c r="P193"/>
  <c r="O193"/>
  <c r="P192"/>
  <c r="O192"/>
  <c r="P191"/>
  <c r="O191"/>
  <c r="P190"/>
  <c r="O190"/>
  <c r="P189"/>
  <c r="O189"/>
  <c r="P188"/>
  <c r="O188"/>
  <c r="P187"/>
  <c r="O187"/>
  <c r="P186"/>
  <c r="O186"/>
  <c r="P185"/>
  <c r="O185"/>
  <c r="P184"/>
  <c r="O184"/>
  <c r="P183"/>
  <c r="O183"/>
  <c r="P182"/>
  <c r="O182"/>
  <c r="P181"/>
  <c r="O181"/>
  <c r="P180"/>
  <c r="O180"/>
  <c r="P179"/>
  <c r="O179"/>
  <c r="P178"/>
  <c r="O178"/>
  <c r="P177"/>
  <c r="O177"/>
  <c r="P176"/>
  <c r="O176"/>
  <c r="P175"/>
  <c r="O175"/>
  <c r="P174"/>
  <c r="O174"/>
  <c r="P173"/>
  <c r="O173"/>
  <c r="P172"/>
  <c r="O172"/>
  <c r="P171"/>
  <c r="O171"/>
  <c r="P170"/>
  <c r="O170"/>
  <c r="P169"/>
  <c r="O169"/>
  <c r="P168"/>
  <c r="O168"/>
  <c r="P167"/>
  <c r="O167"/>
  <c r="P166"/>
  <c r="O166"/>
  <c r="P165"/>
  <c r="O165"/>
  <c r="P164"/>
  <c r="O164"/>
  <c r="P163"/>
  <c r="O163"/>
  <c r="P162"/>
  <c r="O162"/>
  <c r="P161"/>
  <c r="O161"/>
  <c r="P160"/>
  <c r="O160"/>
  <c r="P159"/>
  <c r="O159"/>
  <c r="P158"/>
  <c r="O158"/>
  <c r="P157"/>
  <c r="O157"/>
  <c r="P156"/>
  <c r="O156"/>
  <c r="P155"/>
  <c r="O155"/>
  <c r="P154"/>
  <c r="O154"/>
  <c r="P153"/>
  <c r="O153"/>
  <c r="P152"/>
  <c r="O152"/>
  <c r="P151"/>
  <c r="O151"/>
  <c r="P150"/>
  <c r="O150"/>
  <c r="P149"/>
  <c r="O149"/>
  <c r="P148"/>
  <c r="O148"/>
  <c r="P147"/>
  <c r="O147"/>
  <c r="P146"/>
  <c r="O146"/>
  <c r="P145"/>
  <c r="O145"/>
  <c r="P144"/>
  <c r="O144"/>
  <c r="P143"/>
  <c r="O143"/>
  <c r="P142"/>
  <c r="O142"/>
  <c r="P141"/>
  <c r="O141"/>
  <c r="P140"/>
  <c r="O140"/>
  <c r="P139"/>
  <c r="O139"/>
  <c r="P138"/>
  <c r="O138"/>
  <c r="P137"/>
  <c r="O137"/>
  <c r="P136"/>
  <c r="O136"/>
  <c r="P135"/>
  <c r="O135"/>
  <c r="P134"/>
  <c r="O134"/>
  <c r="P133"/>
  <c r="O133"/>
  <c r="P132"/>
  <c r="O132"/>
  <c r="P131"/>
  <c r="O131"/>
  <c r="P130"/>
  <c r="O130"/>
  <c r="P129"/>
  <c r="O129"/>
  <c r="P128"/>
  <c r="O128"/>
  <c r="P127"/>
  <c r="O127"/>
  <c r="P126"/>
  <c r="O126"/>
  <c r="P125"/>
  <c r="O125"/>
  <c r="P124"/>
  <c r="O124"/>
  <c r="P123"/>
  <c r="O123"/>
  <c r="P122"/>
  <c r="O122"/>
  <c r="P121"/>
  <c r="O121"/>
  <c r="P120"/>
  <c r="O120"/>
  <c r="P119"/>
  <c r="O119"/>
  <c r="P118"/>
  <c r="O118"/>
  <c r="P117"/>
  <c r="O117"/>
  <c r="P116"/>
  <c r="O116"/>
  <c r="P115"/>
  <c r="O115"/>
  <c r="P114"/>
  <c r="O114"/>
  <c r="P113"/>
  <c r="O113"/>
  <c r="P112"/>
  <c r="O112"/>
  <c r="P111"/>
  <c r="O111"/>
  <c r="P110"/>
  <c r="O110"/>
  <c r="P109"/>
  <c r="O109"/>
  <c r="P108"/>
  <c r="O108"/>
  <c r="P107"/>
  <c r="O107"/>
  <c r="P106"/>
  <c r="O106"/>
  <c r="P105"/>
  <c r="O105"/>
  <c r="P104"/>
  <c r="O104"/>
  <c r="P103"/>
  <c r="O103"/>
  <c r="P102"/>
  <c r="O102"/>
  <c r="P101"/>
  <c r="O101"/>
  <c r="P100"/>
  <c r="O100"/>
  <c r="P99"/>
  <c r="O99"/>
  <c r="P98"/>
  <c r="O98"/>
  <c r="P97"/>
  <c r="O97"/>
  <c r="P96"/>
  <c r="O96"/>
  <c r="P95"/>
  <c r="O95"/>
  <c r="P94"/>
  <c r="O94"/>
  <c r="P93"/>
  <c r="O93"/>
  <c r="P92"/>
  <c r="O92"/>
  <c r="P91"/>
  <c r="O91"/>
  <c r="P90"/>
  <c r="O90"/>
  <c r="P89"/>
  <c r="O89"/>
  <c r="P88"/>
  <c r="O88"/>
  <c r="P87"/>
  <c r="O87"/>
  <c r="P86"/>
  <c r="O86"/>
  <c r="P85"/>
  <c r="O85"/>
  <c r="P84"/>
  <c r="O84"/>
  <c r="P83"/>
  <c r="O83"/>
  <c r="P82"/>
  <c r="O82"/>
  <c r="P81"/>
  <c r="O81"/>
  <c r="P80"/>
  <c r="O80"/>
  <c r="P79"/>
  <c r="O79"/>
  <c r="P78"/>
  <c r="O78"/>
  <c r="P77"/>
  <c r="O77"/>
  <c r="P76"/>
  <c r="O76"/>
  <c r="P75"/>
  <c r="O75"/>
  <c r="P74"/>
  <c r="O74"/>
  <c r="P73"/>
  <c r="O73"/>
  <c r="P72"/>
  <c r="O72"/>
  <c r="P71"/>
  <c r="O71"/>
  <c r="P70"/>
  <c r="O70"/>
  <c r="P69"/>
  <c r="O69"/>
  <c r="P68"/>
  <c r="O68"/>
  <c r="P67"/>
  <c r="O67"/>
  <c r="P66"/>
  <c r="O66"/>
  <c r="P65"/>
  <c r="O65"/>
  <c r="P64"/>
  <c r="O64"/>
  <c r="P63"/>
  <c r="O63"/>
  <c r="P62"/>
  <c r="O62"/>
  <c r="P61"/>
  <c r="O61"/>
  <c r="P60"/>
  <c r="O60"/>
  <c r="P59"/>
  <c r="O59"/>
  <c r="P58"/>
  <c r="O58"/>
  <c r="P57"/>
  <c r="O57"/>
  <c r="P56"/>
  <c r="O56"/>
  <c r="P55"/>
  <c r="O55"/>
  <c r="P54"/>
  <c r="O54"/>
  <c r="P53"/>
  <c r="O53"/>
  <c r="P52"/>
  <c r="O52"/>
  <c r="P51"/>
  <c r="O51"/>
  <c r="P50"/>
  <c r="O50"/>
  <c r="P49"/>
  <c r="O49"/>
  <c r="P48"/>
  <c r="O48"/>
  <c r="P47"/>
  <c r="O47"/>
  <c r="P46"/>
  <c r="O46"/>
  <c r="P45"/>
  <c r="O45"/>
  <c r="P44"/>
  <c r="O44"/>
  <c r="P43"/>
  <c r="O43"/>
  <c r="P42"/>
  <c r="O42"/>
  <c r="P41"/>
  <c r="O41"/>
  <c r="P40"/>
  <c r="O40"/>
  <c r="P39"/>
  <c r="O39"/>
  <c r="P38"/>
  <c r="O38"/>
  <c r="P37"/>
  <c r="O37"/>
  <c r="P36"/>
  <c r="O36"/>
  <c r="P35"/>
  <c r="O35"/>
  <c r="P34"/>
  <c r="O34"/>
  <c r="P33"/>
  <c r="O33"/>
  <c r="P32"/>
  <c r="O32"/>
  <c r="P31"/>
  <c r="O31"/>
  <c r="P30"/>
  <c r="O30"/>
  <c r="P29"/>
  <c r="O29"/>
  <c r="P28"/>
  <c r="O28"/>
  <c r="P27"/>
  <c r="O27"/>
  <c r="P26"/>
  <c r="O26"/>
  <c r="P25"/>
  <c r="O25"/>
  <c r="P24"/>
  <c r="O24"/>
  <c r="P23"/>
  <c r="O23"/>
  <c r="P22"/>
  <c r="O22"/>
  <c r="P21"/>
  <c r="O21"/>
  <c r="P20"/>
  <c r="O20"/>
  <c r="P19"/>
  <c r="O19"/>
  <c r="P18"/>
  <c r="O18"/>
  <c r="P17"/>
  <c r="O17"/>
  <c r="P16"/>
  <c r="O16"/>
  <c r="P15"/>
  <c r="O15"/>
  <c r="P14"/>
  <c r="O14"/>
  <c r="P13"/>
  <c r="O13"/>
  <c r="P12"/>
  <c r="O12"/>
  <c r="P11"/>
  <c r="O11"/>
  <c r="P10"/>
  <c r="O10"/>
  <c r="P9"/>
  <c r="O9"/>
  <c r="P8"/>
  <c r="O8"/>
  <c r="P7"/>
  <c r="O7"/>
  <c r="P6"/>
  <c r="O6"/>
  <c r="P5"/>
  <c r="O5"/>
  <c r="P4"/>
  <c r="O4"/>
  <c r="P3"/>
  <c r="O3"/>
  <c r="P2"/>
  <c r="O2"/>
  <c r="N70" i="6"/>
  <c r="M70"/>
  <c r="N69"/>
  <c r="M69"/>
  <c r="N68"/>
  <c r="M68"/>
  <c r="N67"/>
  <c r="M67"/>
  <c r="N66"/>
  <c r="M66"/>
  <c r="N65"/>
  <c r="M65"/>
  <c r="N64"/>
  <c r="M64"/>
  <c r="N63"/>
  <c r="M63"/>
  <c r="N62"/>
  <c r="M62"/>
  <c r="N61"/>
  <c r="M61"/>
  <c r="N60"/>
  <c r="M60"/>
  <c r="N59"/>
  <c r="M59"/>
  <c r="N58"/>
  <c r="M58"/>
  <c r="N57"/>
  <c r="M57"/>
  <c r="N56"/>
  <c r="M56"/>
  <c r="N55"/>
  <c r="M55"/>
  <c r="N54"/>
  <c r="M54"/>
  <c r="N53"/>
  <c r="M53"/>
  <c r="N52"/>
  <c r="M52"/>
  <c r="N51"/>
  <c r="M51"/>
  <c r="N50"/>
  <c r="M50"/>
  <c r="N49"/>
  <c r="M49"/>
  <c r="N48"/>
  <c r="M48"/>
  <c r="N47"/>
  <c r="M47"/>
  <c r="N46"/>
  <c r="M46"/>
  <c r="N45"/>
  <c r="M45"/>
  <c r="N44"/>
  <c r="M44"/>
  <c r="N43"/>
  <c r="M43"/>
  <c r="N42"/>
  <c r="M42"/>
  <c r="N41"/>
  <c r="M41"/>
  <c r="N40"/>
  <c r="M40"/>
  <c r="N39"/>
  <c r="M39"/>
  <c r="N38"/>
  <c r="M38"/>
  <c r="N37"/>
  <c r="M37"/>
  <c r="N36"/>
  <c r="M36"/>
  <c r="N35"/>
  <c r="M35"/>
  <c r="N34"/>
  <c r="M34"/>
  <c r="N33"/>
  <c r="M33"/>
  <c r="N32"/>
  <c r="M32"/>
  <c r="N31"/>
  <c r="M31"/>
  <c r="N30"/>
  <c r="M30"/>
  <c r="N29"/>
  <c r="M29"/>
  <c r="N28"/>
  <c r="M28"/>
  <c r="N27"/>
  <c r="M27"/>
  <c r="N26"/>
  <c r="M26"/>
  <c r="N25"/>
  <c r="M25"/>
  <c r="N24"/>
  <c r="M24"/>
  <c r="N23"/>
  <c r="M23"/>
  <c r="N22"/>
  <c r="M22"/>
  <c r="N21"/>
  <c r="M21"/>
  <c r="N20"/>
  <c r="M20"/>
  <c r="N19"/>
  <c r="M19"/>
  <c r="N18"/>
  <c r="M18"/>
  <c r="N17"/>
  <c r="M17"/>
  <c r="N16"/>
  <c r="M16"/>
  <c r="N15"/>
  <c r="M15"/>
  <c r="N14"/>
  <c r="M14"/>
  <c r="N13"/>
  <c r="M13"/>
  <c r="N12"/>
  <c r="M12"/>
  <c r="N11"/>
  <c r="M11"/>
  <c r="N10"/>
  <c r="M10"/>
  <c r="N9"/>
  <c r="M9"/>
  <c r="N8"/>
  <c r="M8"/>
  <c r="N7"/>
  <c r="M7"/>
  <c r="N6"/>
  <c r="M6"/>
  <c r="N5"/>
  <c r="M5"/>
  <c r="N4"/>
  <c r="M4"/>
  <c r="N3"/>
  <c r="M3"/>
  <c r="N2"/>
  <c r="M2"/>
  <c r="N13" i="5"/>
  <c r="M13"/>
  <c r="N12"/>
  <c r="M12"/>
  <c r="N11"/>
  <c r="M11"/>
  <c r="N10"/>
  <c r="M10"/>
  <c r="N9"/>
  <c r="M9"/>
  <c r="N8"/>
  <c r="M8"/>
  <c r="N7"/>
  <c r="M7"/>
  <c r="N6"/>
  <c r="M6"/>
  <c r="N5"/>
  <c r="M5"/>
  <c r="N4"/>
  <c r="M4"/>
  <c r="N3"/>
  <c r="M3"/>
  <c r="N2"/>
  <c r="M2"/>
  <c r="N86" i="4"/>
  <c r="M86"/>
  <c r="N85"/>
  <c r="M85"/>
  <c r="N84"/>
  <c r="M84"/>
  <c r="N83"/>
  <c r="M83"/>
  <c r="N82"/>
  <c r="M82"/>
  <c r="N81"/>
  <c r="M81"/>
  <c r="N80"/>
  <c r="M80"/>
  <c r="N79"/>
  <c r="M79"/>
  <c r="N78"/>
  <c r="M78"/>
  <c r="N77"/>
  <c r="M77"/>
  <c r="N76"/>
  <c r="M76"/>
  <c r="N75"/>
  <c r="M75"/>
  <c r="N74"/>
  <c r="M74"/>
  <c r="N73"/>
  <c r="M73"/>
  <c r="N72"/>
  <c r="M72"/>
  <c r="N71"/>
  <c r="M71"/>
  <c r="N70"/>
  <c r="M70"/>
  <c r="N69"/>
  <c r="M69"/>
  <c r="N68"/>
  <c r="M68"/>
  <c r="N67"/>
  <c r="M67"/>
  <c r="N66"/>
  <c r="M66"/>
  <c r="N65"/>
  <c r="M65"/>
  <c r="N64"/>
  <c r="M64"/>
  <c r="N63"/>
  <c r="M63"/>
  <c r="N62"/>
  <c r="M62"/>
  <c r="N61"/>
  <c r="M61"/>
  <c r="N60"/>
  <c r="M60"/>
  <c r="N59"/>
  <c r="M59"/>
  <c r="N58"/>
  <c r="M58"/>
  <c r="N57"/>
  <c r="M57"/>
  <c r="N56"/>
  <c r="M56"/>
  <c r="N55"/>
  <c r="M55"/>
  <c r="N54"/>
  <c r="M54"/>
  <c r="N53"/>
  <c r="M53"/>
  <c r="N52"/>
  <c r="M52"/>
  <c r="N51"/>
  <c r="M51"/>
  <c r="N50"/>
  <c r="M50"/>
  <c r="N49"/>
  <c r="M49"/>
  <c r="N48"/>
  <c r="M48"/>
  <c r="N47"/>
  <c r="M47"/>
  <c r="N46"/>
  <c r="M46"/>
  <c r="N45"/>
  <c r="M45"/>
  <c r="N44"/>
  <c r="M44"/>
  <c r="N43"/>
  <c r="M43"/>
  <c r="N42"/>
  <c r="M42"/>
  <c r="N41"/>
  <c r="M41"/>
  <c r="N40"/>
  <c r="M40"/>
  <c r="N39"/>
  <c r="M39"/>
  <c r="N38"/>
  <c r="M38"/>
  <c r="N37"/>
  <c r="M37"/>
  <c r="N36"/>
  <c r="M36"/>
  <c r="N35"/>
  <c r="M35"/>
  <c r="N34"/>
  <c r="M34"/>
  <c r="N33"/>
  <c r="M33"/>
  <c r="N32"/>
  <c r="M32"/>
  <c r="N31"/>
  <c r="M31"/>
  <c r="N30"/>
  <c r="M30"/>
  <c r="N29"/>
  <c r="M29"/>
  <c r="N28"/>
  <c r="M28"/>
  <c r="N27"/>
  <c r="M27"/>
  <c r="N26"/>
  <c r="M26"/>
  <c r="N25"/>
  <c r="M25"/>
  <c r="N24"/>
  <c r="M24"/>
  <c r="N23"/>
  <c r="M23"/>
  <c r="N22"/>
  <c r="M22"/>
  <c r="N21"/>
  <c r="M21"/>
  <c r="N20"/>
  <c r="M20"/>
  <c r="N19"/>
  <c r="M19"/>
  <c r="N18"/>
  <c r="M18"/>
  <c r="N17"/>
  <c r="M17"/>
  <c r="N16"/>
  <c r="M16"/>
  <c r="N15"/>
  <c r="M15"/>
  <c r="N14"/>
  <c r="M14"/>
  <c r="N13"/>
  <c r="M13"/>
  <c r="N12"/>
  <c r="M12"/>
  <c r="N11"/>
  <c r="M11"/>
  <c r="N10"/>
  <c r="M10"/>
  <c r="N9"/>
  <c r="M9"/>
  <c r="N8"/>
  <c r="M8"/>
  <c r="N7"/>
  <c r="M7"/>
  <c r="N6"/>
  <c r="M6"/>
  <c r="N5"/>
  <c r="M5"/>
  <c r="N4"/>
  <c r="M4"/>
  <c r="N3"/>
  <c r="M3"/>
  <c r="N2"/>
  <c r="M2"/>
  <c r="N237" i="3"/>
  <c r="M237"/>
  <c r="N236"/>
  <c r="M236"/>
  <c r="N235"/>
  <c r="M235"/>
  <c r="N234"/>
  <c r="M234"/>
  <c r="N233"/>
  <c r="M233"/>
  <c r="N232"/>
  <c r="M232"/>
  <c r="N231"/>
  <c r="M231"/>
  <c r="N230"/>
  <c r="M230"/>
  <c r="N229"/>
  <c r="M229"/>
  <c r="N228"/>
  <c r="M228"/>
  <c r="N227"/>
  <c r="M227"/>
  <c r="N226"/>
  <c r="M226"/>
  <c r="N225"/>
  <c r="M225"/>
  <c r="N224"/>
  <c r="M224"/>
  <c r="N223"/>
  <c r="M223"/>
  <c r="N222"/>
  <c r="M222"/>
  <c r="N221"/>
  <c r="M221"/>
  <c r="N220"/>
  <c r="M220"/>
  <c r="N219"/>
  <c r="M219"/>
  <c r="N218"/>
  <c r="M218"/>
  <c r="N217"/>
  <c r="M217"/>
  <c r="N216"/>
  <c r="M216"/>
  <c r="N215"/>
  <c r="M215"/>
  <c r="N214"/>
  <c r="M214"/>
  <c r="N213"/>
  <c r="M213"/>
  <c r="N212"/>
  <c r="M212"/>
  <c r="N211"/>
  <c r="M211"/>
  <c r="N210"/>
  <c r="M210"/>
  <c r="N209"/>
  <c r="M209"/>
  <c r="N208"/>
  <c r="M208"/>
  <c r="N207"/>
  <c r="M207"/>
  <c r="N206"/>
  <c r="M206"/>
  <c r="N205"/>
  <c r="M205"/>
  <c r="N204"/>
  <c r="M204"/>
  <c r="N203"/>
  <c r="M203"/>
  <c r="N202"/>
  <c r="M202"/>
  <c r="N201"/>
  <c r="M201"/>
  <c r="N200"/>
  <c r="M200"/>
  <c r="N199"/>
  <c r="M199"/>
  <c r="N198"/>
  <c r="M198"/>
  <c r="N197"/>
  <c r="M197"/>
  <c r="N196"/>
  <c r="M196"/>
  <c r="N195"/>
  <c r="M195"/>
  <c r="N194"/>
  <c r="M194"/>
  <c r="N193"/>
  <c r="M193"/>
  <c r="N192"/>
  <c r="M192"/>
  <c r="N191"/>
  <c r="M191"/>
  <c r="N190"/>
  <c r="M190"/>
  <c r="N189"/>
  <c r="M189"/>
  <c r="N188"/>
  <c r="M188"/>
  <c r="N187"/>
  <c r="M187"/>
  <c r="N186"/>
  <c r="M186"/>
  <c r="N185"/>
  <c r="M185"/>
  <c r="N184"/>
  <c r="M184"/>
  <c r="N183"/>
  <c r="M183"/>
  <c r="N182"/>
  <c r="M182"/>
  <c r="N181"/>
  <c r="M181"/>
  <c r="N180"/>
  <c r="M180"/>
  <c r="N179"/>
  <c r="M179"/>
  <c r="N178"/>
  <c r="M178"/>
  <c r="N177"/>
  <c r="M177"/>
  <c r="N176"/>
  <c r="M176"/>
  <c r="N175"/>
  <c r="M175"/>
  <c r="N174"/>
  <c r="M174"/>
  <c r="N173"/>
  <c r="M173"/>
  <c r="N172"/>
  <c r="M172"/>
  <c r="N171"/>
  <c r="M171"/>
  <c r="N170"/>
  <c r="M170"/>
  <c r="N169"/>
  <c r="M169"/>
  <c r="N168"/>
  <c r="M168"/>
  <c r="N167"/>
  <c r="M167"/>
  <c r="N166"/>
  <c r="M166"/>
  <c r="N165"/>
  <c r="M165"/>
  <c r="N164"/>
  <c r="M164"/>
  <c r="N163"/>
  <c r="M163"/>
  <c r="N162"/>
  <c r="M162"/>
  <c r="N161"/>
  <c r="M161"/>
  <c r="N160"/>
  <c r="M160"/>
  <c r="N159"/>
  <c r="M159"/>
  <c r="N158"/>
  <c r="M158"/>
  <c r="N157"/>
  <c r="M157"/>
  <c r="N156"/>
  <c r="M156"/>
  <c r="N155"/>
  <c r="M155"/>
  <c r="N154"/>
  <c r="M154"/>
  <c r="N153"/>
  <c r="M153"/>
  <c r="N152"/>
  <c r="M152"/>
  <c r="N151"/>
  <c r="M151"/>
  <c r="N150"/>
  <c r="M150"/>
  <c r="N149"/>
  <c r="M149"/>
  <c r="N148"/>
  <c r="M148"/>
  <c r="N147"/>
  <c r="M147"/>
  <c r="N146"/>
  <c r="M146"/>
  <c r="N145"/>
  <c r="M145"/>
  <c r="N144"/>
  <c r="M144"/>
  <c r="N143"/>
  <c r="M143"/>
  <c r="N142"/>
  <c r="M142"/>
  <c r="N141"/>
  <c r="M141"/>
  <c r="N140"/>
  <c r="M140"/>
  <c r="N139"/>
  <c r="M139"/>
  <c r="N138"/>
  <c r="M138"/>
  <c r="N137"/>
  <c r="M137"/>
  <c r="N136"/>
  <c r="M136"/>
  <c r="N135"/>
  <c r="M135"/>
  <c r="N134"/>
  <c r="M134"/>
  <c r="N133"/>
  <c r="M133"/>
  <c r="N132"/>
  <c r="M132"/>
  <c r="N131"/>
  <c r="M131"/>
  <c r="N130"/>
  <c r="M130"/>
  <c r="N129"/>
  <c r="M129"/>
  <c r="N128"/>
  <c r="M128"/>
  <c r="N127"/>
  <c r="M127"/>
  <c r="N126"/>
  <c r="M126"/>
  <c r="N125"/>
  <c r="M125"/>
  <c r="N124"/>
  <c r="M124"/>
  <c r="N123"/>
  <c r="M123"/>
  <c r="N122"/>
  <c r="M122"/>
  <c r="N121"/>
  <c r="M121"/>
  <c r="N120"/>
  <c r="M120"/>
  <c r="N119"/>
  <c r="M119"/>
  <c r="N118"/>
  <c r="M118"/>
  <c r="N117"/>
  <c r="M117"/>
  <c r="N116"/>
  <c r="M116"/>
  <c r="N115"/>
  <c r="M115"/>
  <c r="N114"/>
  <c r="M114"/>
  <c r="N113"/>
  <c r="M113"/>
  <c r="N112"/>
  <c r="M112"/>
  <c r="N111"/>
  <c r="M111"/>
  <c r="N110"/>
  <c r="M110"/>
  <c r="N109"/>
  <c r="M109"/>
  <c r="N108"/>
  <c r="M108"/>
  <c r="N107"/>
  <c r="M107"/>
  <c r="N106"/>
  <c r="M106"/>
  <c r="N105"/>
  <c r="M105"/>
  <c r="N104"/>
  <c r="M104"/>
  <c r="N103"/>
  <c r="M103"/>
  <c r="N102"/>
  <c r="M102"/>
  <c r="N101"/>
  <c r="M101"/>
  <c r="N100"/>
  <c r="M100"/>
  <c r="N99"/>
  <c r="M99"/>
  <c r="N98"/>
  <c r="M98"/>
  <c r="N97"/>
  <c r="M97"/>
  <c r="N96"/>
  <c r="M96"/>
  <c r="N95"/>
  <c r="M95"/>
  <c r="N94"/>
  <c r="M94"/>
  <c r="N93"/>
  <c r="M93"/>
  <c r="N92"/>
  <c r="M92"/>
  <c r="N91"/>
  <c r="M91"/>
  <c r="N90"/>
  <c r="M90"/>
  <c r="N89"/>
  <c r="M89"/>
  <c r="N88"/>
  <c r="M88"/>
  <c r="N87"/>
  <c r="M87"/>
  <c r="N86"/>
  <c r="M86"/>
  <c r="N85"/>
  <c r="M85"/>
  <c r="N84"/>
  <c r="M84"/>
  <c r="N83"/>
  <c r="M83"/>
  <c r="N82"/>
  <c r="M82"/>
  <c r="N81"/>
  <c r="M81"/>
  <c r="N80"/>
  <c r="M80"/>
  <c r="N79"/>
  <c r="M79"/>
  <c r="N78"/>
  <c r="M78"/>
  <c r="N77"/>
  <c r="M77"/>
  <c r="N76"/>
  <c r="M76"/>
  <c r="N75"/>
  <c r="M75"/>
  <c r="N74"/>
  <c r="M74"/>
  <c r="N73"/>
  <c r="M73"/>
  <c r="N72"/>
  <c r="M72"/>
  <c r="N71"/>
  <c r="M71"/>
  <c r="N70"/>
  <c r="M70"/>
  <c r="N69"/>
  <c r="M69"/>
  <c r="N68"/>
  <c r="M68"/>
  <c r="N67"/>
  <c r="M67"/>
  <c r="N66"/>
  <c r="M66"/>
  <c r="N65"/>
  <c r="M65"/>
  <c r="N64"/>
  <c r="M64"/>
  <c r="N63"/>
  <c r="M63"/>
  <c r="N62"/>
  <c r="M62"/>
  <c r="N61"/>
  <c r="M61"/>
  <c r="N60"/>
  <c r="M60"/>
  <c r="N59"/>
  <c r="M59"/>
  <c r="N58"/>
  <c r="M58"/>
  <c r="N57"/>
  <c r="M57"/>
  <c r="N56"/>
  <c r="M56"/>
  <c r="N55"/>
  <c r="M55"/>
  <c r="N54"/>
  <c r="M54"/>
  <c r="N53"/>
  <c r="M53"/>
  <c r="N52"/>
  <c r="M52"/>
  <c r="N51"/>
  <c r="M51"/>
  <c r="N50"/>
  <c r="M50"/>
  <c r="N49"/>
  <c r="M49"/>
  <c r="N48"/>
  <c r="M48"/>
  <c r="N47"/>
  <c r="M47"/>
  <c r="N46"/>
  <c r="M46"/>
  <c r="N45"/>
  <c r="M45"/>
  <c r="N44"/>
  <c r="M44"/>
  <c r="N43"/>
  <c r="M43"/>
  <c r="N42"/>
  <c r="M42"/>
  <c r="N41"/>
  <c r="M41"/>
  <c r="N40"/>
  <c r="M40"/>
  <c r="N39"/>
  <c r="M39"/>
  <c r="N38"/>
  <c r="M38"/>
  <c r="N37"/>
  <c r="M37"/>
  <c r="N36"/>
  <c r="M36"/>
  <c r="N35"/>
  <c r="M35"/>
  <c r="N34"/>
  <c r="M34"/>
  <c r="N33"/>
  <c r="M33"/>
  <c r="N32"/>
  <c r="M32"/>
  <c r="N31"/>
  <c r="M31"/>
  <c r="N30"/>
  <c r="M30"/>
  <c r="N29"/>
  <c r="M29"/>
  <c r="N28"/>
  <c r="M28"/>
  <c r="N27"/>
  <c r="M27"/>
  <c r="N26"/>
  <c r="M26"/>
  <c r="N25"/>
  <c r="M25"/>
  <c r="N24"/>
  <c r="M24"/>
  <c r="N23"/>
  <c r="M23"/>
  <c r="N22"/>
  <c r="M22"/>
  <c r="N21"/>
  <c r="M21"/>
  <c r="N20"/>
  <c r="M20"/>
  <c r="N19"/>
  <c r="M19"/>
  <c r="N18"/>
  <c r="M18"/>
  <c r="N17"/>
  <c r="M17"/>
  <c r="N16"/>
  <c r="M16"/>
  <c r="N15"/>
  <c r="M15"/>
  <c r="N14"/>
  <c r="M14"/>
  <c r="N13"/>
  <c r="M13"/>
  <c r="N12"/>
  <c r="M12"/>
  <c r="N11"/>
  <c r="M11"/>
  <c r="N10"/>
  <c r="M10"/>
  <c r="N9"/>
  <c r="M9"/>
  <c r="N8"/>
  <c r="M8"/>
  <c r="N7"/>
  <c r="M7"/>
  <c r="N6"/>
  <c r="M6"/>
  <c r="N5"/>
  <c r="M5"/>
  <c r="N4"/>
  <c r="M4"/>
  <c r="N3"/>
  <c r="M3"/>
  <c r="N2"/>
  <c r="M2"/>
  <c r="N1349" i="2"/>
  <c r="M1349"/>
  <c r="N1348"/>
  <c r="M1348"/>
  <c r="N1347"/>
  <c r="M1347"/>
  <c r="N1346"/>
  <c r="M1346"/>
  <c r="N1345"/>
  <c r="M1345"/>
  <c r="N1344"/>
  <c r="M1344"/>
  <c r="N1343"/>
  <c r="M1343"/>
  <c r="N1342"/>
  <c r="M1342"/>
  <c r="N1341"/>
  <c r="M1341"/>
  <c r="N1340"/>
  <c r="M1340"/>
  <c r="N1339"/>
  <c r="M1339"/>
  <c r="N1338"/>
  <c r="M1338"/>
  <c r="N1337"/>
  <c r="M1337"/>
  <c r="N1336"/>
  <c r="M1336"/>
  <c r="N1335"/>
  <c r="M1335"/>
  <c r="N1334"/>
  <c r="M1334"/>
  <c r="N1333"/>
  <c r="M1333"/>
  <c r="N1332"/>
  <c r="M1332"/>
  <c r="N1331"/>
  <c r="M1331"/>
  <c r="N1330"/>
  <c r="M1330"/>
  <c r="N1329"/>
  <c r="M1329"/>
  <c r="N1328"/>
  <c r="M1328"/>
  <c r="N1327"/>
  <c r="M1327"/>
  <c r="N1326"/>
  <c r="M1326"/>
  <c r="N1325"/>
  <c r="M1325"/>
  <c r="N1324"/>
  <c r="M1324"/>
  <c r="N1323"/>
  <c r="M1323"/>
  <c r="N1322"/>
  <c r="M1322"/>
  <c r="N1321"/>
  <c r="M1321"/>
  <c r="N1320"/>
  <c r="M1320"/>
  <c r="N1319"/>
  <c r="M1319"/>
  <c r="N1318"/>
  <c r="M1318"/>
  <c r="N1317"/>
  <c r="M1317"/>
  <c r="N1316"/>
  <c r="M1316"/>
  <c r="N1315"/>
  <c r="M1315"/>
  <c r="N1314"/>
  <c r="M1314"/>
  <c r="N1313"/>
  <c r="M1313"/>
  <c r="N1312"/>
  <c r="M1312"/>
  <c r="N1311"/>
  <c r="M1311"/>
  <c r="N1310"/>
  <c r="M1310"/>
  <c r="N1309"/>
  <c r="M1309"/>
  <c r="N1308"/>
  <c r="M1308"/>
  <c r="N1307"/>
  <c r="M1307"/>
  <c r="N1306"/>
  <c r="M1306"/>
  <c r="N1305"/>
  <c r="M1305"/>
  <c r="N1304"/>
  <c r="M1304"/>
  <c r="N1303"/>
  <c r="M1303"/>
  <c r="N1302"/>
  <c r="M1302"/>
  <c r="N1301"/>
  <c r="M1301"/>
  <c r="N1300"/>
  <c r="M1300"/>
  <c r="N1299"/>
  <c r="M1299"/>
  <c r="N1298"/>
  <c r="M1298"/>
  <c r="N1297"/>
  <c r="M1297"/>
  <c r="N1296"/>
  <c r="M1296"/>
  <c r="N1295"/>
  <c r="M1295"/>
  <c r="N1294"/>
  <c r="M1294"/>
  <c r="N1293"/>
  <c r="M1293"/>
  <c r="N1292"/>
  <c r="M1292"/>
  <c r="N1291"/>
  <c r="M1291"/>
  <c r="N1290"/>
  <c r="M1290"/>
  <c r="N1289"/>
  <c r="M1289"/>
  <c r="N1288"/>
  <c r="M1288"/>
  <c r="N1287"/>
  <c r="M1287"/>
  <c r="N1286"/>
  <c r="M1286"/>
  <c r="N1285"/>
  <c r="M1285"/>
  <c r="N1284"/>
  <c r="M1284"/>
  <c r="N1283"/>
  <c r="M1283"/>
  <c r="N1282"/>
  <c r="M1282"/>
  <c r="N1281"/>
  <c r="M1281"/>
  <c r="N1280"/>
  <c r="M1280"/>
  <c r="N1279"/>
  <c r="M1279"/>
  <c r="N1278"/>
  <c r="M1278"/>
  <c r="N1277"/>
  <c r="M1277"/>
  <c r="N1276"/>
  <c r="M1276"/>
  <c r="N1275"/>
  <c r="M1275"/>
  <c r="N1274"/>
  <c r="M1274"/>
  <c r="N1273"/>
  <c r="M1273"/>
  <c r="N1272"/>
  <c r="M1272"/>
  <c r="N1271"/>
  <c r="M1271"/>
  <c r="N1270"/>
  <c r="M1270"/>
  <c r="N1269"/>
  <c r="M1269"/>
  <c r="N1268"/>
  <c r="M1268"/>
  <c r="N1267"/>
  <c r="M1267"/>
  <c r="N1266"/>
  <c r="M1266"/>
  <c r="N1265"/>
  <c r="M1265"/>
  <c r="N1264"/>
  <c r="M1264"/>
  <c r="N1263"/>
  <c r="M1263"/>
  <c r="N1262"/>
  <c r="M1262"/>
  <c r="N1261"/>
  <c r="M1261"/>
  <c r="N1260"/>
  <c r="M1260"/>
  <c r="N1259"/>
  <c r="M1259"/>
  <c r="N1258"/>
  <c r="M1258"/>
  <c r="N1257"/>
  <c r="M1257"/>
  <c r="N1256"/>
  <c r="M1256"/>
  <c r="N1255"/>
  <c r="M1255"/>
  <c r="N1254"/>
  <c r="M1254"/>
  <c r="N1253"/>
  <c r="M1253"/>
  <c r="N1252"/>
  <c r="M1252"/>
  <c r="N1251"/>
  <c r="M1251"/>
  <c r="N1250"/>
  <c r="M1250"/>
  <c r="N1249"/>
  <c r="M1249"/>
  <c r="N1248"/>
  <c r="M1248"/>
  <c r="N1247"/>
  <c r="M1247"/>
  <c r="N1246"/>
  <c r="M1246"/>
  <c r="N1245"/>
  <c r="M1245"/>
  <c r="N1244"/>
  <c r="M1244"/>
  <c r="N1243"/>
  <c r="M1243"/>
  <c r="N1242"/>
  <c r="M1242"/>
  <c r="N1241"/>
  <c r="M1241"/>
  <c r="N1240"/>
  <c r="M1240"/>
  <c r="N1239"/>
  <c r="M1239"/>
  <c r="N1238"/>
  <c r="M1238"/>
  <c r="N1237"/>
  <c r="M1237"/>
  <c r="N1236"/>
  <c r="M1236"/>
  <c r="N1235"/>
  <c r="M1235"/>
  <c r="N1234"/>
  <c r="M1234"/>
  <c r="N1233"/>
  <c r="M1233"/>
  <c r="N1232"/>
  <c r="M1232"/>
  <c r="N1231"/>
  <c r="M1231"/>
  <c r="N1230"/>
  <c r="M1230"/>
  <c r="N1229"/>
  <c r="M1229"/>
  <c r="N1228"/>
  <c r="M1228"/>
  <c r="N1227"/>
  <c r="M1227"/>
  <c r="N1226"/>
  <c r="M1226"/>
  <c r="N1225"/>
  <c r="M1225"/>
  <c r="N1224"/>
  <c r="M1224"/>
  <c r="N1223"/>
  <c r="M1223"/>
  <c r="N1222"/>
  <c r="M1222"/>
  <c r="N1221"/>
  <c r="M1221"/>
  <c r="N1220"/>
  <c r="M1220"/>
  <c r="N1219"/>
  <c r="M1219"/>
  <c r="N1218"/>
  <c r="M1218"/>
  <c r="N1217"/>
  <c r="M1217"/>
  <c r="N1216"/>
  <c r="M1216"/>
  <c r="N1215"/>
  <c r="M1215"/>
  <c r="N1214"/>
  <c r="M1214"/>
  <c r="N1213"/>
  <c r="M1213"/>
  <c r="N1212"/>
  <c r="M1212"/>
  <c r="N1211"/>
  <c r="M1211"/>
  <c r="N1210"/>
  <c r="M1210"/>
  <c r="N1209"/>
  <c r="M1209"/>
  <c r="N1208"/>
  <c r="M1208"/>
  <c r="N1207"/>
  <c r="M1207"/>
  <c r="N1206"/>
  <c r="M1206"/>
  <c r="N1205"/>
  <c r="M1205"/>
  <c r="N1204"/>
  <c r="M1204"/>
  <c r="N1203"/>
  <c r="M1203"/>
  <c r="N1202"/>
  <c r="M1202"/>
  <c r="N1201"/>
  <c r="M1201"/>
  <c r="N1200"/>
  <c r="M1200"/>
  <c r="N1199"/>
  <c r="M1199"/>
  <c r="N1198"/>
  <c r="M1198"/>
  <c r="N1197"/>
  <c r="M1197"/>
  <c r="N1196"/>
  <c r="M1196"/>
  <c r="N1195"/>
  <c r="M1195"/>
  <c r="N1194"/>
  <c r="M1194"/>
  <c r="N1193"/>
  <c r="M1193"/>
  <c r="N1192"/>
  <c r="M1192"/>
  <c r="N1191"/>
  <c r="M1191"/>
  <c r="N1190"/>
  <c r="M1190"/>
  <c r="N1189"/>
  <c r="M1189"/>
  <c r="N1188"/>
  <c r="M1188"/>
  <c r="N1187"/>
  <c r="M1187"/>
  <c r="N1186"/>
  <c r="M1186"/>
  <c r="N1185"/>
  <c r="M1185"/>
  <c r="N1184"/>
  <c r="M1184"/>
  <c r="N1183"/>
  <c r="M1183"/>
  <c r="N1182"/>
  <c r="M1182"/>
  <c r="N1181"/>
  <c r="M1181"/>
  <c r="N1180"/>
  <c r="M1180"/>
  <c r="N1179"/>
  <c r="M1179"/>
  <c r="N1178"/>
  <c r="M1178"/>
  <c r="N1177"/>
  <c r="M1177"/>
  <c r="N1176"/>
  <c r="M1176"/>
  <c r="N1175"/>
  <c r="M1175"/>
  <c r="N1174"/>
  <c r="M1174"/>
  <c r="N1173"/>
  <c r="M1173"/>
  <c r="N1172"/>
  <c r="M1172"/>
  <c r="N1171"/>
  <c r="M1171"/>
  <c r="N1170"/>
  <c r="M1170"/>
  <c r="N1169"/>
  <c r="M1169"/>
  <c r="N1168"/>
  <c r="M1168"/>
  <c r="N1167"/>
  <c r="M1167"/>
  <c r="N1166"/>
  <c r="M1166"/>
  <c r="N1165"/>
  <c r="M1165"/>
  <c r="N1164"/>
  <c r="M1164"/>
  <c r="N1163"/>
  <c r="M1163"/>
  <c r="N1162"/>
  <c r="M1162"/>
  <c r="N1161"/>
  <c r="M1161"/>
  <c r="N1160"/>
  <c r="M1160"/>
  <c r="N1159"/>
  <c r="M1159"/>
  <c r="N1158"/>
  <c r="M1158"/>
  <c r="N1157"/>
  <c r="M1157"/>
  <c r="N1156"/>
  <c r="M1156"/>
  <c r="N1155"/>
  <c r="M1155"/>
  <c r="N1154"/>
  <c r="M1154"/>
  <c r="N1153"/>
  <c r="M1153"/>
  <c r="N1152"/>
  <c r="M1152"/>
  <c r="N1151"/>
  <c r="M1151"/>
  <c r="N1150"/>
  <c r="M1150"/>
  <c r="N1149"/>
  <c r="M1149"/>
  <c r="N1148"/>
  <c r="M1148"/>
  <c r="N1147"/>
  <c r="M1147"/>
  <c r="N1146"/>
  <c r="M1146"/>
  <c r="N1145"/>
  <c r="M1145"/>
  <c r="N1144"/>
  <c r="M1144"/>
  <c r="N1143"/>
  <c r="M1143"/>
  <c r="N1142"/>
  <c r="M1142"/>
  <c r="N1141"/>
  <c r="M1141"/>
  <c r="N1140"/>
  <c r="M1140"/>
  <c r="N1139"/>
  <c r="M1139"/>
  <c r="N1138"/>
  <c r="M1138"/>
  <c r="N1137"/>
  <c r="M1137"/>
  <c r="N1136"/>
  <c r="M1136"/>
  <c r="N1135"/>
  <c r="M1135"/>
  <c r="N1134"/>
  <c r="M1134"/>
  <c r="N1133"/>
  <c r="M1133"/>
  <c r="N1132"/>
  <c r="M1132"/>
  <c r="N1131"/>
  <c r="M1131"/>
  <c r="N1130"/>
  <c r="M1130"/>
  <c r="N1129"/>
  <c r="M1129"/>
  <c r="N1128"/>
  <c r="M1128"/>
  <c r="N1127"/>
  <c r="M1127"/>
  <c r="N1126"/>
  <c r="M1126"/>
  <c r="N1125"/>
  <c r="M1125"/>
  <c r="N1124"/>
  <c r="M1124"/>
  <c r="N1123"/>
  <c r="M1123"/>
  <c r="N1122"/>
  <c r="M1122"/>
  <c r="N1121"/>
  <c r="M1121"/>
  <c r="N1120"/>
  <c r="M1120"/>
  <c r="N1119"/>
  <c r="M1119"/>
  <c r="N1118"/>
  <c r="M1118"/>
  <c r="N1117"/>
  <c r="M1117"/>
  <c r="N1116"/>
  <c r="M1116"/>
  <c r="N1115"/>
  <c r="M1115"/>
  <c r="N1114"/>
  <c r="M1114"/>
  <c r="N1113"/>
  <c r="M1113"/>
  <c r="N1112"/>
  <c r="M1112"/>
  <c r="N1111"/>
  <c r="M1111"/>
  <c r="N1110"/>
  <c r="M1110"/>
  <c r="N1109"/>
  <c r="M1109"/>
  <c r="N1108"/>
  <c r="M1108"/>
  <c r="N1107"/>
  <c r="M1107"/>
  <c r="N1106"/>
  <c r="M1106"/>
  <c r="N1105"/>
  <c r="M1105"/>
  <c r="N1104"/>
  <c r="M1104"/>
  <c r="N1103"/>
  <c r="M1103"/>
  <c r="N1102"/>
  <c r="M1102"/>
  <c r="N1101"/>
  <c r="M1101"/>
  <c r="N1100"/>
  <c r="M1100"/>
  <c r="N1099"/>
  <c r="M1099"/>
  <c r="N1098"/>
  <c r="M1098"/>
  <c r="N1097"/>
  <c r="M1097"/>
  <c r="N1096"/>
  <c r="M1096"/>
  <c r="N1095"/>
  <c r="M1095"/>
  <c r="N1094"/>
  <c r="M1094"/>
  <c r="N1093"/>
  <c r="M1093"/>
  <c r="N1092"/>
  <c r="M1092"/>
  <c r="N1091"/>
  <c r="M1091"/>
  <c r="N1090"/>
  <c r="M1090"/>
  <c r="N1089"/>
  <c r="M1089"/>
  <c r="N1088"/>
  <c r="M1088"/>
  <c r="N1087"/>
  <c r="M1087"/>
  <c r="N1086"/>
  <c r="M1086"/>
  <c r="N1085"/>
  <c r="M1085"/>
  <c r="N1084"/>
  <c r="M1084"/>
  <c r="N1083"/>
  <c r="M1083"/>
  <c r="N1082"/>
  <c r="M1082"/>
  <c r="N1081"/>
  <c r="M1081"/>
  <c r="N1080"/>
  <c r="M1080"/>
  <c r="N1079"/>
  <c r="M1079"/>
  <c r="N1078"/>
  <c r="M1078"/>
  <c r="N1077"/>
  <c r="M1077"/>
  <c r="N1076"/>
  <c r="M1076"/>
  <c r="N1075"/>
  <c r="M1075"/>
  <c r="N1074"/>
  <c r="M1074"/>
  <c r="N1073"/>
  <c r="M1073"/>
  <c r="N1072"/>
  <c r="M1072"/>
  <c r="N1071"/>
  <c r="M1071"/>
  <c r="N1070"/>
  <c r="M1070"/>
  <c r="N1069"/>
  <c r="M1069"/>
  <c r="N1068"/>
  <c r="M1068"/>
  <c r="N1067"/>
  <c r="M1067"/>
  <c r="N1066"/>
  <c r="M1066"/>
  <c r="N1065"/>
  <c r="M1065"/>
  <c r="N1064"/>
  <c r="M1064"/>
  <c r="N1063"/>
  <c r="M1063"/>
  <c r="N1062"/>
  <c r="M1062"/>
  <c r="N1061"/>
  <c r="M1061"/>
  <c r="N1060"/>
  <c r="M1060"/>
  <c r="N1059"/>
  <c r="M1059"/>
  <c r="N1058"/>
  <c r="M1058"/>
  <c r="N1057"/>
  <c r="M1057"/>
  <c r="N1056"/>
  <c r="M1056"/>
  <c r="N1055"/>
  <c r="M1055"/>
  <c r="N1054"/>
  <c r="M1054"/>
  <c r="N1053"/>
  <c r="M1053"/>
  <c r="N1052"/>
  <c r="M1052"/>
  <c r="N1051"/>
  <c r="M1051"/>
  <c r="N1050"/>
  <c r="M1050"/>
  <c r="N1049"/>
  <c r="M1049"/>
  <c r="N1048"/>
  <c r="M1048"/>
  <c r="N1047"/>
  <c r="M1047"/>
  <c r="N1046"/>
  <c r="M1046"/>
  <c r="N1045"/>
  <c r="M1045"/>
  <c r="N1044"/>
  <c r="M1044"/>
  <c r="N1043"/>
  <c r="M1043"/>
  <c r="N1042"/>
  <c r="M1042"/>
  <c r="N1041"/>
  <c r="M1041"/>
  <c r="N1040"/>
  <c r="M1040"/>
  <c r="N1039"/>
  <c r="M1039"/>
  <c r="N1038"/>
  <c r="M1038"/>
  <c r="N1037"/>
  <c r="M1037"/>
  <c r="N1036"/>
  <c r="M1036"/>
  <c r="N1035"/>
  <c r="M1035"/>
  <c r="N1034"/>
  <c r="M1034"/>
  <c r="N1033"/>
  <c r="M1033"/>
  <c r="N1032"/>
  <c r="M1032"/>
  <c r="N1031"/>
  <c r="M1031"/>
  <c r="N1030"/>
  <c r="M1030"/>
  <c r="N1029"/>
  <c r="M1029"/>
  <c r="N1028"/>
  <c r="M1028"/>
  <c r="N1027"/>
  <c r="M1027"/>
  <c r="N1026"/>
  <c r="M1026"/>
  <c r="N1025"/>
  <c r="M1025"/>
  <c r="N1024"/>
  <c r="M1024"/>
  <c r="N1023"/>
  <c r="M1023"/>
  <c r="N1022"/>
  <c r="M1022"/>
  <c r="N1021"/>
  <c r="M1021"/>
  <c r="N1020"/>
  <c r="M1020"/>
  <c r="N1019"/>
  <c r="M1019"/>
  <c r="N1018"/>
  <c r="M1018"/>
  <c r="N1017"/>
  <c r="M1017"/>
  <c r="N1016"/>
  <c r="M1016"/>
  <c r="N1015"/>
  <c r="M1015"/>
  <c r="N1014"/>
  <c r="M1014"/>
  <c r="N1013"/>
  <c r="M1013"/>
  <c r="N1012"/>
  <c r="M1012"/>
  <c r="N1011"/>
  <c r="M1011"/>
  <c r="N1010"/>
  <c r="M1010"/>
  <c r="N1009"/>
  <c r="M1009"/>
  <c r="N1008"/>
  <c r="M1008"/>
  <c r="N1007"/>
  <c r="M1007"/>
  <c r="N1006"/>
  <c r="M1006"/>
  <c r="N1005"/>
  <c r="M1005"/>
  <c r="N1004"/>
  <c r="M1004"/>
  <c r="N1003"/>
  <c r="M1003"/>
  <c r="N1002"/>
  <c r="M1002"/>
  <c r="N1001"/>
  <c r="M1001"/>
  <c r="N1000"/>
  <c r="M1000"/>
  <c r="N999"/>
  <c r="M999"/>
  <c r="N998"/>
  <c r="M998"/>
  <c r="N997"/>
  <c r="M997"/>
  <c r="N996"/>
  <c r="M996"/>
  <c r="N995"/>
  <c r="M995"/>
  <c r="N994"/>
  <c r="M994"/>
  <c r="N993"/>
  <c r="M993"/>
  <c r="N992"/>
  <c r="M992"/>
  <c r="N991"/>
  <c r="M991"/>
  <c r="N990"/>
  <c r="M990"/>
  <c r="N989"/>
  <c r="M989"/>
  <c r="N988"/>
  <c r="M988"/>
  <c r="N987"/>
  <c r="M987"/>
  <c r="N986"/>
  <c r="M986"/>
  <c r="N985"/>
  <c r="M985"/>
  <c r="N984"/>
  <c r="M984"/>
  <c r="N983"/>
  <c r="M983"/>
  <c r="N982"/>
  <c r="M982"/>
  <c r="N981"/>
  <c r="M981"/>
  <c r="N980"/>
  <c r="M980"/>
  <c r="N979"/>
  <c r="M979"/>
  <c r="N978"/>
  <c r="M978"/>
  <c r="N977"/>
  <c r="M977"/>
  <c r="N976"/>
  <c r="M976"/>
  <c r="N975"/>
  <c r="M975"/>
  <c r="N974"/>
  <c r="M974"/>
  <c r="N973"/>
  <c r="M973"/>
  <c r="N972"/>
  <c r="M972"/>
  <c r="N971"/>
  <c r="M971"/>
  <c r="N970"/>
  <c r="M970"/>
  <c r="N969"/>
  <c r="M969"/>
  <c r="N968"/>
  <c r="M968"/>
  <c r="N967"/>
  <c r="M967"/>
  <c r="N966"/>
  <c r="M966"/>
  <c r="N965"/>
  <c r="M965"/>
  <c r="N964"/>
  <c r="M964"/>
  <c r="N963"/>
  <c r="M963"/>
  <c r="N962"/>
  <c r="M962"/>
  <c r="N961"/>
  <c r="M961"/>
  <c r="N960"/>
  <c r="M960"/>
  <c r="N959"/>
  <c r="M959"/>
  <c r="N958"/>
  <c r="M958"/>
  <c r="N957"/>
  <c r="M957"/>
  <c r="N956"/>
  <c r="M956"/>
  <c r="N955"/>
  <c r="M955"/>
  <c r="N954"/>
  <c r="M954"/>
  <c r="N953"/>
  <c r="M953"/>
  <c r="N952"/>
  <c r="M952"/>
  <c r="N951"/>
  <c r="M951"/>
  <c r="N950"/>
  <c r="M950"/>
  <c r="N949"/>
  <c r="M949"/>
  <c r="N948"/>
  <c r="M948"/>
  <c r="N947"/>
  <c r="M947"/>
  <c r="N946"/>
  <c r="M946"/>
  <c r="N945"/>
  <c r="M945"/>
  <c r="N944"/>
  <c r="M944"/>
  <c r="N943"/>
  <c r="M943"/>
  <c r="N942"/>
  <c r="M942"/>
  <c r="N941"/>
  <c r="M941"/>
  <c r="N940"/>
  <c r="M940"/>
  <c r="N939"/>
  <c r="M939"/>
  <c r="N938"/>
  <c r="M938"/>
  <c r="N937"/>
  <c r="M937"/>
  <c r="N936"/>
  <c r="M936"/>
  <c r="N935"/>
  <c r="M935"/>
  <c r="N934"/>
  <c r="M934"/>
  <c r="N933"/>
  <c r="M933"/>
  <c r="N932"/>
  <c r="M932"/>
  <c r="N931"/>
  <c r="M931"/>
  <c r="N930"/>
  <c r="M930"/>
  <c r="N929"/>
  <c r="M929"/>
  <c r="N928"/>
  <c r="M928"/>
  <c r="N927"/>
  <c r="M927"/>
  <c r="N926"/>
  <c r="M926"/>
  <c r="N925"/>
  <c r="M925"/>
  <c r="N924"/>
  <c r="M924"/>
  <c r="N923"/>
  <c r="M923"/>
  <c r="N922"/>
  <c r="M922"/>
  <c r="N921"/>
  <c r="M921"/>
  <c r="N920"/>
  <c r="M920"/>
  <c r="N919"/>
  <c r="M919"/>
  <c r="N918"/>
  <c r="M918"/>
  <c r="N917"/>
  <c r="M917"/>
  <c r="N916"/>
  <c r="M916"/>
  <c r="N915"/>
  <c r="M915"/>
  <c r="N914"/>
  <c r="M914"/>
  <c r="N913"/>
  <c r="M913"/>
  <c r="N912"/>
  <c r="M912"/>
  <c r="N911"/>
  <c r="M911"/>
  <c r="N910"/>
  <c r="M910"/>
  <c r="N909"/>
  <c r="M909"/>
  <c r="N908"/>
  <c r="M908"/>
  <c r="N907"/>
  <c r="M907"/>
  <c r="N906"/>
  <c r="M906"/>
  <c r="N905"/>
  <c r="M905"/>
  <c r="N904"/>
  <c r="M904"/>
  <c r="N903"/>
  <c r="M903"/>
  <c r="N902"/>
  <c r="M902"/>
  <c r="N901"/>
  <c r="M901"/>
  <c r="N900"/>
  <c r="M900"/>
  <c r="N899"/>
  <c r="M899"/>
  <c r="N898"/>
  <c r="M898"/>
  <c r="N897"/>
  <c r="M897"/>
  <c r="N896"/>
  <c r="M896"/>
  <c r="N895"/>
  <c r="M895"/>
  <c r="N894"/>
  <c r="M894"/>
  <c r="N893"/>
  <c r="M893"/>
  <c r="N892"/>
  <c r="M892"/>
  <c r="N891"/>
  <c r="M891"/>
  <c r="N890"/>
  <c r="M890"/>
  <c r="N889"/>
  <c r="M889"/>
  <c r="N888"/>
  <c r="M888"/>
  <c r="N887"/>
  <c r="M887"/>
  <c r="N886"/>
  <c r="M886"/>
  <c r="N885"/>
  <c r="M885"/>
  <c r="N884"/>
  <c r="M884"/>
  <c r="N883"/>
  <c r="M883"/>
  <c r="N882"/>
  <c r="M882"/>
  <c r="N881"/>
  <c r="M881"/>
  <c r="N880"/>
  <c r="M880"/>
  <c r="N879"/>
  <c r="M879"/>
  <c r="N878"/>
  <c r="M878"/>
  <c r="N877"/>
  <c r="M877"/>
  <c r="N876"/>
  <c r="M876"/>
  <c r="N875"/>
  <c r="M875"/>
  <c r="N874"/>
  <c r="M874"/>
  <c r="N873"/>
  <c r="M873"/>
  <c r="N872"/>
  <c r="M872"/>
  <c r="N871"/>
  <c r="M871"/>
  <c r="N870"/>
  <c r="M870"/>
  <c r="N869"/>
  <c r="M869"/>
  <c r="N868"/>
  <c r="M868"/>
  <c r="N867"/>
  <c r="M867"/>
  <c r="N866"/>
  <c r="M866"/>
  <c r="N865"/>
  <c r="M865"/>
  <c r="N864"/>
  <c r="M864"/>
  <c r="N863"/>
  <c r="M863"/>
  <c r="N862"/>
  <c r="M862"/>
  <c r="N860"/>
  <c r="M860"/>
  <c r="N859"/>
  <c r="M859"/>
  <c r="N858"/>
  <c r="M858"/>
  <c r="N857"/>
  <c r="M857"/>
  <c r="N856"/>
  <c r="M856"/>
  <c r="N855"/>
  <c r="M855"/>
  <c r="N854"/>
  <c r="M854"/>
  <c r="N853"/>
  <c r="M853"/>
  <c r="N852"/>
  <c r="M852"/>
  <c r="N851"/>
  <c r="M851"/>
  <c r="N850"/>
  <c r="M850"/>
  <c r="N849"/>
  <c r="M849"/>
  <c r="N848"/>
  <c r="M848"/>
  <c r="N847"/>
  <c r="M847"/>
  <c r="N846"/>
  <c r="M846"/>
  <c r="N845"/>
  <c r="M845"/>
  <c r="N844"/>
  <c r="M844"/>
  <c r="N843"/>
  <c r="M843"/>
  <c r="N842"/>
  <c r="M842"/>
  <c r="N841"/>
  <c r="M841"/>
  <c r="N840"/>
  <c r="M840"/>
  <c r="N839"/>
  <c r="M839"/>
  <c r="N838"/>
  <c r="M838"/>
  <c r="N837"/>
  <c r="M837"/>
  <c r="N836"/>
  <c r="M836"/>
  <c r="N835"/>
  <c r="M835"/>
  <c r="N834"/>
  <c r="M834"/>
  <c r="N833"/>
  <c r="M833"/>
  <c r="N832"/>
  <c r="M832"/>
  <c r="N831"/>
  <c r="M831"/>
  <c r="N830"/>
  <c r="M830"/>
  <c r="N829"/>
  <c r="M829"/>
  <c r="N828"/>
  <c r="M828"/>
  <c r="N827"/>
  <c r="M827"/>
  <c r="N826"/>
  <c r="M826"/>
  <c r="N825"/>
  <c r="M825"/>
  <c r="N824"/>
  <c r="M824"/>
  <c r="N823"/>
  <c r="M823"/>
  <c r="N822"/>
  <c r="M822"/>
  <c r="N821"/>
  <c r="M821"/>
  <c r="N820"/>
  <c r="M820"/>
  <c r="N819"/>
  <c r="M819"/>
  <c r="N818"/>
  <c r="M818"/>
  <c r="N817"/>
  <c r="M817"/>
  <c r="N816"/>
  <c r="M816"/>
  <c r="N815"/>
  <c r="M815"/>
  <c r="N814"/>
  <c r="M814"/>
  <c r="N813"/>
  <c r="M813"/>
  <c r="N812"/>
  <c r="M812"/>
  <c r="N811"/>
  <c r="M811"/>
  <c r="N810"/>
  <c r="M810"/>
  <c r="N809"/>
  <c r="M809"/>
  <c r="N808"/>
  <c r="M808"/>
  <c r="N807"/>
  <c r="M807"/>
  <c r="N806"/>
  <c r="M806"/>
  <c r="N805"/>
  <c r="M805"/>
  <c r="N804"/>
  <c r="M804"/>
  <c r="N803"/>
  <c r="M803"/>
  <c r="N802"/>
  <c r="M802"/>
  <c r="N801"/>
  <c r="M801"/>
  <c r="N800"/>
  <c r="M800"/>
  <c r="N799"/>
  <c r="M799"/>
  <c r="N798"/>
  <c r="M798"/>
  <c r="N797"/>
  <c r="M797"/>
  <c r="N796"/>
  <c r="M796"/>
  <c r="N795"/>
  <c r="M795"/>
  <c r="N794"/>
  <c r="M794"/>
  <c r="N793"/>
  <c r="M793"/>
  <c r="N792"/>
  <c r="M792"/>
  <c r="N791"/>
  <c r="M791"/>
  <c r="N790"/>
  <c r="M790"/>
  <c r="N789"/>
  <c r="M789"/>
  <c r="N788"/>
  <c r="M788"/>
  <c r="N787"/>
  <c r="M787"/>
  <c r="N786"/>
  <c r="M786"/>
  <c r="N785"/>
  <c r="M785"/>
  <c r="N784"/>
  <c r="M784"/>
  <c r="N783"/>
  <c r="M783"/>
  <c r="N782"/>
  <c r="M782"/>
  <c r="N781"/>
  <c r="M781"/>
  <c r="N780"/>
  <c r="M780"/>
  <c r="N779"/>
  <c r="M779"/>
  <c r="N778"/>
  <c r="M778"/>
  <c r="N777"/>
  <c r="M777"/>
  <c r="N776"/>
  <c r="M776"/>
  <c r="N775"/>
  <c r="M775"/>
  <c r="N774"/>
  <c r="M774"/>
  <c r="N773"/>
  <c r="M773"/>
  <c r="N772"/>
  <c r="M772"/>
  <c r="N771"/>
  <c r="M771"/>
  <c r="N770"/>
  <c r="M770"/>
  <c r="N769"/>
  <c r="M769"/>
  <c r="N768"/>
  <c r="M768"/>
  <c r="N767"/>
  <c r="M767"/>
  <c r="N766"/>
  <c r="M766"/>
  <c r="N765"/>
  <c r="M765"/>
  <c r="N764"/>
  <c r="M764"/>
  <c r="N763"/>
  <c r="M763"/>
  <c r="N762"/>
  <c r="M762"/>
  <c r="N761"/>
  <c r="M761"/>
  <c r="N760"/>
  <c r="M760"/>
  <c r="N759"/>
  <c r="M759"/>
  <c r="N758"/>
  <c r="M758"/>
  <c r="N757"/>
  <c r="M757"/>
  <c r="N756"/>
  <c r="M756"/>
  <c r="N755"/>
  <c r="M755"/>
  <c r="N754"/>
  <c r="M754"/>
  <c r="N753"/>
  <c r="M753"/>
  <c r="N752"/>
  <c r="M752"/>
  <c r="N751"/>
  <c r="M751"/>
  <c r="N750"/>
  <c r="M750"/>
  <c r="N749"/>
  <c r="M749"/>
  <c r="N748"/>
  <c r="M748"/>
  <c r="N747"/>
  <c r="M747"/>
  <c r="N746"/>
  <c r="M746"/>
  <c r="N745"/>
  <c r="M745"/>
  <c r="N744"/>
  <c r="M744"/>
  <c r="N743"/>
  <c r="M743"/>
  <c r="N742"/>
  <c r="M742"/>
  <c r="N741"/>
  <c r="M741"/>
  <c r="N740"/>
  <c r="M740"/>
  <c r="N739"/>
  <c r="M739"/>
  <c r="N738"/>
  <c r="M738"/>
  <c r="N737"/>
  <c r="M737"/>
  <c r="N736"/>
  <c r="M736"/>
  <c r="N735"/>
  <c r="M735"/>
  <c r="N734"/>
  <c r="M734"/>
  <c r="N733"/>
  <c r="M733"/>
  <c r="N732"/>
  <c r="M732"/>
  <c r="N731"/>
  <c r="M731"/>
  <c r="N730"/>
  <c r="M730"/>
  <c r="N729"/>
  <c r="M729"/>
  <c r="N728"/>
  <c r="M728"/>
  <c r="N727"/>
  <c r="M727"/>
  <c r="N726"/>
  <c r="M726"/>
  <c r="N725"/>
  <c r="M725"/>
  <c r="N724"/>
  <c r="M724"/>
  <c r="N723"/>
  <c r="M723"/>
  <c r="N722"/>
  <c r="M722"/>
  <c r="N721"/>
  <c r="M721"/>
  <c r="N720"/>
  <c r="M720"/>
  <c r="N719"/>
  <c r="M719"/>
  <c r="N718"/>
  <c r="M718"/>
  <c r="N717"/>
  <c r="M717"/>
  <c r="N716"/>
  <c r="M716"/>
  <c r="N715"/>
  <c r="M715"/>
  <c r="N714"/>
  <c r="M714"/>
  <c r="N713"/>
  <c r="M713"/>
  <c r="N712"/>
  <c r="M712"/>
  <c r="N711"/>
  <c r="M711"/>
  <c r="N710"/>
  <c r="M710"/>
  <c r="N709"/>
  <c r="M709"/>
  <c r="N708"/>
  <c r="M708"/>
  <c r="N707"/>
  <c r="M707"/>
  <c r="N706"/>
  <c r="M706"/>
  <c r="N705"/>
  <c r="M705"/>
  <c r="N704"/>
  <c r="M704"/>
  <c r="N703"/>
  <c r="M703"/>
  <c r="N702"/>
  <c r="M702"/>
  <c r="N701"/>
  <c r="M701"/>
  <c r="N700"/>
  <c r="M700"/>
  <c r="N699"/>
  <c r="M699"/>
  <c r="N698"/>
  <c r="M698"/>
  <c r="N697"/>
  <c r="M697"/>
  <c r="N696"/>
  <c r="M696"/>
  <c r="N695"/>
  <c r="M695"/>
  <c r="N694"/>
  <c r="M694"/>
  <c r="N693"/>
  <c r="M693"/>
  <c r="N692"/>
  <c r="M692"/>
  <c r="N691"/>
  <c r="M691"/>
  <c r="N690"/>
  <c r="M690"/>
  <c r="N689"/>
  <c r="M689"/>
  <c r="N688"/>
  <c r="M688"/>
  <c r="N687"/>
  <c r="M687"/>
  <c r="N686"/>
  <c r="M686"/>
  <c r="N685"/>
  <c r="M685"/>
  <c r="N684"/>
  <c r="M684"/>
  <c r="N683"/>
  <c r="M683"/>
  <c r="N682"/>
  <c r="M682"/>
  <c r="N681"/>
  <c r="M681"/>
  <c r="N680"/>
  <c r="M680"/>
  <c r="N679"/>
  <c r="M679"/>
  <c r="N678"/>
  <c r="M678"/>
  <c r="N677"/>
  <c r="M677"/>
  <c r="N676"/>
  <c r="M676"/>
  <c r="N675"/>
  <c r="M675"/>
  <c r="N674"/>
  <c r="M674"/>
  <c r="N673"/>
  <c r="M673"/>
  <c r="N672"/>
  <c r="M672"/>
  <c r="N671"/>
  <c r="M671"/>
  <c r="N670"/>
  <c r="M670"/>
  <c r="N669"/>
  <c r="M669"/>
  <c r="N668"/>
  <c r="M668"/>
  <c r="N667"/>
  <c r="M667"/>
  <c r="N666"/>
  <c r="M666"/>
  <c r="N665"/>
  <c r="M665"/>
  <c r="N664"/>
  <c r="M664"/>
  <c r="N663"/>
  <c r="M663"/>
  <c r="N662"/>
  <c r="M662"/>
  <c r="N661"/>
  <c r="M661"/>
  <c r="N660"/>
  <c r="M660"/>
  <c r="N659"/>
  <c r="M659"/>
  <c r="N658"/>
  <c r="M658"/>
  <c r="N657"/>
  <c r="M657"/>
  <c r="N656"/>
  <c r="M656"/>
  <c r="N655"/>
  <c r="M655"/>
  <c r="N654"/>
  <c r="M654"/>
  <c r="N653"/>
  <c r="M653"/>
  <c r="N652"/>
  <c r="M652"/>
  <c r="N651"/>
  <c r="M651"/>
  <c r="N650"/>
  <c r="M650"/>
  <c r="N649"/>
  <c r="M649"/>
  <c r="N648"/>
  <c r="M648"/>
  <c r="N647"/>
  <c r="M647"/>
  <c r="N646"/>
  <c r="M646"/>
  <c r="N645"/>
  <c r="M645"/>
  <c r="N644"/>
  <c r="M644"/>
  <c r="N643"/>
  <c r="M643"/>
  <c r="N642"/>
  <c r="M642"/>
  <c r="N641"/>
  <c r="M641"/>
  <c r="N640"/>
  <c r="M640"/>
  <c r="N639"/>
  <c r="M639"/>
  <c r="N638"/>
  <c r="M638"/>
  <c r="N637"/>
  <c r="M637"/>
  <c r="N636"/>
  <c r="M636"/>
  <c r="N635"/>
  <c r="M635"/>
  <c r="N634"/>
  <c r="M634"/>
  <c r="N633"/>
  <c r="M633"/>
  <c r="N632"/>
  <c r="M632"/>
  <c r="N631"/>
  <c r="M631"/>
  <c r="N630"/>
  <c r="M630"/>
  <c r="N629"/>
  <c r="M629"/>
  <c r="N628"/>
  <c r="M628"/>
  <c r="N627"/>
  <c r="M627"/>
  <c r="N626"/>
  <c r="M626"/>
  <c r="N625"/>
  <c r="M625"/>
  <c r="N624"/>
  <c r="M624"/>
  <c r="N623"/>
  <c r="M623"/>
  <c r="N622"/>
  <c r="M622"/>
  <c r="N621"/>
  <c r="M621"/>
  <c r="N620"/>
  <c r="M620"/>
  <c r="N619"/>
  <c r="M619"/>
  <c r="N618"/>
  <c r="M618"/>
  <c r="N617"/>
  <c r="M617"/>
  <c r="N616"/>
  <c r="M616"/>
  <c r="N615"/>
  <c r="M615"/>
  <c r="N614"/>
  <c r="M614"/>
  <c r="N613"/>
  <c r="M613"/>
  <c r="N612"/>
  <c r="M612"/>
  <c r="N611"/>
  <c r="M611"/>
  <c r="N610"/>
  <c r="M610"/>
  <c r="N609"/>
  <c r="M609"/>
  <c r="N608"/>
  <c r="M608"/>
  <c r="N607"/>
  <c r="M607"/>
  <c r="N606"/>
  <c r="M606"/>
  <c r="N605"/>
  <c r="M605"/>
  <c r="N604"/>
  <c r="M604"/>
  <c r="N603"/>
  <c r="M603"/>
  <c r="N602"/>
  <c r="M602"/>
  <c r="N600"/>
  <c r="M600"/>
  <c r="N599"/>
  <c r="M599"/>
  <c r="N598"/>
  <c r="M598"/>
  <c r="N597"/>
  <c r="M597"/>
  <c r="N596"/>
  <c r="M596"/>
  <c r="N595"/>
  <c r="M595"/>
  <c r="N594"/>
  <c r="M594"/>
  <c r="N593"/>
  <c r="M593"/>
  <c r="N592"/>
  <c r="M592"/>
  <c r="N591"/>
  <c r="M591"/>
  <c r="N590"/>
  <c r="M590"/>
  <c r="N589"/>
  <c r="M589"/>
  <c r="N588"/>
  <c r="M588"/>
  <c r="N587"/>
  <c r="M587"/>
  <c r="N586"/>
  <c r="M586"/>
  <c r="N585"/>
  <c r="M585"/>
  <c r="N584"/>
  <c r="M584"/>
  <c r="N583"/>
  <c r="M583"/>
  <c r="N582"/>
  <c r="M582"/>
  <c r="N581"/>
  <c r="M581"/>
  <c r="N580"/>
  <c r="M580"/>
  <c r="N579"/>
  <c r="M579"/>
  <c r="N578"/>
  <c r="M578"/>
  <c r="N577"/>
  <c r="M577"/>
  <c r="N576"/>
  <c r="M576"/>
  <c r="N575"/>
  <c r="M575"/>
  <c r="N574"/>
  <c r="M574"/>
  <c r="N573"/>
  <c r="M573"/>
  <c r="N572"/>
  <c r="M572"/>
  <c r="N571"/>
  <c r="M571"/>
  <c r="N570"/>
  <c r="M570"/>
  <c r="N569"/>
  <c r="M569"/>
  <c r="N568"/>
  <c r="M568"/>
  <c r="N567"/>
  <c r="M567"/>
  <c r="N566"/>
  <c r="M566"/>
  <c r="N565"/>
  <c r="M565"/>
  <c r="N564"/>
  <c r="M564"/>
  <c r="N563"/>
  <c r="M563"/>
  <c r="N562"/>
  <c r="M562"/>
  <c r="N561"/>
  <c r="M561"/>
  <c r="N560"/>
  <c r="M560"/>
  <c r="N559"/>
  <c r="M559"/>
  <c r="N558"/>
  <c r="M558"/>
  <c r="N557"/>
  <c r="M557"/>
  <c r="N556"/>
  <c r="M556"/>
  <c r="N555"/>
  <c r="M555"/>
  <c r="N554"/>
  <c r="M554"/>
  <c r="N553"/>
  <c r="M553"/>
  <c r="N552"/>
  <c r="M552"/>
  <c r="N551"/>
  <c r="M551"/>
  <c r="N550"/>
  <c r="M550"/>
  <c r="N549"/>
  <c r="M549"/>
  <c r="N548"/>
  <c r="M548"/>
  <c r="N547"/>
  <c r="M547"/>
  <c r="N546"/>
  <c r="M546"/>
  <c r="N545"/>
  <c r="M545"/>
  <c r="N544"/>
  <c r="M544"/>
  <c r="N543"/>
  <c r="M543"/>
  <c r="N542"/>
  <c r="M542"/>
  <c r="N541"/>
  <c r="M541"/>
  <c r="N540"/>
  <c r="M540"/>
  <c r="N539"/>
  <c r="M539"/>
  <c r="N538"/>
  <c r="M538"/>
  <c r="N537"/>
  <c r="M537"/>
  <c r="N536"/>
  <c r="M536"/>
  <c r="N535"/>
  <c r="M535"/>
  <c r="N534"/>
  <c r="M534"/>
  <c r="N533"/>
  <c r="M533"/>
  <c r="N532"/>
  <c r="M532"/>
  <c r="N531"/>
  <c r="M531"/>
  <c r="N530"/>
  <c r="M530"/>
  <c r="N529"/>
  <c r="M529"/>
  <c r="N528"/>
  <c r="M528"/>
  <c r="N527"/>
  <c r="M527"/>
  <c r="N526"/>
  <c r="M526"/>
  <c r="N525"/>
  <c r="M525"/>
  <c r="N524"/>
  <c r="M524"/>
  <c r="N523"/>
  <c r="M523"/>
  <c r="N522"/>
  <c r="M522"/>
  <c r="N521"/>
  <c r="M521"/>
  <c r="N520"/>
  <c r="M520"/>
  <c r="N519"/>
  <c r="M519"/>
  <c r="N518"/>
  <c r="M518"/>
  <c r="N517"/>
  <c r="M517"/>
  <c r="N516"/>
  <c r="M516"/>
  <c r="N515"/>
  <c r="M515"/>
  <c r="N514"/>
  <c r="M514"/>
  <c r="N513"/>
  <c r="M513"/>
  <c r="N512"/>
  <c r="M512"/>
  <c r="N511"/>
  <c r="M511"/>
  <c r="N510"/>
  <c r="M510"/>
  <c r="N509"/>
  <c r="M509"/>
  <c r="N508"/>
  <c r="M508"/>
  <c r="N507"/>
  <c r="M507"/>
  <c r="N506"/>
  <c r="M506"/>
  <c r="N505"/>
  <c r="M505"/>
  <c r="N504"/>
  <c r="M504"/>
  <c r="N503"/>
  <c r="M503"/>
  <c r="N502"/>
  <c r="M502"/>
  <c r="N501"/>
  <c r="M501"/>
  <c r="N500"/>
  <c r="M500"/>
  <c r="N499"/>
  <c r="M499"/>
  <c r="N498"/>
  <c r="M498"/>
  <c r="N497"/>
  <c r="M497"/>
  <c r="N496"/>
  <c r="M496"/>
  <c r="N495"/>
  <c r="M495"/>
  <c r="N494"/>
  <c r="M494"/>
  <c r="N493"/>
  <c r="M493"/>
  <c r="N492"/>
  <c r="M492"/>
  <c r="N491"/>
  <c r="M491"/>
  <c r="N490"/>
  <c r="M490"/>
  <c r="N489"/>
  <c r="M489"/>
  <c r="N488"/>
  <c r="M488"/>
  <c r="N487"/>
  <c r="M487"/>
  <c r="N486"/>
  <c r="M486"/>
  <c r="N485"/>
  <c r="M485"/>
  <c r="N484"/>
  <c r="M484"/>
  <c r="N483"/>
  <c r="M483"/>
  <c r="N482"/>
  <c r="M482"/>
  <c r="N481"/>
  <c r="M481"/>
  <c r="N480"/>
  <c r="M480"/>
  <c r="N479"/>
  <c r="M479"/>
  <c r="N478"/>
  <c r="M478"/>
  <c r="N477"/>
  <c r="M477"/>
  <c r="N476"/>
  <c r="M476"/>
  <c r="N475"/>
  <c r="M475"/>
  <c r="N474"/>
  <c r="M474"/>
  <c r="N473"/>
  <c r="M473"/>
  <c r="N472"/>
  <c r="M472"/>
  <c r="N471"/>
  <c r="M471"/>
  <c r="N470"/>
  <c r="M470"/>
  <c r="N469"/>
  <c r="M469"/>
  <c r="N468"/>
  <c r="M468"/>
  <c r="N467"/>
  <c r="M467"/>
  <c r="N466"/>
  <c r="M466"/>
  <c r="N465"/>
  <c r="M465"/>
  <c r="N464"/>
  <c r="M464"/>
  <c r="N463"/>
  <c r="M463"/>
  <c r="N462"/>
  <c r="M462"/>
  <c r="N461"/>
  <c r="M461"/>
  <c r="N460"/>
  <c r="M460"/>
  <c r="N459"/>
  <c r="M459"/>
  <c r="N458"/>
  <c r="M458"/>
  <c r="N457"/>
  <c r="M457"/>
  <c r="N456"/>
  <c r="M456"/>
  <c r="N455"/>
  <c r="M455"/>
  <c r="N454"/>
  <c r="M454"/>
  <c r="N453"/>
  <c r="M453"/>
  <c r="N452"/>
  <c r="M452"/>
  <c r="N451"/>
  <c r="M451"/>
  <c r="N450"/>
  <c r="M450"/>
  <c r="N449"/>
  <c r="M449"/>
  <c r="N448"/>
  <c r="M448"/>
  <c r="N447"/>
  <c r="M447"/>
  <c r="N446"/>
  <c r="M446"/>
  <c r="N445"/>
  <c r="M445"/>
  <c r="N444"/>
  <c r="M444"/>
  <c r="N443"/>
  <c r="M443"/>
  <c r="N442"/>
  <c r="M442"/>
  <c r="N441"/>
  <c r="M441"/>
  <c r="N440"/>
  <c r="M440"/>
  <c r="N439"/>
  <c r="M439"/>
  <c r="N438"/>
  <c r="M438"/>
  <c r="N437"/>
  <c r="M437"/>
  <c r="N436"/>
  <c r="M436"/>
  <c r="N435"/>
  <c r="M435"/>
  <c r="N434"/>
  <c r="M434"/>
  <c r="N433"/>
  <c r="M433"/>
  <c r="N432"/>
  <c r="M432"/>
  <c r="N431"/>
  <c r="M431"/>
  <c r="N430"/>
  <c r="M430"/>
  <c r="N429"/>
  <c r="M429"/>
  <c r="N428"/>
  <c r="M428"/>
  <c r="N427"/>
  <c r="M427"/>
  <c r="N426"/>
  <c r="M426"/>
  <c r="N425"/>
  <c r="M425"/>
  <c r="N424"/>
  <c r="M424"/>
  <c r="N423"/>
  <c r="M423"/>
  <c r="N422"/>
  <c r="M422"/>
  <c r="N421"/>
  <c r="M421"/>
  <c r="N420"/>
  <c r="M420"/>
  <c r="N419"/>
  <c r="M419"/>
  <c r="N418"/>
  <c r="M418"/>
  <c r="N417"/>
  <c r="M417"/>
  <c r="N416"/>
  <c r="M416"/>
  <c r="N415"/>
  <c r="M415"/>
  <c r="N414"/>
  <c r="M414"/>
  <c r="N413"/>
  <c r="M413"/>
  <c r="N412"/>
  <c r="M412"/>
  <c r="N411"/>
  <c r="M411"/>
  <c r="N410"/>
  <c r="M410"/>
  <c r="N409"/>
  <c r="M409"/>
  <c r="N408"/>
  <c r="M408"/>
  <c r="N407"/>
  <c r="M407"/>
  <c r="N406"/>
  <c r="M406"/>
  <c r="N405"/>
  <c r="M405"/>
  <c r="N404"/>
  <c r="M404"/>
  <c r="N403"/>
  <c r="M403"/>
  <c r="N402"/>
  <c r="M402"/>
  <c r="N401"/>
  <c r="M401"/>
  <c r="N400"/>
  <c r="M400"/>
  <c r="N399"/>
  <c r="M399"/>
  <c r="N398"/>
  <c r="M398"/>
  <c r="N397"/>
  <c r="M397"/>
  <c r="N396"/>
  <c r="M396"/>
  <c r="N395"/>
  <c r="M395"/>
  <c r="N394"/>
  <c r="M394"/>
  <c r="N393"/>
  <c r="M393"/>
  <c r="N392"/>
  <c r="M392"/>
  <c r="N391"/>
  <c r="M391"/>
  <c r="N390"/>
  <c r="M390"/>
  <c r="N389"/>
  <c r="M389"/>
  <c r="N388"/>
  <c r="M388"/>
  <c r="N387"/>
  <c r="M387"/>
  <c r="N386"/>
  <c r="M386"/>
  <c r="N385"/>
  <c r="M385"/>
  <c r="N384"/>
  <c r="M384"/>
  <c r="N383"/>
  <c r="M383"/>
  <c r="N382"/>
  <c r="M382"/>
  <c r="N381"/>
  <c r="M381"/>
  <c r="N380"/>
  <c r="M380"/>
  <c r="N379"/>
  <c r="M379"/>
  <c r="N378"/>
  <c r="M378"/>
  <c r="N377"/>
  <c r="M377"/>
  <c r="N376"/>
  <c r="M376"/>
  <c r="N375"/>
  <c r="M375"/>
  <c r="N374"/>
  <c r="M374"/>
  <c r="N373"/>
  <c r="M373"/>
  <c r="N372"/>
  <c r="M372"/>
  <c r="N371"/>
  <c r="M371"/>
  <c r="N370"/>
  <c r="M370"/>
  <c r="N369"/>
  <c r="M369"/>
  <c r="N368"/>
  <c r="M368"/>
  <c r="N367"/>
  <c r="M367"/>
  <c r="N366"/>
  <c r="M366"/>
  <c r="N365"/>
  <c r="M365"/>
  <c r="N364"/>
  <c r="M364"/>
  <c r="N363"/>
  <c r="M363"/>
  <c r="N362"/>
  <c r="M362"/>
  <c r="N361"/>
  <c r="M361"/>
  <c r="N360"/>
  <c r="M360"/>
  <c r="N359"/>
  <c r="M359"/>
  <c r="N358"/>
  <c r="M358"/>
  <c r="N357"/>
  <c r="M357"/>
  <c r="N356"/>
  <c r="M356"/>
  <c r="N355"/>
  <c r="M355"/>
  <c r="N354"/>
  <c r="M354"/>
  <c r="N353"/>
  <c r="M353"/>
  <c r="N352"/>
  <c r="M352"/>
  <c r="N351"/>
  <c r="M351"/>
  <c r="N350"/>
  <c r="M350"/>
  <c r="N349"/>
  <c r="M349"/>
  <c r="N348"/>
  <c r="M348"/>
  <c r="N347"/>
  <c r="M347"/>
  <c r="N346"/>
  <c r="M346"/>
  <c r="N345"/>
  <c r="M345"/>
  <c r="N344"/>
  <c r="M344"/>
  <c r="N343"/>
  <c r="M343"/>
  <c r="N342"/>
  <c r="M342"/>
  <c r="N341"/>
  <c r="M341"/>
  <c r="N340"/>
  <c r="M340"/>
  <c r="N339"/>
  <c r="M339"/>
  <c r="N338"/>
  <c r="M338"/>
  <c r="N337"/>
  <c r="M337"/>
  <c r="N336"/>
  <c r="M336"/>
  <c r="N335"/>
  <c r="M335"/>
  <c r="N334"/>
  <c r="M334"/>
  <c r="N333"/>
  <c r="M333"/>
  <c r="N332"/>
  <c r="M332"/>
  <c r="N331"/>
  <c r="M331"/>
  <c r="N330"/>
  <c r="M330"/>
  <c r="N329"/>
  <c r="M329"/>
  <c r="N328"/>
  <c r="M328"/>
  <c r="N327"/>
  <c r="M327"/>
  <c r="N326"/>
  <c r="M326"/>
  <c r="N325"/>
  <c r="M325"/>
  <c r="N324"/>
  <c r="M324"/>
  <c r="N323"/>
  <c r="M323"/>
  <c r="N322"/>
  <c r="M322"/>
  <c r="N321"/>
  <c r="M321"/>
  <c r="N320"/>
  <c r="M320"/>
  <c r="N319"/>
  <c r="M319"/>
  <c r="N318"/>
  <c r="M318"/>
  <c r="N317"/>
  <c r="M317"/>
  <c r="N316"/>
  <c r="M316"/>
  <c r="N315"/>
  <c r="M315"/>
  <c r="N314"/>
  <c r="M314"/>
  <c r="N313"/>
  <c r="M313"/>
  <c r="N312"/>
  <c r="M312"/>
  <c r="N311"/>
  <c r="M311"/>
  <c r="N310"/>
  <c r="M310"/>
  <c r="N309"/>
  <c r="M309"/>
  <c r="N308"/>
  <c r="M308"/>
  <c r="N307"/>
  <c r="M307"/>
  <c r="N306"/>
  <c r="M306"/>
  <c r="N305"/>
  <c r="M305"/>
  <c r="N304"/>
  <c r="M304"/>
  <c r="N303"/>
  <c r="M303"/>
  <c r="N302"/>
  <c r="M302"/>
  <c r="N301"/>
  <c r="M301"/>
  <c r="N300"/>
  <c r="M300"/>
  <c r="N299"/>
  <c r="M299"/>
  <c r="N298"/>
  <c r="M298"/>
  <c r="N297"/>
  <c r="M297"/>
  <c r="N296"/>
  <c r="M296"/>
  <c r="N295"/>
  <c r="M295"/>
  <c r="N294"/>
  <c r="M294"/>
  <c r="N293"/>
  <c r="M293"/>
  <c r="N292"/>
  <c r="M292"/>
  <c r="N291"/>
  <c r="M291"/>
  <c r="N290"/>
  <c r="M290"/>
  <c r="N289"/>
  <c r="M289"/>
  <c r="N288"/>
  <c r="M288"/>
  <c r="N287"/>
  <c r="M287"/>
  <c r="N286"/>
  <c r="M286"/>
  <c r="N285"/>
  <c r="M285"/>
  <c r="N284"/>
  <c r="M284"/>
  <c r="N283"/>
  <c r="M283"/>
  <c r="N282"/>
  <c r="M282"/>
  <c r="N281"/>
  <c r="M281"/>
  <c r="N280"/>
  <c r="M280"/>
  <c r="N279"/>
  <c r="M279"/>
  <c r="N278"/>
  <c r="M278"/>
  <c r="N277"/>
  <c r="M277"/>
  <c r="N276"/>
  <c r="M276"/>
  <c r="N275"/>
  <c r="M275"/>
  <c r="N274"/>
  <c r="M274"/>
  <c r="N273"/>
  <c r="M273"/>
  <c r="N272"/>
  <c r="M272"/>
  <c r="N271"/>
  <c r="M271"/>
  <c r="N270"/>
  <c r="M270"/>
  <c r="N269"/>
  <c r="M269"/>
  <c r="N268"/>
  <c r="M268"/>
  <c r="N267"/>
  <c r="M267"/>
  <c r="N266"/>
  <c r="M266"/>
  <c r="N265"/>
  <c r="M265"/>
  <c r="N264"/>
  <c r="M264"/>
  <c r="N263"/>
  <c r="M263"/>
  <c r="N262"/>
  <c r="M262"/>
  <c r="N261"/>
  <c r="M261"/>
  <c r="N260"/>
  <c r="M260"/>
  <c r="N259"/>
  <c r="M259"/>
  <c r="N258"/>
  <c r="M258"/>
  <c r="N257"/>
  <c r="M257"/>
  <c r="N256"/>
  <c r="M256"/>
  <c r="N255"/>
  <c r="M255"/>
  <c r="N254"/>
  <c r="M254"/>
  <c r="N253"/>
  <c r="M253"/>
  <c r="N252"/>
  <c r="M252"/>
  <c r="N251"/>
  <c r="M251"/>
  <c r="N250"/>
  <c r="M250"/>
  <c r="N249"/>
  <c r="M249"/>
  <c r="N248"/>
  <c r="M248"/>
  <c r="N247"/>
  <c r="M247"/>
  <c r="N246"/>
  <c r="M246"/>
  <c r="N245"/>
  <c r="M245"/>
  <c r="N244"/>
  <c r="M244"/>
  <c r="N243"/>
  <c r="M243"/>
  <c r="N242"/>
  <c r="M242"/>
  <c r="N241"/>
  <c r="M241"/>
  <c r="N240"/>
  <c r="M240"/>
  <c r="N239"/>
  <c r="M239"/>
  <c r="N238"/>
  <c r="M238"/>
  <c r="N237"/>
  <c r="M237"/>
  <c r="N236"/>
  <c r="M236"/>
  <c r="N235"/>
  <c r="M235"/>
  <c r="N234"/>
  <c r="M234"/>
  <c r="N233"/>
  <c r="M233"/>
  <c r="N232"/>
  <c r="M232"/>
  <c r="N231"/>
  <c r="M231"/>
  <c r="N230"/>
  <c r="M230"/>
  <c r="N229"/>
  <c r="M229"/>
  <c r="N228"/>
  <c r="M228"/>
  <c r="N227"/>
  <c r="M227"/>
  <c r="N226"/>
  <c r="M226"/>
  <c r="N225"/>
  <c r="M225"/>
  <c r="N224"/>
  <c r="M224"/>
  <c r="N223"/>
  <c r="M223"/>
  <c r="N222"/>
  <c r="M222"/>
  <c r="N221"/>
  <c r="M221"/>
  <c r="N220"/>
  <c r="M220"/>
  <c r="N219"/>
  <c r="M219"/>
  <c r="N218"/>
  <c r="M218"/>
  <c r="N217"/>
  <c r="M217"/>
  <c r="N216"/>
  <c r="M216"/>
  <c r="N215"/>
  <c r="M215"/>
  <c r="N214"/>
  <c r="M214"/>
  <c r="N213"/>
  <c r="M213"/>
  <c r="N212"/>
  <c r="M212"/>
  <c r="N211"/>
  <c r="M211"/>
  <c r="N210"/>
  <c r="M210"/>
  <c r="N209"/>
  <c r="M209"/>
  <c r="N208"/>
  <c r="M208"/>
  <c r="N207"/>
  <c r="M207"/>
  <c r="N206"/>
  <c r="M206"/>
  <c r="N205"/>
  <c r="M205"/>
  <c r="N204"/>
  <c r="M204"/>
  <c r="N203"/>
  <c r="M203"/>
  <c r="N202"/>
  <c r="M202"/>
  <c r="N201"/>
  <c r="M201"/>
  <c r="N200"/>
  <c r="M200"/>
  <c r="N199"/>
  <c r="M199"/>
  <c r="N198"/>
  <c r="M198"/>
  <c r="N197"/>
  <c r="M197"/>
  <c r="N196"/>
  <c r="M196"/>
  <c r="N195"/>
  <c r="M195"/>
  <c r="N194"/>
  <c r="M194"/>
  <c r="N193"/>
  <c r="M193"/>
  <c r="N192"/>
  <c r="M192"/>
  <c r="N191"/>
  <c r="M191"/>
  <c r="N190"/>
  <c r="M190"/>
  <c r="N189"/>
  <c r="M189"/>
  <c r="N188"/>
  <c r="M188"/>
  <c r="N187"/>
  <c r="M187"/>
  <c r="N186"/>
  <c r="M186"/>
  <c r="N185"/>
  <c r="M185"/>
  <c r="N184"/>
  <c r="M184"/>
  <c r="N183"/>
  <c r="M183"/>
  <c r="N182"/>
  <c r="M182"/>
  <c r="N181"/>
  <c r="M181"/>
  <c r="N180"/>
  <c r="M180"/>
  <c r="N179"/>
  <c r="M179"/>
  <c r="N178"/>
  <c r="M178"/>
  <c r="N177"/>
  <c r="M177"/>
  <c r="N176"/>
  <c r="M176"/>
  <c r="N175"/>
  <c r="M175"/>
  <c r="N174"/>
  <c r="M174"/>
  <c r="N173"/>
  <c r="M173"/>
  <c r="N172"/>
  <c r="M172"/>
  <c r="N171"/>
  <c r="M171"/>
  <c r="N170"/>
  <c r="M170"/>
  <c r="N169"/>
  <c r="M169"/>
  <c r="N168"/>
  <c r="M168"/>
  <c r="N167"/>
  <c r="M167"/>
  <c r="N166"/>
  <c r="M166"/>
  <c r="N165"/>
  <c r="M165"/>
  <c r="N164"/>
  <c r="M164"/>
  <c r="N163"/>
  <c r="M163"/>
  <c r="N162"/>
  <c r="M162"/>
  <c r="N161"/>
  <c r="M161"/>
  <c r="N160"/>
  <c r="M160"/>
  <c r="N159"/>
  <c r="M159"/>
  <c r="N158"/>
  <c r="M158"/>
  <c r="N157"/>
  <c r="M157"/>
  <c r="N156"/>
  <c r="M156"/>
  <c r="N155"/>
  <c r="M155"/>
  <c r="N154"/>
  <c r="M154"/>
  <c r="N153"/>
  <c r="M153"/>
  <c r="N152"/>
  <c r="M152"/>
  <c r="N151"/>
  <c r="M151"/>
  <c r="N150"/>
  <c r="M150"/>
  <c r="N149"/>
  <c r="M149"/>
  <c r="N148"/>
  <c r="M148"/>
  <c r="N147"/>
  <c r="M147"/>
  <c r="N146"/>
  <c r="M146"/>
  <c r="N145"/>
  <c r="M145"/>
  <c r="N144"/>
  <c r="M144"/>
  <c r="N143"/>
  <c r="M143"/>
  <c r="N142"/>
  <c r="M142"/>
  <c r="N141"/>
  <c r="M141"/>
  <c r="N140"/>
  <c r="M140"/>
  <c r="N139"/>
  <c r="M139"/>
  <c r="N138"/>
  <c r="M138"/>
  <c r="N137"/>
  <c r="M137"/>
  <c r="N136"/>
  <c r="M136"/>
  <c r="N135"/>
  <c r="M135"/>
  <c r="N134"/>
  <c r="M134"/>
  <c r="N133"/>
  <c r="M133"/>
  <c r="N132"/>
  <c r="M132"/>
  <c r="N131"/>
  <c r="M131"/>
  <c r="N130"/>
  <c r="M130"/>
  <c r="N129"/>
  <c r="M129"/>
  <c r="N128"/>
  <c r="M128"/>
  <c r="N127"/>
  <c r="M127"/>
  <c r="N126"/>
  <c r="M126"/>
  <c r="N125"/>
  <c r="M125"/>
  <c r="N124"/>
  <c r="M124"/>
  <c r="N123"/>
  <c r="M123"/>
  <c r="N122"/>
  <c r="M122"/>
  <c r="N121"/>
  <c r="M121"/>
  <c r="N120"/>
  <c r="M120"/>
  <c r="N119"/>
  <c r="M119"/>
  <c r="N118"/>
  <c r="M118"/>
  <c r="N117"/>
  <c r="M117"/>
  <c r="N116"/>
  <c r="M116"/>
  <c r="N115"/>
  <c r="M115"/>
  <c r="N114"/>
  <c r="M114"/>
  <c r="N113"/>
  <c r="M113"/>
  <c r="N112"/>
  <c r="M112"/>
  <c r="N111"/>
  <c r="M111"/>
  <c r="N110"/>
  <c r="M110"/>
  <c r="N109"/>
  <c r="M109"/>
  <c r="N108"/>
  <c r="M108"/>
  <c r="N107"/>
  <c r="M107"/>
  <c r="N106"/>
  <c r="M106"/>
  <c r="N105"/>
  <c r="M105"/>
  <c r="N104"/>
  <c r="M104"/>
  <c r="N103"/>
  <c r="M103"/>
  <c r="N102"/>
  <c r="M102"/>
  <c r="N101"/>
  <c r="M101"/>
  <c r="N100"/>
  <c r="M100"/>
  <c r="N99"/>
  <c r="M99"/>
  <c r="N98"/>
  <c r="M98"/>
  <c r="N97"/>
  <c r="M97"/>
  <c r="N96"/>
  <c r="M96"/>
  <c r="N95"/>
  <c r="M95"/>
  <c r="N94"/>
  <c r="M94"/>
  <c r="N93"/>
  <c r="M93"/>
  <c r="N92"/>
  <c r="M92"/>
  <c r="N91"/>
  <c r="M91"/>
  <c r="N90"/>
  <c r="M90"/>
  <c r="N89"/>
  <c r="M89"/>
  <c r="N88"/>
  <c r="M88"/>
  <c r="N87"/>
  <c r="M87"/>
  <c r="N86"/>
  <c r="M86"/>
  <c r="N85"/>
  <c r="M85"/>
  <c r="N84"/>
  <c r="M84"/>
  <c r="N83"/>
  <c r="M83"/>
  <c r="N82"/>
  <c r="M82"/>
  <c r="N81"/>
  <c r="M81"/>
  <c r="N80"/>
  <c r="M80"/>
  <c r="N79"/>
  <c r="M79"/>
  <c r="N78"/>
  <c r="M78"/>
  <c r="N77"/>
  <c r="M77"/>
  <c r="N76"/>
  <c r="M76"/>
  <c r="N75"/>
  <c r="M75"/>
  <c r="N74"/>
  <c r="M74"/>
  <c r="N73"/>
  <c r="M73"/>
  <c r="N72"/>
  <c r="M72"/>
  <c r="N71"/>
  <c r="M71"/>
  <c r="N70"/>
  <c r="M70"/>
  <c r="N69"/>
  <c r="M69"/>
  <c r="N68"/>
  <c r="M68"/>
  <c r="N67"/>
  <c r="M67"/>
  <c r="N66"/>
  <c r="M66"/>
  <c r="N65"/>
  <c r="M65"/>
  <c r="N64"/>
  <c r="M64"/>
  <c r="N63"/>
  <c r="M63"/>
  <c r="N62"/>
  <c r="M62"/>
  <c r="N61"/>
  <c r="M61"/>
  <c r="N60"/>
  <c r="M60"/>
  <c r="N59"/>
  <c r="M59"/>
  <c r="N58"/>
  <c r="M58"/>
  <c r="N57"/>
  <c r="M57"/>
  <c r="N56"/>
  <c r="M56"/>
  <c r="N55"/>
  <c r="M55"/>
  <c r="N54"/>
  <c r="M54"/>
  <c r="N53"/>
  <c r="M53"/>
  <c r="N52"/>
  <c r="M52"/>
  <c r="N51"/>
  <c r="M51"/>
  <c r="N50"/>
  <c r="M50"/>
  <c r="N49"/>
  <c r="M49"/>
  <c r="N48"/>
  <c r="M48"/>
  <c r="N47"/>
  <c r="M47"/>
  <c r="N46"/>
  <c r="M46"/>
  <c r="N45"/>
  <c r="M45"/>
  <c r="N44"/>
  <c r="M44"/>
  <c r="N43"/>
  <c r="M43"/>
  <c r="N42"/>
  <c r="M42"/>
  <c r="N41"/>
  <c r="M41"/>
  <c r="N40"/>
  <c r="M40"/>
  <c r="N39"/>
  <c r="M39"/>
  <c r="N38"/>
  <c r="M38"/>
  <c r="N37"/>
  <c r="M37"/>
  <c r="N36"/>
  <c r="M36"/>
  <c r="N35"/>
  <c r="M35"/>
  <c r="N34"/>
  <c r="M34"/>
  <c r="N33"/>
  <c r="M33"/>
  <c r="N32"/>
  <c r="M32"/>
  <c r="N31"/>
  <c r="M31"/>
  <c r="N30"/>
  <c r="M30"/>
  <c r="N29"/>
  <c r="M29"/>
  <c r="N28"/>
  <c r="M28"/>
  <c r="N27"/>
  <c r="M27"/>
  <c r="N26"/>
  <c r="M26"/>
  <c r="N25"/>
  <c r="M25"/>
  <c r="N24"/>
  <c r="M24"/>
  <c r="N23"/>
  <c r="M23"/>
  <c r="N22"/>
  <c r="M22"/>
  <c r="N21"/>
  <c r="M21"/>
  <c r="N20"/>
  <c r="M20"/>
  <c r="N19"/>
  <c r="M19"/>
  <c r="N18"/>
  <c r="M18"/>
  <c r="N17"/>
  <c r="M17"/>
  <c r="N16"/>
  <c r="M16"/>
  <c r="N15"/>
  <c r="M15"/>
  <c r="N14"/>
  <c r="M14"/>
  <c r="N13"/>
  <c r="M13"/>
  <c r="N12"/>
  <c r="M12"/>
  <c r="N11"/>
  <c r="M11"/>
  <c r="N10"/>
  <c r="M10"/>
  <c r="N9"/>
  <c r="M9"/>
  <c r="N8"/>
  <c r="M8"/>
  <c r="N7"/>
  <c r="M7"/>
  <c r="N6"/>
  <c r="M6"/>
  <c r="N5"/>
  <c r="M5"/>
  <c r="N4"/>
  <c r="M4"/>
  <c r="N3"/>
  <c r="M3"/>
  <c r="N2"/>
  <c r="M2"/>
</calcChain>
</file>

<file path=xl/sharedStrings.xml><?xml version="1.0" encoding="utf-8"?>
<sst xmlns="http://schemas.openxmlformats.org/spreadsheetml/2006/main" count="48489" uniqueCount="10061">
  <si>
    <t>Ability Grouping Status</t>
  </si>
  <si>
    <t>An indication of whether the school has students who are ability grouped for classroom instruction in mathematics or English/reading/language arts.</t>
  </si>
  <si>
    <t>K-12 -&gt; Civil Rights Data Collection</t>
  </si>
  <si>
    <t>Association</t>
  </si>
  <si>
    <t>000328</t>
  </si>
  <si>
    <t>AbilityGroupingStatus</t>
  </si>
  <si>
    <t>Absent Attendance Category</t>
  </si>
  <si>
    <t>The category that describes how the student spends his or her time not physically present on school grounds and not participating in instruction or instruction-related activities at an approved off-grounds location.</t>
  </si>
  <si>
    <t>K12 -&gt; K12 Student -&gt; Attendance</t>
  </si>
  <si>
    <t>000599</t>
  </si>
  <si>
    <t>AbsentAttendanceCategory</t>
  </si>
  <si>
    <t>Academic Award Date</t>
  </si>
  <si>
    <t>The year, month and day or year and month on which the academic award was conferred.</t>
  </si>
  <si>
    <t>None</t>
  </si>
  <si>
    <t>Postsecondary -&gt; PS Student -&gt; Academic Record</t>
  </si>
  <si>
    <t>YYYY-MM-DD or YYYY-MM</t>
  </si>
  <si>
    <t>000001</t>
  </si>
  <si>
    <t>AcademicAwardDate</t>
  </si>
  <si>
    <t>Academic Award Level Conferred</t>
  </si>
  <si>
    <t>An indicator of the category of award conferred by a college, university, or other postsecondary education institution as official recognition for the successful completion of a program of study.</t>
  </si>
  <si>
    <t>000002</t>
  </si>
  <si>
    <t>AcademicAwardLevelConferred</t>
  </si>
  <si>
    <t>Academic Award Title</t>
  </si>
  <si>
    <t>The descriptive title for the academic award.</t>
  </si>
  <si>
    <t>Postsecondary Education -&gt; Transition</t>
  </si>
  <si>
    <t>Alphanumeric - 80 characters maximum</t>
  </si>
  <si>
    <t>000003</t>
  </si>
  <si>
    <t>AcademicAwardTitle</t>
  </si>
  <si>
    <t>Academic Honors Type</t>
  </si>
  <si>
    <t>A designation of the type of academic distinctions earned by or awarded to the student.</t>
  </si>
  <si>
    <t>K12 -&gt; K12 Student -&gt; Academic Record</t>
  </si>
  <si>
    <t>000004</t>
  </si>
  <si>
    <t>AcademicHonorsType</t>
  </si>
  <si>
    <t>Academic Rank</t>
  </si>
  <si>
    <t>The academic rank of staff whose primary responsibility is instruction, research, and/or public service. Institutions without standard academic ranks should code staff whose primary responsibility is instruction, research, and/or public service as "No Academic Rank."</t>
  </si>
  <si>
    <t>Postsecondary -&gt; PS Staff -&gt; Employment</t>
  </si>
  <si>
    <t>Postsecondary Education -&gt; IPEDS -&gt; HR</t>
  </si>
  <si>
    <t>Element definition and option set defined in IPEDS. Adjunct is not included since it can be determined from a combination of the elements Instructional Staff Faculty Tenure Status and Full-time Status.</t>
  </si>
  <si>
    <t>000740</t>
  </si>
  <si>
    <t>AcademicRank</t>
  </si>
  <si>
    <t>Academic Term Designator</t>
  </si>
  <si>
    <t>The academic term for which the data apply.</t>
  </si>
  <si>
    <t>Postsecondary Education -&gt; Complete College America</t>
  </si>
  <si>
    <t>Needs to be used in combination with Predominant Calendar System element in order to determine if the option set is referring to a semester, quarter, or some other term length.</t>
  </si>
  <si>
    <t>000727</t>
  </si>
  <si>
    <t>AcademicTermDesignator</t>
  </si>
  <si>
    <t>Academic Year Designator</t>
  </si>
  <si>
    <t>The academic year for which the data apply.</t>
  </si>
  <si>
    <t>YYYY-YY</t>
  </si>
  <si>
    <t>000726</t>
  </si>
  <si>
    <t>AcademicYearDesignator</t>
  </si>
  <si>
    <t>Accommodations Needed Type</t>
  </si>
  <si>
    <t>Codes identifying the set of health accommodations.</t>
  </si>
  <si>
    <t>Postsecondary -&gt; PS Student</t>
  </si>
  <si>
    <t>New</t>
  </si>
  <si>
    <t>001277</t>
  </si>
  <si>
    <t>AccommodationsNeededType</t>
  </si>
  <si>
    <t>Accountability Report Title</t>
  </si>
  <si>
    <t>The title of the accountability report.</t>
  </si>
  <si>
    <t>K12 -&gt; LEA -&gt; Accountability</t>
  </si>
  <si>
    <t>000005</t>
  </si>
  <si>
    <t>AccountabilityReportTitle</t>
  </si>
  <si>
    <t>Accreditation Agency</t>
  </si>
  <si>
    <t>The agency that accredited a program.</t>
  </si>
  <si>
    <t>Early Learning -&gt; EL Organization -&gt; Accreditation</t>
  </si>
  <si>
    <t>Early Learning -&gt; Program Quality</t>
  </si>
  <si>
    <t>Updated</t>
  </si>
  <si>
    <t>Added "Other" to option set.</t>
  </si>
  <si>
    <t>Organization Name may be used with Organization Type='Accrediting Organization' when Accreditation Agency is set to 'Other Accreditation Agency.</t>
  </si>
  <si>
    <t>000982</t>
  </si>
  <si>
    <t>AccreditationAgency</t>
  </si>
  <si>
    <t>Accreditation Award Date</t>
  </si>
  <si>
    <t>The year, month and day when an accreditation was awarded.</t>
  </si>
  <si>
    <t>YYYY-MM-DD</t>
  </si>
  <si>
    <t>000840</t>
  </si>
  <si>
    <t>AccreditationAwardDate</t>
  </si>
  <si>
    <t>Accreditation Expiration Date</t>
  </si>
  <si>
    <t>The year, month and day when an accreditation expires.</t>
  </si>
  <si>
    <t>000841</t>
  </si>
  <si>
    <t>AccreditationExpirationDate</t>
  </si>
  <si>
    <t>Achievement Award Expires Date</t>
  </si>
  <si>
    <t>Date on which the award expires.</t>
  </si>
  <si>
    <t>Removed</t>
  </si>
  <si>
    <t>This is only used for achievements that have a credential that can expire, e.g. a CPR certificate that must be renewed. If omitted, the award never expires.</t>
  </si>
  <si>
    <t>000899</t>
  </si>
  <si>
    <t>AchievementAwardExpiresDate</t>
  </si>
  <si>
    <t>Achievement Award Issuer Name</t>
  </si>
  <si>
    <t>The name of the agent issuing the award.</t>
  </si>
  <si>
    <t>Alphanumeric - 128 characters maximum</t>
  </si>
  <si>
    <t>000898</t>
  </si>
  <si>
    <t>AchievementAwardIssuerName</t>
  </si>
  <si>
    <t>Achievement Award Issuer Origin URL</t>
  </si>
  <si>
    <t>The Uniform Resource Locator (URL) from which the award was issued.</t>
  </si>
  <si>
    <t>Alphanumeric - 300 characters maximum</t>
  </si>
  <si>
    <t>Updated definition.</t>
  </si>
  <si>
    <t>Used only if an award is issued electronically for the achievement.</t>
  </si>
  <si>
    <t>000900</t>
  </si>
  <si>
    <t>AchievementAwardIssuerOriginURL</t>
  </si>
  <si>
    <t>Achievement Category System</t>
  </si>
  <si>
    <t>The system that defines the categories by which an achievement is attributed to the learner.</t>
  </si>
  <si>
    <t>Alphanumeric - 30 characters maximum</t>
  </si>
  <si>
    <t>This element recognizes formal adoption of categories for the Achievement Category Type to aid in comparability of data when a formally adopted vocabulary is used.</t>
  </si>
  <si>
    <t>001245</t>
  </si>
  <si>
    <t>AchievementCategorySystem</t>
  </si>
  <si>
    <t>Achievement Category Type</t>
  </si>
  <si>
    <t>The category of achievement attributed to the learner.</t>
  </si>
  <si>
    <t>Alphanumeric - 60 characters maximum</t>
  </si>
  <si>
    <t>Categories could include "Competency Mastered", "Competency Retained", "Course Completed", "Level Completed", "Certificate Earned", "Diploma Earned", "License Earned", "License Endorsement Earned", "Participation", "Academic Honor", "Non-Academic Honor", etc. (This element supports an emerging use case, therefore a complete set of options are not known. Future CEDS versions may define an Achievement Type element when a fixed option set can be compiled.) Note: The Achievement entity is most valuable when linked to a specific competency set that defined the learning standards related to the achievement.</t>
  </si>
  <si>
    <t>000892</t>
  </si>
  <si>
    <t>AchievementCategoryType</t>
  </si>
  <si>
    <t>Achievement Criteria</t>
  </si>
  <si>
    <t>The criteria for competency-based completion of the achievement/award.</t>
  </si>
  <si>
    <t>000896</t>
  </si>
  <si>
    <t>AchievementCriteria</t>
  </si>
  <si>
    <t>Achievement Criteria URL</t>
  </si>
  <si>
    <t>The Uniform Resource Locator (URL) for the unique address of a web page describing the competency-based completion criteria for the achievement/award.</t>
  </si>
  <si>
    <t>001153</t>
  </si>
  <si>
    <t>AchievementCriteriaURL</t>
  </si>
  <si>
    <t>Achievement Date</t>
  </si>
  <si>
    <t>The year, month and day or year and month on which the achievement was recognized.</t>
  </si>
  <si>
    <t>000897</t>
  </si>
  <si>
    <t>AchievementDate</t>
  </si>
  <si>
    <t>Achievement Description</t>
  </si>
  <si>
    <t>A description of the achievement.</t>
  </si>
  <si>
    <t>000895</t>
  </si>
  <si>
    <t>AchievementDescription</t>
  </si>
  <si>
    <t>Achievement End Date</t>
  </si>
  <si>
    <t>The date, if any, on which the award or achievement expires or requires renewal.</t>
  </si>
  <si>
    <t>001164</t>
  </si>
  <si>
    <t>AchievementEndDate</t>
  </si>
  <si>
    <t>Achievement Evidence Statement</t>
  </si>
  <si>
    <t>A statement or reference describing the evidence that the learner met the criteria for attainment of the achievement.</t>
  </si>
  <si>
    <t>000901</t>
  </si>
  <si>
    <t>AchievementEvidenceStatement</t>
  </si>
  <si>
    <t>Achievement Image URL</t>
  </si>
  <si>
    <t>The Uniform Resource Locator (URL) for the unique address of an image representing an award or badge associated with the achievement.</t>
  </si>
  <si>
    <t>Typical use is for online display of a badge image.</t>
  </si>
  <si>
    <t>000894</t>
  </si>
  <si>
    <t>AchievementImageURL</t>
  </si>
  <si>
    <t>Achievement Start Date</t>
  </si>
  <si>
    <t>The date on which the achievement was conferred.</t>
  </si>
  <si>
    <t>001163</t>
  </si>
  <si>
    <t>AchievementStartDate</t>
  </si>
  <si>
    <t>Achievement Title</t>
  </si>
  <si>
    <t>The title assigned to the achievement.</t>
  </si>
  <si>
    <t>000893</t>
  </si>
  <si>
    <t>AchievementTitle</t>
  </si>
  <si>
    <t>Activity Identifier</t>
  </si>
  <si>
    <t>A unique number or alphanumeric code used in the local system to identify an activity, such as a co-curricular or extra-curricular activity that is offered at an education institution.</t>
  </si>
  <si>
    <t>Alphanumeric - 40 characters maximum</t>
  </si>
  <si>
    <t>000006</t>
  </si>
  <si>
    <t>ActivityIdentifier</t>
  </si>
  <si>
    <t>Activity Involvement Begin Date</t>
  </si>
  <si>
    <t>The year, month and day on which the person began to participate in the activity.</t>
  </si>
  <si>
    <t>K12 -&gt; K12 Student -&gt; Enrollment</t>
  </si>
  <si>
    <t>000007</t>
  </si>
  <si>
    <t>ActivityInvolvementBeginDate</t>
  </si>
  <si>
    <t>Activity Involvement End Date</t>
  </si>
  <si>
    <t>The year, month and day on which the person ceased to participate in the activity.</t>
  </si>
  <si>
    <t>000008</t>
  </si>
  <si>
    <t>ActivityInvolvementEndDate</t>
  </si>
  <si>
    <t>Activity Title</t>
  </si>
  <si>
    <t>The title for a particular activity, such as a co-curricular or extra-curricular activity.</t>
  </si>
  <si>
    <t>000009</t>
  </si>
  <si>
    <t>ActivityTitle</t>
  </si>
  <si>
    <t>Additional Credit Type</t>
  </si>
  <si>
    <t>The type of credits or units of value available for the completion of a course in addition to Carnegie Units.</t>
  </si>
  <si>
    <t>Name changed. Was Additional Credit Type Awarded. Definition updated. Additions to option set.</t>
  </si>
  <si>
    <t>000596</t>
  </si>
  <si>
    <t>AdditionalCreditType</t>
  </si>
  <si>
    <t>Address Apartment Room or Suite Number</t>
  </si>
  <si>
    <t>The apartment, room, or suite number of an address.</t>
  </si>
  <si>
    <t>000019</t>
  </si>
  <si>
    <t>AddressApartmentRoomOrSuiteNumber</t>
  </si>
  <si>
    <t>Address City</t>
  </si>
  <si>
    <t>The name of the city in which an address is located.</t>
  </si>
  <si>
    <t>000040</t>
  </si>
  <si>
    <t>AddressCity</t>
  </si>
  <si>
    <t>Address County Name</t>
  </si>
  <si>
    <t>The name of the county, parish, borough, or comparable unit (within a state) in which an address is located.</t>
  </si>
  <si>
    <t>000190</t>
  </si>
  <si>
    <t>AddressCountyName</t>
  </si>
  <si>
    <t>Address Postal Code</t>
  </si>
  <si>
    <t>A number that identifies each postal delivery area in the United States used as a portion of an address.</t>
  </si>
  <si>
    <t>Alphanumeric - 17 characters maximum</t>
  </si>
  <si>
    <t>000214</t>
  </si>
  <si>
    <t>AddressPostalCode</t>
  </si>
  <si>
    <t>Address Street Number and Name</t>
  </si>
  <si>
    <t>The street number and street name or post office box number of an address.</t>
  </si>
  <si>
    <t>000269</t>
  </si>
  <si>
    <t>AddressStreetNumberAndName</t>
  </si>
  <si>
    <t>Address Type for Learner or Family</t>
  </si>
  <si>
    <t>The type of address listed for a learner or a parent, guardian, family member or related person.</t>
  </si>
  <si>
    <t>Option set updated.</t>
  </si>
  <si>
    <t>000010</t>
  </si>
  <si>
    <t>AddressTypeForLearnerOrFamily</t>
  </si>
  <si>
    <t>Address Type for Organization</t>
  </si>
  <si>
    <t>The type of address listed for an organization.</t>
  </si>
  <si>
    <t>001066</t>
  </si>
  <si>
    <t>AddressTypeForOrganization</t>
  </si>
  <si>
    <t>Address Type for Staff</t>
  </si>
  <si>
    <t>The address type for a staff member.</t>
  </si>
  <si>
    <t>Early Learning -&gt; Staff Quality</t>
  </si>
  <si>
    <t>000722</t>
  </si>
  <si>
    <t>AddressTypeForStaff</t>
  </si>
  <si>
    <t>Adequate Yearly Progress Appeal Changed Designation</t>
  </si>
  <si>
    <t>An indication that the appeal resulted in a change in a school or district's AYP designation.</t>
  </si>
  <si>
    <t>K-12 -&gt; Consolidated State Performance Report</t>
  </si>
  <si>
    <t>000443</t>
  </si>
  <si>
    <t>AYP Appeal Changed Designation</t>
  </si>
  <si>
    <t>AYPAppealChangedDesignation</t>
  </si>
  <si>
    <t>Adequate Yearly Progress Appeal Process Date</t>
  </si>
  <si>
    <t>The last date that an appeal of an AYP designation was processed.</t>
  </si>
  <si>
    <t>000444</t>
  </si>
  <si>
    <t>AYP Appeal Process Date</t>
  </si>
  <si>
    <t>AYPAppealProcessDate</t>
  </si>
  <si>
    <t>Adequate Yearly Progress Status</t>
  </si>
  <si>
    <t>An indication of whether the state, district, or school met the Adequate Yearly Progress (AYP) requirements for the school year, as determined by the state-established criteria.</t>
  </si>
  <si>
    <t>K-12 -&gt; EDFacts</t>
  </si>
  <si>
    <t>000011</t>
  </si>
  <si>
    <t>AYP Status</t>
  </si>
  <si>
    <t>AYPStatus</t>
  </si>
  <si>
    <t>Administrative Funding Control</t>
  </si>
  <si>
    <t>The type of education institution as classified by its funding source.</t>
  </si>
  <si>
    <t>K12 -&gt; K12 School -&gt; Directory</t>
  </si>
  <si>
    <t>000012</t>
  </si>
  <si>
    <t>AdministrativeFundingControl</t>
  </si>
  <si>
    <t>Administrative Policy Type</t>
  </si>
  <si>
    <t>A type of administrative policy used by a program.</t>
  </si>
  <si>
    <t>Early Learning -&gt; EL Organization -&gt; Policies</t>
  </si>
  <si>
    <t>Name changed from Administrative Policies. Definition updated.</t>
  </si>
  <si>
    <t>More than one Administrative Policy Type may apply.</t>
  </si>
  <si>
    <t>000983</t>
  </si>
  <si>
    <t>AdministrativePolicyType</t>
  </si>
  <si>
    <t>Admitted Student</t>
  </si>
  <si>
    <t>Applicant who has been granted an official offer to enroll in a postsecondary institution. Admitted applicants should include wait-listed students who were subsequently offered admission.</t>
  </si>
  <si>
    <t>Postsecondary -&gt; PS Applicant</t>
  </si>
  <si>
    <t>Postsecondary Education -&gt; Common Data Set</t>
  </si>
  <si>
    <t>First sentence from IPEDS, not CDS; Second sentence from CDS instructions. All options except "No" should be able to be collapsed into "Yes" for IPEDS reporting.</t>
  </si>
  <si>
    <t>000756</t>
  </si>
  <si>
    <t>AdmittedStudent</t>
  </si>
  <si>
    <t>Adult Education Certification Type</t>
  </si>
  <si>
    <t>An indication of the category of certification a person holds.</t>
  </si>
  <si>
    <t>Adult Education -&gt; AE Staff -&gt; Certification</t>
  </si>
  <si>
    <t>001085</t>
  </si>
  <si>
    <t>AdultEducationCertificationType</t>
  </si>
  <si>
    <t>Adult Education Instructional Program Type</t>
  </si>
  <si>
    <t>The type of instructional program in which an adult is enrolled.</t>
  </si>
  <si>
    <t>Adult Education -&gt; AE Student -&gt; Program Participation</t>
  </si>
  <si>
    <t>001077</t>
  </si>
  <si>
    <t>AdultEducationInstructionalProgramType</t>
  </si>
  <si>
    <t>Adult Education Postsecondary Transition Action</t>
  </si>
  <si>
    <t>The action taken with respect to postsecondary enrollment by the learner after program exit or when co-enrolled in ABE and postsecondary with respect to enrollment in a postsecondary educational or occupational skills program building on prior services or training received.</t>
  </si>
  <si>
    <t>000784</t>
  </si>
  <si>
    <t>AdultEducationPostsecondaryTransitionAction</t>
  </si>
  <si>
    <t>Adult Education Postsecondary Transition Date</t>
  </si>
  <si>
    <t>The year, month and day on which a person previously enrolled in adult education entered and began to receive instructional services or training at a postsecondary institution.</t>
  </si>
  <si>
    <t>001081</t>
  </si>
  <si>
    <t>AdultEducationPostsecondaryTransitionDate</t>
  </si>
  <si>
    <t>Adult Education Provider Type</t>
  </si>
  <si>
    <t>The type of institution responsible for providing adult education instructional services.</t>
  </si>
  <si>
    <t>Adult Education -&gt; AE Provider</t>
  </si>
  <si>
    <t>001078</t>
  </si>
  <si>
    <t>AdultEducationProviderType</t>
  </si>
  <si>
    <t>Adult Education Service Provider Identification System</t>
  </si>
  <si>
    <t>A coding scheme that is used for identification and record-keeping purposes by schools, social services, or other agencies to refer to an institution.</t>
  </si>
  <si>
    <t>000781</t>
  </si>
  <si>
    <t>AdultEducationServiceProviderIdentificationSystem</t>
  </si>
  <si>
    <t>Adult Education Service Provider Identifier</t>
  </si>
  <si>
    <t>A unique number or alphanumeric code assigned to an institution by a school, school system, a state, or other agency or entity.</t>
  </si>
  <si>
    <t>001076</t>
  </si>
  <si>
    <t>AdultEducationServiceProviderIdentifier</t>
  </si>
  <si>
    <t>Adult Education Special Program Type</t>
  </si>
  <si>
    <t>The type, by location or delivery mode , of adult education instruction program in which an adult participates.</t>
  </si>
  <si>
    <t>Name changed from Adult Education Program Environment. Definition updated.</t>
  </si>
  <si>
    <t>Also see Adult Education Instructional Program Type</t>
  </si>
  <si>
    <t>000782</t>
  </si>
  <si>
    <t>AdultEducationSpecialProgramType</t>
  </si>
  <si>
    <t>Adult Education Staff Classification</t>
  </si>
  <si>
    <t>The titles of employment, official status, or rank of adult education staff.</t>
  </si>
  <si>
    <t>Adult Education -&gt; AE Staff -&gt; Employment</t>
  </si>
  <si>
    <t>Option set updated with three new options.</t>
  </si>
  <si>
    <t>000786</t>
  </si>
  <si>
    <t>AdultEducationStaffClassification</t>
  </si>
  <si>
    <t>Adult Education Staff Employment Status</t>
  </si>
  <si>
    <t>The condition under which a person has agreed to serve an employer.</t>
  </si>
  <si>
    <t>001083</t>
  </si>
  <si>
    <t>AdultEducationStaffEmploymentStatus</t>
  </si>
  <si>
    <t>Adult Educational Functioning Level at Intake</t>
  </si>
  <si>
    <t>An individual's entering skill level, as defined by the National Reporting System for Adult Education and determined by an approved standardized assessment at program intake.</t>
  </si>
  <si>
    <t>000779</t>
  </si>
  <si>
    <t>AEFunctioningLevelAtIntake</t>
  </si>
  <si>
    <t>Adult Educational Functioning Level at Posttest</t>
  </si>
  <si>
    <t>An individual's skill level, as defined by the National Reporting System for Adult Education and determined by an approved standardized assessment after a set time period or number of instructional hours.</t>
  </si>
  <si>
    <t>000780</t>
  </si>
  <si>
    <t>AEFunctioningLevelAtPosttest</t>
  </si>
  <si>
    <t>Advanced Placement Course Code</t>
  </si>
  <si>
    <t>Course areas for advanced placement or credit. For a list of codes see http://apcentral.collegeboard.com/apc/public/courses/teachers_corner/index.html .</t>
  </si>
  <si>
    <t>001278</t>
  </si>
  <si>
    <t>AP Course Code</t>
  </si>
  <si>
    <t>AdvancedPlacementCourseCode</t>
  </si>
  <si>
    <t>Advanced Placement Course Self Selection</t>
  </si>
  <si>
    <t>An indication of whether enrollment via self-selection by the student is permitted for all Advanced Placement (AP) courses offered.</t>
  </si>
  <si>
    <t>000017</t>
  </si>
  <si>
    <t>AP Course Self Selection</t>
  </si>
  <si>
    <t>APCourseSelfSelection</t>
  </si>
  <si>
    <t>Advanced Placement Credits Awarded</t>
  </si>
  <si>
    <t>The number of credits awarded a student by the postsecondary institution based on successful completion of advanced placement courses and/or advanced placement tests.</t>
  </si>
  <si>
    <t>Numeric - integer greater than or equal to 0</t>
  </si>
  <si>
    <t>000018</t>
  </si>
  <si>
    <t>AP Credits Awarded</t>
  </si>
  <si>
    <t>APCreditsAwarded</t>
  </si>
  <si>
    <t>Agency Course Identifier</t>
  </si>
  <si>
    <t>The course identifier as it may be recorded at the regional or state level to conform to a standardized course classification system.</t>
  </si>
  <si>
    <t>Postsecondary -&gt; PS Section -&gt; Course</t>
  </si>
  <si>
    <t>001280</t>
  </si>
  <si>
    <t>AgencyCourseIdentifier</t>
  </si>
  <si>
    <t>Allergy Reaction Description</t>
  </si>
  <si>
    <t>Describes symptoms know to be associated with a person's reaction to an allergen.</t>
  </si>
  <si>
    <t>Alphanumeric</t>
  </si>
  <si>
    <t>001281</t>
  </si>
  <si>
    <t>AllergyReactionDescription</t>
  </si>
  <si>
    <t>Allergy Severity</t>
  </si>
  <si>
    <t>The level of severity of a person's reaction to an allergen.</t>
  </si>
  <si>
    <t>001282</t>
  </si>
  <si>
    <t>AllergySeverity</t>
  </si>
  <si>
    <t>Allergy Type</t>
  </si>
  <si>
    <t>Type of allergy condition attributed to a person as defined by the SNOWMED Clinical Terms(r) vocabulary.</t>
  </si>
  <si>
    <t>This material includes SNOMED Clinical Terms® (SNOMED CT®) which is used by permission of the International Health Terminology Standards Development Organisation (IHTSDO). All rights reserved. SNOMED CT®, was originally created by The College of American Pathologists. “SNOMED” and “SNOMED CT” are registered trademarks of the IHTSDO.</t>
  </si>
  <si>
    <t>001283</t>
  </si>
  <si>
    <t>AllergyType</t>
  </si>
  <si>
    <t>Alternate Adequate Yearly Progress Approach Indicator</t>
  </si>
  <si>
    <t>An indication of whether the district or school used an approved alternate approach for calculating Adequate Yearly Progress (AYP).</t>
  </si>
  <si>
    <t>000014</t>
  </si>
  <si>
    <t>Alternate AYP Approach Indicator</t>
  </si>
  <si>
    <t>AlternateAYPApproachIndicator</t>
  </si>
  <si>
    <t>Alternate Day Name</t>
  </si>
  <si>
    <t>An alternate name used for the school day, typically used for the bell schedule (e.g., Blue day, Red day).</t>
  </si>
  <si>
    <t>K12 -&gt; Calendar -&gt; Period</t>
  </si>
  <si>
    <t>000598</t>
  </si>
  <si>
    <t>AlternateDayName</t>
  </si>
  <si>
    <t>Alternative Route to Certification or Licensure</t>
  </si>
  <si>
    <t>An indication of whether a person is enrolled in an alternative teacher preparation program as defined by Title II.</t>
  </si>
  <si>
    <t>Postsecondary -&gt; PS Student -&gt; Teacher Education/Preparation</t>
  </si>
  <si>
    <t>Postsecondary Education -&gt; Teacher Education</t>
  </si>
  <si>
    <t>000769</t>
  </si>
  <si>
    <t>AlternativeRouteToCertificationOrLicensure</t>
  </si>
  <si>
    <t>Alternative School Focus Type</t>
  </si>
  <si>
    <t>An indication of the specific group of students whose needs the alternative school is designed to meet.</t>
  </si>
  <si>
    <t>000015</t>
  </si>
  <si>
    <t>AlternativeSchoolFocusType</t>
  </si>
  <si>
    <t>American Indian or Alaska Native</t>
  </si>
  <si>
    <t>A person having origins in any of the original peoples of North and South America (including Central America), and who maintains cultural identification through tribal affiliation or community attachment.</t>
  </si>
  <si>
    <t>K12: Use cases support Yes and No as options. Postsecondary: - Use cases support Yes and Not Selected as options - As defined in IPEDS</t>
  </si>
  <si>
    <t>000016</t>
  </si>
  <si>
    <t>AmericanIndianOrAlaskaNative</t>
  </si>
  <si>
    <t>Annual Base Contractual Salary</t>
  </si>
  <si>
    <t>The total annual base contractual salary of a person.</t>
  </si>
  <si>
    <t>As defined in IPEDS</t>
  </si>
  <si>
    <t>000744</t>
  </si>
  <si>
    <t>AnnualBaseContractualSalary</t>
  </si>
  <si>
    <t>Annual Measurable Achievement Objective AYP Progress Attainment Status for LEP Students</t>
  </si>
  <si>
    <t>An indication of whether the state or district met the annual measurable objectives for the Limited English Proficient (LEP) student subgroup in mathematics and reading/language arts.</t>
  </si>
  <si>
    <t>000579</t>
  </si>
  <si>
    <t>AMAO AYP Progress Attainment Status for LEP Students</t>
  </si>
  <si>
    <t>AMAOAYPProgressAttainmentStatusForLEPStudents</t>
  </si>
  <si>
    <t>Annual Measurable Achievement Objective Proficiency Attainment Status for LEP Students</t>
  </si>
  <si>
    <t>An indication whether the state, district or school met the Annual Measurable Achievement Objectives (AMAO) for attaining English proficiency for limited English proficient (LEP) students under Title III of ESEA.</t>
  </si>
  <si>
    <t>000544</t>
  </si>
  <si>
    <t>AMAO Proficiency Attainment Status for LEP Students</t>
  </si>
  <si>
    <t>AMAOProficiencyAttainmentStatusForLEPStudents</t>
  </si>
  <si>
    <t>Annual Measurable Achievement Objective Progress Attainment Status for LEP Students</t>
  </si>
  <si>
    <t>An indication whether the state, district, or school met the Annual Measurable Achievement Objective (AMAO) for making progress in learning English for limited English proficient (LEP) students under Title III of ESEA as amended.</t>
  </si>
  <si>
    <t>000554</t>
  </si>
  <si>
    <t>AMAO Progress Attainment Status for LEP Students</t>
  </si>
  <si>
    <t>AMAOProgressAttainmentStatusForLEPStudents</t>
  </si>
  <si>
    <t>Appealed Adequate Yearly Progress Designation</t>
  </si>
  <si>
    <t>An indication that a school or district appealed its AYP designation.</t>
  </si>
  <si>
    <t>000442</t>
  </si>
  <si>
    <t>Appealed AYP Designation</t>
  </si>
  <si>
    <t>AppealedAYPDesignation</t>
  </si>
  <si>
    <t>Application Date</t>
  </si>
  <si>
    <t>The year, month and day on which an individual application is received by the organization.</t>
  </si>
  <si>
    <t>Early Learning -&gt; EL Child -&gt; EL Educational Experiences</t>
  </si>
  <si>
    <t>000323</t>
  </si>
  <si>
    <t>ApplicationDate</t>
  </si>
  <si>
    <t>Approved Early Childhood Credits Earned By a Non-ECE Degree Holder</t>
  </si>
  <si>
    <t>Total semester credits earned by professionals who do not possess an early childhood degree.</t>
  </si>
  <si>
    <t>Early Learning -&gt; EL Staff -&gt; Education</t>
  </si>
  <si>
    <t>Numeric - up to 2 digits after decimal place.</t>
  </si>
  <si>
    <t>000791</t>
  </si>
  <si>
    <t>ApprovedEarlyChildhoodCreditsEarnedByNon-ECEDegreeHolder</t>
  </si>
  <si>
    <t>Asian</t>
  </si>
  <si>
    <t>A person having origins in any of the original peoples of the Far East, Southeast Asia, or the Indian Subcontinent. This area includes, for example, Cambodia, China, India, Japan, Korea, Malaysia, Pakistan, the Philippine Islands, Thailand, and Vietnam.</t>
  </si>
  <si>
    <t>000020</t>
  </si>
  <si>
    <t>Assessment Academic Subject</t>
  </si>
  <si>
    <t>The description of the academic content or subject area (e.g., arts, mathematics, reading, or a foreign language) being evaluated.</t>
  </si>
  <si>
    <t>000021</t>
  </si>
  <si>
    <t>AssessmentAcademicSubject</t>
  </si>
  <si>
    <t>Assessment Accommodation Category</t>
  </si>
  <si>
    <t>A category of accommodations needed for a given assessment.</t>
  </si>
  <si>
    <t>000383</t>
  </si>
  <si>
    <t>AssessmentAccommodationCategory</t>
  </si>
  <si>
    <t>Assessment Accommodation Other Description</t>
  </si>
  <si>
    <t>The description of the accommodation when 'Assessment Accommodation Type' is set to 'Other'.</t>
  </si>
  <si>
    <t>001157</t>
  </si>
  <si>
    <t>AssessmentAccommodationOtherDescription</t>
  </si>
  <si>
    <t>Assessment Accommodation Type</t>
  </si>
  <si>
    <t>The specific accommodation necessary for the administration of the assessment.</t>
  </si>
  <si>
    <t>000385</t>
  </si>
  <si>
    <t>AssessmentAccommodationType</t>
  </si>
  <si>
    <t>Assessment Administration Assessment Family</t>
  </si>
  <si>
    <t>The title of the assessment family to be administered.</t>
  </si>
  <si>
    <t>A typical scenario for an assessment administration is a state-wide administration of an accountability test. For example, in Florida "Florida Comprehensive Assessment Test".</t>
  </si>
  <si>
    <t>000967</t>
  </si>
  <si>
    <t>AssessmentAdministrationAssessmentFamily</t>
  </si>
  <si>
    <t>Assessment Administration Code</t>
  </si>
  <si>
    <t>The code given to the assessment event by a state or other authority directing overall administration.</t>
  </si>
  <si>
    <t>000961</t>
  </si>
  <si>
    <t>AssessmentAdministrationCode</t>
  </si>
  <si>
    <t>Assessment Administration Finish Date</t>
  </si>
  <si>
    <t>The finish date of the time period designated for the assessment administration.</t>
  </si>
  <si>
    <t>000964</t>
  </si>
  <si>
    <t>AssessmentAdministrationFinishDate</t>
  </si>
  <si>
    <t>Assessment Administration Finish Time</t>
  </si>
  <si>
    <t>The finish time of the time period designated for the assessment administration.</t>
  </si>
  <si>
    <t>HH:MM:SS</t>
  </si>
  <si>
    <t>000965</t>
  </si>
  <si>
    <t>AssessmentAdministrationFinishTime</t>
  </si>
  <si>
    <t>Assessment Administration Name</t>
  </si>
  <si>
    <t>The name given to an assessment event.</t>
  </si>
  <si>
    <t>000977</t>
  </si>
  <si>
    <t>AssessmentAdministrationName</t>
  </si>
  <si>
    <t>Assessment Administration Organization Name</t>
  </si>
  <si>
    <t>The name of the organization with overall responsibility for the assessment event.</t>
  </si>
  <si>
    <t>000966</t>
  </si>
  <si>
    <t>AssessmentAdministrationOrganizationName</t>
  </si>
  <si>
    <t>Assessment Administration Start Date</t>
  </si>
  <si>
    <t>The start date of the time period designated for the assessment administration.</t>
  </si>
  <si>
    <t>000962</t>
  </si>
  <si>
    <t>AssessmentAdministrationStartDate</t>
  </si>
  <si>
    <t>Assessment Administration Start Time</t>
  </si>
  <si>
    <t>The start time of the time period designated for the assessment administration.</t>
  </si>
  <si>
    <t>000963</t>
  </si>
  <si>
    <t>AssessmentAdministrationStartTime</t>
  </si>
  <si>
    <t>Assessment Asset Content Mime Type</t>
  </si>
  <si>
    <t>MIME type to specifically indicate the Assessment Asset content type.</t>
  </si>
  <si>
    <t>001203</t>
  </si>
  <si>
    <t>AssessmentAssetContentMimeType</t>
  </si>
  <si>
    <t>Assessment Asset Content URL</t>
  </si>
  <si>
    <t>The Uniform Resource Locator (URL) location of the external Assessment Asset content.</t>
  </si>
  <si>
    <t>001204</t>
  </si>
  <si>
    <t>AssessmentAssetContentURL</t>
  </si>
  <si>
    <t>Assessment Asset Content XML</t>
  </si>
  <si>
    <t>XML encoded in UTF-8 representing the content of the Assessment Asset.</t>
  </si>
  <si>
    <t>001202</t>
  </si>
  <si>
    <t>AssessmentAssetContentXML</t>
  </si>
  <si>
    <t>Assessment Asset Identifier</t>
  </si>
  <si>
    <t>A unique code identifying the Assessment Asset provided by the authoring system.</t>
  </si>
  <si>
    <t>001198</t>
  </si>
  <si>
    <t>AssessmentAssetIdentifier</t>
  </si>
  <si>
    <t>Assessment Asset Identifier Type</t>
  </si>
  <si>
    <t>The type of identifier that is provided for this asset.</t>
  </si>
  <si>
    <t>001199</t>
  </si>
  <si>
    <t>AssessmentAssetIdentifierType</t>
  </si>
  <si>
    <t>Assessment Asset Name</t>
  </si>
  <si>
    <t>The name of the Assessment Asset.</t>
  </si>
  <si>
    <t>001200</t>
  </si>
  <si>
    <t>AssessmentAssetName</t>
  </si>
  <si>
    <t>Assessment Asset Owner</t>
  </si>
  <si>
    <t>The name of the ownership rights holder or publisher of the asset.</t>
  </si>
  <si>
    <t>001201</t>
  </si>
  <si>
    <t>AssessmentAssetOwner</t>
  </si>
  <si>
    <t>Assessment Asset Published Date</t>
  </si>
  <si>
    <t>The date that this version of the asset was made available for use.</t>
  </si>
  <si>
    <t>001197</t>
  </si>
  <si>
    <t>AssessmentAssetPublishedDate</t>
  </si>
  <si>
    <t>Assessment Asset Type</t>
  </si>
  <si>
    <t>Specifies a predominant type of assessment asset represented by the Learning Resource. Assessment assets represent any content used to compose an assessment item, is referenced by an item but not part of the item content itself, or is content that is included as part of a section within an assessment form. Assets can be static content such as art work or dynamic assets such as calculators.</t>
  </si>
  <si>
    <t>The standard option set may be extended based on local and implementation-specific requirements. Commonly used options may be submitted for inclusion in future versions of CEDS.</t>
  </si>
  <si>
    <t>001196</t>
  </si>
  <si>
    <t>AssessmentAssetType</t>
  </si>
  <si>
    <t>Assessment Asset Version</t>
  </si>
  <si>
    <t>A version number or label defined by the publisher.</t>
  </si>
  <si>
    <t>In some use cases a date, such as Learning Resource Date Created may be used as an alternative to a version number. Each use case may adopt different rules depending on the application requirements for maintenance of current version only or the multiple objects/records representing the complete version history.</t>
  </si>
  <si>
    <t>001195</t>
  </si>
  <si>
    <t>AssessmentAssetVersion</t>
  </si>
  <si>
    <t>Assessment Content Standard Type</t>
  </si>
  <si>
    <t>An indication as to whether an assessment conforms to a standard.</t>
  </si>
  <si>
    <t>000605</t>
  </si>
  <si>
    <t>AssessmentContentStandardType</t>
  </si>
  <si>
    <t>Assessment Early Learning Developmental Domain</t>
  </si>
  <si>
    <t>The developmental domains related to early learning.</t>
  </si>
  <si>
    <t>School Readiness</t>
  </si>
  <si>
    <t>001000</t>
  </si>
  <si>
    <t>AssessmentEarlyLearningDevelopmentalDomain</t>
  </si>
  <si>
    <t>Assessment Family Short Name</t>
  </si>
  <si>
    <t>The abbreviated title of the Assessment Family. An Assessment Family is a set of assessments with a common name, jurisdiction, or focus.</t>
  </si>
  <si>
    <t>Examples: SAT, GRE, NAEP</t>
  </si>
  <si>
    <t>000933</t>
  </si>
  <si>
    <t>AssessmentFamilyShortName</t>
  </si>
  <si>
    <t>Assessment Family Title</t>
  </si>
  <si>
    <t>The full title of the Assessment Family. An Assessment Family is a set of assessments with a common name, jurisdiction, or focus, such as Graduate Record Exam or National Assessment of Educational Progress.</t>
  </si>
  <si>
    <t>000932</t>
  </si>
  <si>
    <t>AssessmentFamilyTitle</t>
  </si>
  <si>
    <t>Assessment Form Accommodation List</t>
  </si>
  <si>
    <t>The human readable list of one or more of the specific accommodations available. If no accommodations are provided, then this list will not be present.</t>
  </si>
  <si>
    <t>001185</t>
  </si>
  <si>
    <t>AssessmentFormAccommodationList</t>
  </si>
  <si>
    <t>Assessment Form Intended Administration End Date</t>
  </si>
  <si>
    <t>The ending date of the time period in which the assessment form is intended to be administered.</t>
  </si>
  <si>
    <t>Rename “Intended Administration End Date” to “Assessment Form Intended Administration End Date”. Name change to conform to CEDS naming conventions.</t>
  </si>
  <si>
    <t>001187</t>
  </si>
  <si>
    <t>AssessmentFormIntendedAdministrationEndDate</t>
  </si>
  <si>
    <t>Assessment Form Name</t>
  </si>
  <si>
    <t>The name of a given assessment form.</t>
  </si>
  <si>
    <t>000024</t>
  </si>
  <si>
    <t>AssessmentFormName</t>
  </si>
  <si>
    <t>Assessment Form Number</t>
  </si>
  <si>
    <t>The number of a given assessment form.</t>
  </si>
  <si>
    <t>000366</t>
  </si>
  <si>
    <t>AssessmentFormNumber</t>
  </si>
  <si>
    <t>Assessment Form Platforms Supported</t>
  </si>
  <si>
    <t>A human readable list of delivery platforms the form will support.</t>
  </si>
  <si>
    <t>001188</t>
  </si>
  <si>
    <t>AssessmentFormPlatformsSupported</t>
  </si>
  <si>
    <t>Assessment Form Section GUID</t>
  </si>
  <si>
    <t>The globally unique identifier of an Assessment Form Section using a RFC 4122 compliant 32-character hexadecimal string, such as 21EC2020-3AEA-1069-A2DD-08002B30309D.</t>
  </si>
  <si>
    <t>Alphanumeric - 36 characters maximum</t>
  </si>
  <si>
    <t>000980</t>
  </si>
  <si>
    <t>AssessmentFormSectionGUID</t>
  </si>
  <si>
    <t>Assessment Form Section Identifier</t>
  </si>
  <si>
    <t>A unique number or alphanumeric code assigned to the Assessment Form Section using the system specified by Identification System for Assessment Form Section.</t>
  </si>
  <si>
    <t>001191</t>
  </si>
  <si>
    <t>AssessmentFormSectionIdentifier</t>
  </si>
  <si>
    <t>Assessment Form Section Reentry</t>
  </si>
  <si>
    <t>Indicates that this section can be re-entered, meaning the test taker can return to this section after they have left the section. A common example of this is a two section test where one section does not allow the use of a calculator and the other does. Typically the test taker cannot return to the non-calculator section after they have used a calculator.</t>
  </si>
  <si>
    <t>001194</t>
  </si>
  <si>
    <t>AssessmentFormSectionReentry</t>
  </si>
  <si>
    <t>Assessment Form Section Sealed</t>
  </si>
  <si>
    <t>Indicates this section is sealed, meaning the test taker cannot enter the section until authorized by the proctor.</t>
  </si>
  <si>
    <t>001193</t>
  </si>
  <si>
    <t>AssessmentFormSectionSealed</t>
  </si>
  <si>
    <t>Assessment Form Section Sequence Number</t>
  </si>
  <si>
    <t>The position of the assessment section presented in the sequence of sections within an assessment form.</t>
  </si>
  <si>
    <t>Numeric</t>
  </si>
  <si>
    <t>000979</t>
  </si>
  <si>
    <t>AssessmentFormSectionSequenceNumber</t>
  </si>
  <si>
    <t>Assessment Form Section Time Limit</t>
  </si>
  <si>
    <t>If this section is timed, then this will identify the maximum amount of time the test taker can spend within this section.</t>
  </si>
  <si>
    <t>001192</t>
  </si>
  <si>
    <t>AssessmentFormSectionTimeLimit</t>
  </si>
  <si>
    <t>Assessment Form Section Version</t>
  </si>
  <si>
    <t>The version number of the Assessment Form Section.</t>
  </si>
  <si>
    <t>001189</t>
  </si>
  <si>
    <t>AssessmentFormSectionVersion</t>
  </si>
  <si>
    <t>Assessment Form Subtest Container Only</t>
  </si>
  <si>
    <t>In a hierarchy of subtests, this indicates that this tier is only used as a level in the hierarchy and does not represent a scoring model.</t>
  </si>
  <si>
    <t>Added option set.</t>
  </si>
  <si>
    <t>001215</t>
  </si>
  <si>
    <t>AssessmentFormSubtestContainerOnly</t>
  </si>
  <si>
    <t>Assessment Form Subtest Item Weight Correct</t>
  </si>
  <si>
    <t>A weighting factor for how the item score is used to compute a sub-test score when the item is correct or partially correct. Item weight of 1 indicates the full item score is used. A weight of .5 would indicate the item only contributes one half of the item score to the subtest. A weight of 0 indicates the item does not affect the sub test score.</t>
  </si>
  <si>
    <t>001010</t>
  </si>
  <si>
    <t>AssessmentFormSubtestItemWeightCorrect</t>
  </si>
  <si>
    <t>Assessment Form Subtest Item Weight Incorrect</t>
  </si>
  <si>
    <t>A weighting factor for how the item score is used to compute a sub-test score when the item is attempted and incorrect. Item weight should be a negative value if the item subtracts from the score if missed.</t>
  </si>
  <si>
    <t>001012</t>
  </si>
  <si>
    <t>AssessmentFormSubtestItemWeightIncorrect</t>
  </si>
  <si>
    <t>Assessment Form Subtest Item Weight Not Attempted</t>
  </si>
  <si>
    <t>A weighting factor for how the item score is used to compute a sub-test score when the item has not been attempted by the student. Item weight should be a negative value if the item subtracts from the score if not attempted.</t>
  </si>
  <si>
    <t>001013</t>
  </si>
  <si>
    <t>AssessmentFormSubtestItemWeightNotAttempted</t>
  </si>
  <si>
    <t>Assessment Form Subtest Tier</t>
  </si>
  <si>
    <t>In a hierarchy of subtests, this element represents the level of the sub test in the hierarchy. The top tier and default is zero.</t>
  </si>
  <si>
    <t>Integer</t>
  </si>
  <si>
    <t>001214</t>
  </si>
  <si>
    <t>AssessmentFormSubtestTier</t>
  </si>
  <si>
    <t>Assessment Form Version</t>
  </si>
  <si>
    <t>The version number of the Assessment Form.</t>
  </si>
  <si>
    <t>001183</t>
  </si>
  <si>
    <t>AssessmentFormVersion</t>
  </si>
  <si>
    <t>Assessment GUID</t>
  </si>
  <si>
    <t>The globally unique identifier of an Assessment using a RFC 4122 compliant 32-character hexadecimal string, such as 21EC2020-3AEA-1069-A2DD-08002B30309D.</t>
  </si>
  <si>
    <t>000981</t>
  </si>
  <si>
    <t>AssessmentGUID</t>
  </si>
  <si>
    <t>Assessment Identification System</t>
  </si>
  <si>
    <t>A coding scheme that is used for identification and record-keeping purposes by schools, social services, or other agencies to refer to an assessment.</t>
  </si>
  <si>
    <t>000365</t>
  </si>
  <si>
    <t>AssessmentIdentificationSystem</t>
  </si>
  <si>
    <t>Assessment Identifier</t>
  </si>
  <si>
    <t>A unique number or alphanumeric code assigned to an assessment by a school, school system, a state, or other agency or entity. This may be the publisher identifier.</t>
  </si>
  <si>
    <t>001067</t>
  </si>
  <si>
    <t>AssessmentIdentifier</t>
  </si>
  <si>
    <t>Assessment Item Adaptive Indicator</t>
  </si>
  <si>
    <t>This indicator determines whether an assessment item is an adaptive item.</t>
  </si>
  <si>
    <t>001139</t>
  </si>
  <si>
    <t>AssessmentItemAdaptiveIndicator</t>
  </si>
  <si>
    <t>Assessment Item Allotted Time</t>
  </si>
  <si>
    <t>The amount of time allotted for a specific item.</t>
  </si>
  <si>
    <t>000403</t>
  </si>
  <si>
    <t>AssessmentItemAllottedTime</t>
  </si>
  <si>
    <t>Assessment Item APIP Item Body XML</t>
  </si>
  <si>
    <t>The item body contains the text, graphics, media objects, and interactions that describe the item's content and information about how it is structured. The body is presented by combining it with stylesheet information, either explicitly or implicitly using the default style rules of the delivery or authoring system. This element contains the appropriate XML from the IMS Global APIP Specification defining the various item body interactions.</t>
  </si>
  <si>
    <t>001138</t>
  </si>
  <si>
    <t>AssessmentItemAPIPItemBodyXML</t>
  </si>
  <si>
    <t>Assessment Item APIP Modal Feedback XML</t>
  </si>
  <si>
    <t>Modal feedback is shown to the candidate directly following response processing. The value of an outcome variable is used in conjunction with the showHide and identifier attributes to determine whether or not the feedback is shown in a similar way to feedbackElement. The XML from the IMS Global APIP Specification would be included.</t>
  </si>
  <si>
    <t>001137</t>
  </si>
  <si>
    <t>AssessmentItemAPIPModalFeedbackXML</t>
  </si>
  <si>
    <t>Assessment Item APIP Outcome Declaration XML</t>
  </si>
  <si>
    <t>Outcome variables are declared by outcome declarations. Their value is set either from a default given in the declaration itself or by a responseRule during response processing. The XML from the IMS Global APIP Specification would be included.</t>
  </si>
  <si>
    <t>001134</t>
  </si>
  <si>
    <t>AssessmentItemAPIPOutcomeDeclarationXML</t>
  </si>
  <si>
    <t>Assessment Item APIP Response Declaration XML</t>
  </si>
  <si>
    <t>Response declarations state what the response variables include. The response declaration may assign an optional correct response. The XML from the IMS Global APIP Specification would be included.</t>
  </si>
  <si>
    <t>001133</t>
  </si>
  <si>
    <t>AssessmentItemAPIPResponseDeclarationXML</t>
  </si>
  <si>
    <t>Assessment Item APIP Response Processing Template URL</t>
  </si>
  <si>
    <t>These templates are described using the processing language defined in IMS Global APIP specification and are distributed (in XML form) along with it. Delivery engines that support generalized response processing do not need to implement special mechanisms to support them as a template file can be parsed directly while processing the assessment item that refers to it. This element provides the URL for the template.</t>
  </si>
  <si>
    <t>001131</t>
  </si>
  <si>
    <t>AssessmentItemAPIPResponseProcessingTemplateURL</t>
  </si>
  <si>
    <t>Assessment Item APIP Response Processing XML</t>
  </si>
  <si>
    <t>Response processing is the process by which the Delivery Engine assigns outcomes based on the learner's responses. The outcomes may be used to provide feedback to the learner Feedback is either provided immediately following the end of the learner's attempt or it is provided at some later time, perhaps as part of a summary report on the item session. The XML from the IMS Global APIP Specification would be included.</t>
  </si>
  <si>
    <t>001132</t>
  </si>
  <si>
    <t>AssessmentItemAPIPResponseProcessingXML</t>
  </si>
  <si>
    <t>Assessment Item APIP Template Declaration XML</t>
  </si>
  <si>
    <t>Template declarations declare item variables that are to be used specifically for the purposes of cloning items. They can have their value set only during template processing. They are referred to within the item body in order to individualize the clone and possibly also within the response Processing rules if the cloning process affects the way the item is scored. The XML from the IMS Global APIP Specification would be included.</t>
  </si>
  <si>
    <t>001135</t>
  </si>
  <si>
    <t>AssessmentItemAPIPTemplateDeclarationXML</t>
  </si>
  <si>
    <t>Assessment Item APIP Template Processing XML</t>
  </si>
  <si>
    <t>Template processing consists of one or more template rules that are followed by the cloning engine or delivery system in order to assign values to the template variables. Template processing is identical in form to responseProcessing except that the purpose is to assign values to template variables, not outcome variables. The XML from the IMS Global APIP Specification would be included.</t>
  </si>
  <si>
    <t>001136</t>
  </si>
  <si>
    <t>AssessmentItemAPIPTemplateProcessingXML</t>
  </si>
  <si>
    <t>Assessment Item Bank Identifier</t>
  </si>
  <si>
    <t>If the assessment is provided with an item bank, then this identifies the item bank: a unique code or number used by the item banking system.</t>
  </si>
  <si>
    <t>001181</t>
  </si>
  <si>
    <t>AssessmentItemBankIdentifier</t>
  </si>
  <si>
    <t>Assessment Item Bank Name</t>
  </si>
  <si>
    <t>If the assessment is provided with an item bank, then this is the name of the item bank.</t>
  </si>
  <si>
    <t>001182</t>
  </si>
  <si>
    <t>AssessmentItemBankName</t>
  </si>
  <si>
    <t>Assessment Item Body Associate Interaction XML</t>
  </si>
  <si>
    <t>An associate interaction presents candidates with a number of choices and allows them to create associations between them. The XML from the IMS Global APIP Specification would be included.</t>
  </si>
  <si>
    <t>001123</t>
  </si>
  <si>
    <t>AssessmentItemBodyAssociateInteractionXML</t>
  </si>
  <si>
    <t>Assessment Item Body Choice Interaction XML</t>
  </si>
  <si>
    <t>The choice interaction presents a set of choices to the candidate. The candidate's task is to select one or more of the choices, up to a maximum of maxChoices. The interaction is always initialized with no choices selected. The XML from the IMS Global APIP Specification would be included.</t>
  </si>
  <si>
    <t>001112</t>
  </si>
  <si>
    <t>AssessmentItemBodyChoiceInteractionXML</t>
  </si>
  <si>
    <t>Assessment Item Body Custom Interaction XML</t>
  </si>
  <si>
    <t>The custom interaction provides an opportunity for extensibility of this specification to include support for interactions not currently documented. The XML from the IMS Global APIP Specification would be included.</t>
  </si>
  <si>
    <t>001102</t>
  </si>
  <si>
    <t>AssessmentItemBodyCustomInteractionXML</t>
  </si>
  <si>
    <t>Assessment Item Body Drawing Interaction XML</t>
  </si>
  <si>
    <t>The drawing interaction allows the candidate to use a common set of drawing tools to modify a given graphical image (the canvas). It must be bound to a response variable with base-type file and single cardinality. The result is a file in the same format as the original image. The XML from the IMS Global APIP Specification would be included.</t>
  </si>
  <si>
    <t>001103</t>
  </si>
  <si>
    <t>AssessmentItemBodyDrawingInteractionXML</t>
  </si>
  <si>
    <t>Assessment Item Body End Attempt Interaction XML</t>
  </si>
  <si>
    <t>The end attempt interaction is a special type of interaction which allows item authors to provide the candidate with control over the way in which the candidate terminates an attempt. The candidate can use the interaction to terminate the attempt (triggering response processing) immediately, typically to request a hint. It must be bound to a response variable with base-type boolean and single cardinality. The XML from the IMS Global APIP Specification would be included.</t>
  </si>
  <si>
    <t>001121</t>
  </si>
  <si>
    <t>AssessmentItemBodyEndAttemptInteractionXML</t>
  </si>
  <si>
    <t>Assessment Item Body Extended Text Interaction XML</t>
  </si>
  <si>
    <t>An extended text interaction allows the candidate to enter an extended amount of text. The XML from the IMS Global APIP Specification would be included.</t>
  </si>
  <si>
    <t>001120</t>
  </si>
  <si>
    <t>AssessmentItemBodyExtendedTextInteractionXML</t>
  </si>
  <si>
    <t>Assessment Item Body Gap Match Interaction XML</t>
  </si>
  <si>
    <t>A gap match interaction contains a number gaps that the candidate can fill from an associated set of choices. The candidate must be able to review the content with the gaps filled in context, as indicated by their choices. The XML from the IMS Global APIP Specification would be included.</t>
  </si>
  <si>
    <t>001104</t>
  </si>
  <si>
    <t>AssessmentItemBodyGapMatchInteractionXML</t>
  </si>
  <si>
    <t>Assessment Item Body Graphic Gap Match Interaction XML</t>
  </si>
  <si>
    <t>A graphic gap-match interaction is a graphical interaction with a set of gaps that are defined as areas (hotspots) of the graphic image and an additional set of gap choices that are defined outside the image. The candidate must associate the gap choices with the gaps in the image and be able to review the image with the gaps filled in context, as indicated by their choices. Care should be taken when designing these interactions to ensure that the gaps in the image are a suitable size to receive the required gap choices. It must be clear to the candidate which hotspot each choice has been associated with. When associated, choices must appear wholly inside the gaps if at all possible and, where overlaps are required, should not hide each other completely. If the candidate indicates the association by positioning the choice over the gap (e.g., drag and drop) the system should 'snap' it to the nearest position that satisfies these requirements. The XML from the IMS Global APIP Specification would be included.</t>
  </si>
  <si>
    <t>001106</t>
  </si>
  <si>
    <t>AssessmentItemBodyGraphicGapMatchInteractionXML</t>
  </si>
  <si>
    <t>Assessment Item Body Graphic Order Interaction XML</t>
  </si>
  <si>
    <t>A graphic order interaction is a graphic interaction with a corresponding set of choices that are defined as areas of the graphic image. The candidate's task is to impose an ordering on the areas (hotspots). The order hotspot interaction should only be used when the spatial relationship of the choices with respect to each other (as represented by the graphic image) is important to the needs of the item. Otherwise, orderInteraction should be used instead with separate material for each option. The XML from the IMS Global APIP Specification would be included.</t>
  </si>
  <si>
    <t>001108</t>
  </si>
  <si>
    <t>AssessmentItemBodyGraphicOrderInteractionXML</t>
  </si>
  <si>
    <t>Assessment Item Body Hot Spot Interaction XML</t>
  </si>
  <si>
    <t>A hotspot interaction is a graphical interaction with a corresponding set of choices that are defined as areas of the graphic image. The candidate's task is to select one or more of the areas (hotspots). The hotspot interaction should only be used when the spatial relationship of the choices with respect to each other (as represented by the graphic image) is important to the needs of the item. Otherwise, choiceInteraction should be used instead with separate material for each option. The XML from the IMS Global APIP Specification would be included.</t>
  </si>
  <si>
    <t>001107</t>
  </si>
  <si>
    <t>AssessmentItemBodyHotSpotInteractionXML</t>
  </si>
  <si>
    <t>Assessment Item Body Hottext Interaction XML</t>
  </si>
  <si>
    <t>The hottext interaction presents a set of choices to the candidate represented as selectable runs of text embedded within a surrounding context, such as a simple passage of text. Like choiceInteraction, the candidate's task is to select one or more of the choices, up to a maximum of maxChoices. The interaction is initialized from the defaultValue of the associated response variable, a NULL value indicating that no choices are selected (the usual case). The XML from the IMS Global APIP Specification would be included.</t>
  </si>
  <si>
    <t>001116</t>
  </si>
  <si>
    <t>AssessmentItemBodyHottextInteractionXML</t>
  </si>
  <si>
    <t>Assessment Item Body Inline Choice Interaction XML</t>
  </si>
  <si>
    <t>A inline choice is an inline interaction that presents the user with a set of choices, each of which is a simple piece of text. The candidate's task is to select one of the choices. Unlike the Choice Interaction, the delivery engine must allow the candidate to review their choice within the context of the surrounding text.</t>
  </si>
  <si>
    <t>001114</t>
  </si>
  <si>
    <t>AssessmentItemBodyInlineChoiceInteractionXML</t>
  </si>
  <si>
    <t>Assessment Item Body Match Interaction XML</t>
  </si>
  <si>
    <t>A match interaction presents candidates with two sets of choices and allows them to create associates between pairs of choices in the two sets, but not between pairs of choices in the same set. Further restrictions can still be placed on the allowable associations using the matchMax attribute of the choices. The XML from the IMS Global APIP Specification would be included.</t>
  </si>
  <si>
    <t>001105</t>
  </si>
  <si>
    <t>AssessmentItemBodyMatchInteractionXML</t>
  </si>
  <si>
    <t>Assessment Item Body Media Interaction XML</t>
  </si>
  <si>
    <t>The media interaction allows more control over the way the candidate interacts with a time-based media object and allows the number of times the media object was experienced to be reported in the value of the associated response variable, which must be of base-type integer and single cardinality. The XML from the IMS Global APIP Specification would be included.</t>
  </si>
  <si>
    <t>001115</t>
  </si>
  <si>
    <t>AssessmentItemBodyMediaInteractionXML</t>
  </si>
  <si>
    <t>Assessment Item Body Order Interaction XML</t>
  </si>
  <si>
    <t>In an order interaction the candidate's task is to reorder the choices, the order in which the choices are displayed initially is significant. By default the candidate's task is to order all of the choices but a subset of the choices can be requested using the maxChoices and minChoices attributes. When specified the candidate must select a subset of the choices and impose an ordering on them. The XML from the IMS Global APIP Specification would be included.</t>
  </si>
  <si>
    <t>001117</t>
  </si>
  <si>
    <t>AssessmentItemBodyOrderInteractionXML</t>
  </si>
  <si>
    <t>Assessment Item Body Position Object Interaction XML</t>
  </si>
  <si>
    <t>The position object interaction consists of a single image which must be positioned on another graphic image (the stage) by the candidate. Like selectPointInteraction, the associated response may have an areaMapping that scores the response on the basis of comparing it against predefined areas but the delivery engine must not indicate these areas of the stage. Only the actual position(s) selected by the candidate shall be indicated. The XML from the IMS Global APIP Specification would be included.</t>
  </si>
  <si>
    <t>001118</t>
  </si>
  <si>
    <t>AssessmentItemBodyPositionObjectInteractionXML</t>
  </si>
  <si>
    <t>Assessment Item Body Select Point Interaction</t>
  </si>
  <si>
    <t>A graphic associate interaction is a graphic interaction with a corresponding set of choices that are defined as areas of the graphic image. The candidate's task is to associate the areas (hotspots) with each other. The graphic associate interaction should only be used when the graphical relationship of the choices with respect to each other (as represented by the graphic image) is important to the needs of the item. Otherwise, associateInteraction should be used instead with separate Material for each option. The XML from the IMS Global APIP Specification would be included.</t>
  </si>
  <si>
    <t>001110</t>
  </si>
  <si>
    <t>AssessmentItemBodySelectPointInteraction</t>
  </si>
  <si>
    <t>Assessment Item Body Select Point Interaction XML</t>
  </si>
  <si>
    <t>Like hotspotInteraction, a select point interaction is a graphic interaction. The candidate's task is to select one or more points. The associated response may have an areaMapping that scores the response on the basis of comparing it against predefined areas but the delivery engine must not indicate these areas of the image. Only the actual point(s) selected by the candidate shall be indicated. The XML from the IMS Global APIP Specification would be included.</t>
  </si>
  <si>
    <t>001109</t>
  </si>
  <si>
    <t>AssessmentItemBodySelectPointInteractionXML</t>
  </si>
  <si>
    <t>Assessment Item Body Slider Interaction XML</t>
  </si>
  <si>
    <t>The slider interaction presents the candidate with a control for selecting a numerical value between a lower and upper bound. It must be bound to a response variable with single cardinality with a base-type of either integer or float. The XML from the IMS Global APIP Specification would be included.</t>
  </si>
  <si>
    <t>001111</t>
  </si>
  <si>
    <t>AssessmentItemBodySliderInteractionXML</t>
  </si>
  <si>
    <t>Assessment Item Body Text</t>
  </si>
  <si>
    <t>The complete text of an assessment item including all applicable parts such as stimulus, stem, and possible response options presented.</t>
  </si>
  <si>
    <t>001267</t>
  </si>
  <si>
    <t>AssessmentItemBodyText</t>
  </si>
  <si>
    <t>Assessment Item Body Text Entry Interaction XML</t>
  </si>
  <si>
    <t>A textEntry interaction obtains a simple piece of text from the candidate. Like inlineChoiceInteraction, the delivery engine must allow the candidate to review their choice within the context of the surrounding text. The XML from the IMS Global APIP Specification would be included.</t>
  </si>
  <si>
    <t>001119</t>
  </si>
  <si>
    <t>AssessmentItemBodyTextEntryInteractionXML</t>
  </si>
  <si>
    <t>Assessment Item Body Upload Interaction XML</t>
  </si>
  <si>
    <t>The upload interaction allows the candidate to upload a pre-prepared file representing their response. It must be bound to a response variable with base-type file and single cardinality. The XML from the IMS Global APIP Specification would be included.</t>
  </si>
  <si>
    <t>001222</t>
  </si>
  <si>
    <t>AssessmentItemBodyUploadInteractionXML</t>
  </si>
  <si>
    <t>Assessment Item Characteristic Type</t>
  </si>
  <si>
    <t>The type of psychometric measure provided for assessment item.</t>
  </si>
  <si>
    <t>000392</t>
  </si>
  <si>
    <t>AssessmentItemCharacteristicType</t>
  </si>
  <si>
    <t>Assessment Item Characteristic Value</t>
  </si>
  <si>
    <t>A psychometric measure provided for an assessment item.</t>
  </si>
  <si>
    <t>000709</t>
  </si>
  <si>
    <t>AssessmentItemCharacteristicValue</t>
  </si>
  <si>
    <t>Assessment Item Difficulty</t>
  </si>
  <si>
    <t>The percentage of students who answered the item correctly during trial testing of the item.</t>
  </si>
  <si>
    <t>###.##</t>
  </si>
  <si>
    <t>000391</t>
  </si>
  <si>
    <t>AssessmentItemDifficulty</t>
  </si>
  <si>
    <t>Assessment Item Distractor Analysis</t>
  </si>
  <si>
    <t>The analysis of the distractors provided for a specific assessment.</t>
  </si>
  <si>
    <t>Alphanumeric - 100 characters maximum</t>
  </si>
  <si>
    <t>000398</t>
  </si>
  <si>
    <t>AssessmentItemDistractorAnalysis</t>
  </si>
  <si>
    <t>Assessment Item Identifier</t>
  </si>
  <si>
    <t>The identifier that uniquely identifies an assessment item.</t>
  </si>
  <si>
    <t>000630</t>
  </si>
  <si>
    <t>AssessmentItemIdentifier</t>
  </si>
  <si>
    <t>Assessment Item Interaction Type</t>
  </si>
  <si>
    <t>The assessment item body interaction type as defined by IMS Global specifications.</t>
  </si>
  <si>
    <t>001158</t>
  </si>
  <si>
    <t>AssessmentItemInteractionType</t>
  </si>
  <si>
    <t>Assessment Item Linking Item Indicator</t>
  </si>
  <si>
    <t>Indicates that the item is intended to be administered in two different grades for the goal of establishing cross grade comparison.</t>
  </si>
  <si>
    <t>001261</t>
  </si>
  <si>
    <t>AssessmentItemLinkingItemIndicator</t>
  </si>
  <si>
    <t>Assessment Item Maximum Score</t>
  </si>
  <si>
    <t>The maximum number of points possible for the assessment item.</t>
  </si>
  <si>
    <t>000707</t>
  </si>
  <si>
    <t>AssessmentItemMaximumScore</t>
  </si>
  <si>
    <t>Assessment Item Minimum Score</t>
  </si>
  <si>
    <t>The minimum number of points possible for the assessment item.</t>
  </si>
  <si>
    <t>000708</t>
  </si>
  <si>
    <t>AssessmentItemMinimumScore</t>
  </si>
  <si>
    <t>Assessment Item Possible Response Correct Indicator</t>
  </si>
  <si>
    <t>Indicates that the possible response is the correct response.</t>
  </si>
  <si>
    <t>001217</t>
  </si>
  <si>
    <t>AssessmentItemPossibleResponseCorrectIndicator</t>
  </si>
  <si>
    <t>Assessment Item Possible Response Feedback Message</t>
  </si>
  <si>
    <t>A message provided to the person being assessed after giving a response that matches the possible response.</t>
  </si>
  <si>
    <t>This may be a message of affirmation for a correct answer or descriptive feedback for an incorrect answer. For example, if the item asked the question what is 2 times 3 and the learner answered 5, the Feedback Message might be "Try multiplication instead of addition."</t>
  </si>
  <si>
    <t>000904</t>
  </si>
  <si>
    <t>AssessmentItemPossibleResponseFeedbackMessage</t>
  </si>
  <si>
    <t>Assessment Item Possible Response Option</t>
  </si>
  <si>
    <t>The possible response presented to the participant within a selected-response/multiple-choice assessment item.</t>
  </si>
  <si>
    <t>001269</t>
  </si>
  <si>
    <t>AssessmentItemPossibleResponseOption</t>
  </si>
  <si>
    <t>Assessment Item Possible Response Sequence Number</t>
  </si>
  <si>
    <t>The position of this response in the list of responses displayed, such as for a multiple choice item type.</t>
  </si>
  <si>
    <t>000905</t>
  </si>
  <si>
    <t>AssessmentItemPossibleResponseSequenceNumber</t>
  </si>
  <si>
    <t>Assessment Item Possible Response Value</t>
  </si>
  <si>
    <t>The description of each distracter on an assessment item, explaining why it is there, what misunderstandings it exposes.</t>
  </si>
  <si>
    <t>000908</t>
  </si>
  <si>
    <t>AssessmentItemPossibleResponse</t>
  </si>
  <si>
    <t>Assessment Item Release Status</t>
  </si>
  <si>
    <t>Indicates that the assessment item has been released to the public.</t>
  </si>
  <si>
    <t>001263</t>
  </si>
  <si>
    <t>AssessmentItemReleaseStatus</t>
  </si>
  <si>
    <t>Assessment Item Response Aid Set Used</t>
  </si>
  <si>
    <t>A tool or aid set used while viewing the item. This can include things like a calculator, reference tools, etc.</t>
  </si>
  <si>
    <t>This a permissible set of tools suggested for use for successful completion of a test question, not an accommodation.</t>
  </si>
  <si>
    <t>000406</t>
  </si>
  <si>
    <t>AssessmentItemResponseAidSetUsed</t>
  </si>
  <si>
    <t>Assessment Item Response Choice Pattern</t>
  </si>
  <si>
    <t>The distribution of responses for each choice in the assessment item.</t>
  </si>
  <si>
    <t>000393</t>
  </si>
  <si>
    <t>AssessmentItemResponseChoicePattern</t>
  </si>
  <si>
    <t>Assessment Item Response Descriptive Feedback</t>
  </si>
  <si>
    <t>The formative descriptive feedback that was given to a learner in response to the results from a scored/evaluated assessment item.</t>
  </si>
  <si>
    <t>000891</t>
  </si>
  <si>
    <t>AssessmentItemResponseDescriptiveFeedback</t>
  </si>
  <si>
    <t>Assessment Item Response Duration</t>
  </si>
  <si>
    <t>The total amount of time in seconds or milliseconds that a person spent responding to a given assessment item.</t>
  </si>
  <si>
    <t>HH:MM:SS or HH:MM:SS.sss</t>
  </si>
  <si>
    <t>000402</t>
  </si>
  <si>
    <t>AssessmentItemResponseDuration</t>
  </si>
  <si>
    <t>Assessment Item Response First Attempt Duration</t>
  </si>
  <si>
    <t>The amount of time in seconds or milliseconds that a person took to give an initial response, a first attempt to answer a formative assessment item.</t>
  </si>
  <si>
    <t>Formative assessments often allow learners to make multiple attempts until a correct or acceptable answer is given. In such cases it is valuable to know both the time it took for the initial response and the total time spent responding to the problem.</t>
  </si>
  <si>
    <t>000957</t>
  </si>
  <si>
    <t>AssessmentItemResponseFirstAttemptDuration</t>
  </si>
  <si>
    <t>Assessment Item Response Hint Count</t>
  </si>
  <si>
    <t>The total number of hints presented as the learner responded to a formative assessment item. This may include hints requested by the learner or hints automatically presented such as in an online tutoring system. Presentation of a scaffolding item is a separate response record and not counted as a hint.</t>
  </si>
  <si>
    <t>000955</t>
  </si>
  <si>
    <t>AssessmentItemResponseHintCount</t>
  </si>
  <si>
    <t>Assessment Item Response Hint Included Answer</t>
  </si>
  <si>
    <t>Indicates that one of the hints presented included the correct answer.</t>
  </si>
  <si>
    <t>A typical scenario for an online tutoring application may present a series of hints for a formative assessment item with the last hint being the correct answer. The learner must enter the correct answer before continuing. This data element is a flag that the learner was presented with the "bottom hint", which is the correct answer.</t>
  </si>
  <si>
    <t>000956</t>
  </si>
  <si>
    <t>AssessmentItemResponseHintIncludedAnswer</t>
  </si>
  <si>
    <t>Assessment Item Response Scaffolding Item Flag</t>
  </si>
  <si>
    <t>Indicates that the response is to a scaffolding problem rather than the main/assigned problem. A scaffolding item is a follow-up formative assessment item used to assess prerequisite or component skills, presented immediately after a learner gives an incorrect answer on the previous item.</t>
  </si>
  <si>
    <t>000954</t>
  </si>
  <si>
    <t>AssessmentItemResponseScaffoldingItemFlag</t>
  </si>
  <si>
    <t>Assessment Item Response Score Value</t>
  </si>
  <si>
    <t>The score given to a person's response to an assessment item.</t>
  </si>
  <si>
    <t>000724</t>
  </si>
  <si>
    <t>AssessmentItemResponseScoreValue</t>
  </si>
  <si>
    <t>Assessment Item Response Security Issue</t>
  </si>
  <si>
    <t>The description of security issue, if any, related to a learner's response to an assessment item.</t>
  </si>
  <si>
    <t>For example: Suspected plagiarism ; Computer left test window ; Excessive response time ; Proctor suspected copying ; Student identity not confirmed ; No proctor present ; Student carried wireless mobile device during test ; Student terminated test early and restarted ; Excessive erasures on test form ; Response pattern identical to another student's</t>
  </si>
  <si>
    <t>000969</t>
  </si>
  <si>
    <t>AssessmentItemResponseSecurityIssue</t>
  </si>
  <si>
    <t>Assessment Item Response Start Date</t>
  </si>
  <si>
    <t>The date on which the assessment item was presented to the learner.</t>
  </si>
  <si>
    <t>000959</t>
  </si>
  <si>
    <t>AssessmentItemResponseStartDate</t>
  </si>
  <si>
    <t>Assessment Item Response Start Time</t>
  </si>
  <si>
    <t>The time of day that the assessment item was presented to the learner.</t>
  </si>
  <si>
    <t>000958</t>
  </si>
  <si>
    <t>AssessmentItemResponseStartTime</t>
  </si>
  <si>
    <t>Assessment Item Response Status</t>
  </si>
  <si>
    <t>The status of the response for a given item.</t>
  </si>
  <si>
    <t>Additions to option set.</t>
  </si>
  <si>
    <t>000405</t>
  </si>
  <si>
    <t>AssessmentItemResponseStatus</t>
  </si>
  <si>
    <t>Assessment Item Response Theory DIF Value</t>
  </si>
  <si>
    <t>A value representing the Differential Item Functioning, also referred to as measurement bias, for the assessment item. The value represents differences in the functioning of the item across groups which are matched on the attribute being measure by the item. The value is calculated using Mantel-Haenszel approach or a comparable algorithm so that a value of 1.0 represents no bias.</t>
  </si>
  <si>
    <t>001264</t>
  </si>
  <si>
    <t>AssessmentItemResponseTheoryDIFValue</t>
  </si>
  <si>
    <t>Assessment Item Response Theory Kappa Algorithm</t>
  </si>
  <si>
    <t>The algorithm used to derive the Assessment Item Kappa Value</t>
  </si>
  <si>
    <t>001266</t>
  </si>
  <si>
    <t>AssessmentItemResponseTheoryKappaAlgorithm</t>
  </si>
  <si>
    <t>Assessment Item Response Theory Kappa Value</t>
  </si>
  <si>
    <t>The measure used to represent the degree of agreement among raters.</t>
  </si>
  <si>
    <t>001265</t>
  </si>
  <si>
    <t>AssessmentItemResponseTheoryKappaValue</t>
  </si>
  <si>
    <t>Assessment Item Response Theory Parameter A</t>
  </si>
  <si>
    <t>The Item Response Theory value representing the discrimination of the item. The a parameter is found by taking the slope of the line tangent to the item characteristic curve at the inflection point, B. The parameter is the steepness of the curve at its steepest point.</t>
  </si>
  <si>
    <t>001251</t>
  </si>
  <si>
    <t>AssessmentItemResponseTheoryParameterA</t>
  </si>
  <si>
    <t>Assessment Item Response Theory Parameter B</t>
  </si>
  <si>
    <t>The Item Response Theory value representing the difficulty of the item. It is the Theta value for the location of the inflection point of the item characteristic curve.</t>
  </si>
  <si>
    <t>001252</t>
  </si>
  <si>
    <t>AssessmentItemResponseTheoryParameterB</t>
  </si>
  <si>
    <t>Assessment Item Response Theory Parameter C</t>
  </si>
  <si>
    <t>The Item Response Theory value for multiple choice items representing the guessing of the item. The c parameter is a lower asymptote. It is the low point of the curve as it move to negative infinity on the horizontal axis. You can think of c as the probability that a chicken would get the item right.</t>
  </si>
  <si>
    <t>001254</t>
  </si>
  <si>
    <t>AssessmentItemResponseTheoryParameterC</t>
  </si>
  <si>
    <t>Assessment Item Response Theory Parameter D1</t>
  </si>
  <si>
    <t>For polytomous assessment items with more than two possible responses, this is the item response theory value representing the threshold between the first and second item characteristic functions.</t>
  </si>
  <si>
    <t>001255</t>
  </si>
  <si>
    <t>AssessmentItemResponseTheoryParameterD1</t>
  </si>
  <si>
    <t>Assessment Item Response Theory Parameter D2</t>
  </si>
  <si>
    <t>For polytomous assessment items with more than two possible responses, this is the item response theory value representing the threshold between the second and third item characteristic functions.</t>
  </si>
  <si>
    <t>001256</t>
  </si>
  <si>
    <t>AssessmentItemResponseTheoryParameterD2</t>
  </si>
  <si>
    <t>Assessment Item Response Theory Parameter D3</t>
  </si>
  <si>
    <t>For polytomous assessment items with more than three possible responses, this is the item response theory value representing the threshold between the third and fourth item characteristic functions.</t>
  </si>
  <si>
    <t>001257</t>
  </si>
  <si>
    <t>AssessmentItemResponseTheoryParameterD3</t>
  </si>
  <si>
    <t>Assessment Item Response Theory Parameter D4</t>
  </si>
  <si>
    <t>For polytomous assessment items with more than four possible responses, this is the item response theory value representing the threshold between the fourth and fifth item characteristic functions.</t>
  </si>
  <si>
    <t>001258</t>
  </si>
  <si>
    <t>AssessmentItemResponseTheoryParameterD4</t>
  </si>
  <si>
    <t>Assessment Item Response Theory Parameter D5</t>
  </si>
  <si>
    <t>For polytomous assessment items with more than five possible responses, this is the item response theory value representing the threshold between the fifth and sixth item characteristic functions.</t>
  </si>
  <si>
    <t>001259</t>
  </si>
  <si>
    <t>AssessmentItemResponseTheoryParameterD5</t>
  </si>
  <si>
    <t>Assessment Item Response Theory Parameter D6</t>
  </si>
  <si>
    <t>For polytomous assessment items with more than six possible responses, this is the item response theory value representing the threshold between the sixth and seventh item characteristic functions.</t>
  </si>
  <si>
    <t>001260</t>
  </si>
  <si>
    <t>AssessmentItemResponseTheoryParameterD6</t>
  </si>
  <si>
    <t>Assessment Item Response Theory Parameter Difficulty Category</t>
  </si>
  <si>
    <t>A category for the difficulty of the item based on the Item Response Theory value.</t>
  </si>
  <si>
    <t>001253</t>
  </si>
  <si>
    <t>AssessmentItemResponseTheoryParameterDifficultyCategory</t>
  </si>
  <si>
    <t>Assessment Item Response Theory Point Biserial Correlation Value</t>
  </si>
  <si>
    <t>The correlation between correct answers on this item and total correct answers on the test during a previous administration. </t>
  </si>
  <si>
    <t>Assessments -&gt; Assessment Item -&gt; Assessment Item Response Theory</t>
  </si>
  <si>
    <t>001262</t>
  </si>
  <si>
    <t>AssessmentItemResponseTheoryPointBiserialCorrelationValue</t>
  </si>
  <si>
    <t>Assessment Item Response Value</t>
  </si>
  <si>
    <t> A specific response to an assessment item by the person being assessed.</t>
  </si>
  <si>
    <t>001063</t>
  </si>
  <si>
    <t>AssessmentItemResponseValue</t>
  </si>
  <si>
    <t>Assessment Item Result XML</t>
  </si>
  <si>
    <t>The assessment item result formatted according to the IMS Global QTI Specification.</t>
  </si>
  <si>
    <t>See http://www.imsglobal.org/question/qtiv2p1/imsqti_resultv2p1.html#element10818</t>
  </si>
  <si>
    <t>001284</t>
  </si>
  <si>
    <t>AssessmentItemResultXML</t>
  </si>
  <si>
    <t>Assessment Item Stem</t>
  </si>
  <si>
    <t>The statement of the question or prompt for an Assessment Item to which the student responds.</t>
  </si>
  <si>
    <t>000400</t>
  </si>
  <si>
    <t>AssessmentItemStem</t>
  </si>
  <si>
    <t>Assessment Item Stimulus</t>
  </si>
  <si>
    <t>The text, source (e.g., video clip), and/or graphic about which the assessment item is written. The stimulus provides the context of the item/task to which the student must respond.</t>
  </si>
  <si>
    <t>001268</t>
  </si>
  <si>
    <t>AssessmentItemStimulus</t>
  </si>
  <si>
    <t>Assessment Item Text Complexity System</t>
  </si>
  <si>
    <t>The scaling system used to specify the text complexity of an assessment item.</t>
  </si>
  <si>
    <t>000907</t>
  </si>
  <si>
    <t>AssessmentItemTextComplexitySystem</t>
  </si>
  <si>
    <t>Assessment Item Text Complexity Value</t>
  </si>
  <si>
    <t>The complexity of the text using the scaling system defined by Text Complexity System, e.g. Lexile™ for assessment items with a reading passage.</t>
  </si>
  <si>
    <t>000906</t>
  </si>
  <si>
    <t>AssessmentItemTextComplexityValue</t>
  </si>
  <si>
    <t>Assessment Item Type</t>
  </si>
  <si>
    <t>The specific type of assessment item.</t>
  </si>
  <si>
    <t>000390</t>
  </si>
  <si>
    <t>AssessmentItemType</t>
  </si>
  <si>
    <t>Assessment Language</t>
  </si>
  <si>
    <t>The language in which the assessment form is designed to be delivered.</t>
  </si>
  <si>
    <t>See http://ceds.ed.gov/languageCodes.aspx</t>
  </si>
  <si>
    <t>001089</t>
  </si>
  <si>
    <t>AssessmentLanguage</t>
  </si>
  <si>
    <t>Assessment Level for Which Designed</t>
  </si>
  <si>
    <t>The typical grade or combination of grade-levels, developmental levels, or age-levels for which an assessment is designed.</t>
  </si>
  <si>
    <t>000177</t>
  </si>
  <si>
    <t>AssessmentLevelForWhichDesigned</t>
  </si>
  <si>
    <t>Assessment Need Alternative Representation Type</t>
  </si>
  <si>
    <t>Defines as part of an Assessment Personal Needs Profile the default presentation mode of the associated Alternative Representations accessibility.</t>
  </si>
  <si>
    <t>001041</t>
  </si>
  <si>
    <t>AssessmentNeedAlternativeRepresentationType</t>
  </si>
  <si>
    <t>Assessment Need Background Color</t>
  </si>
  <si>
    <t>This is the preferred Background color for screen enhancement defined as part of an Assessment Personal Needs Profile.</t>
  </si>
  <si>
    <t>Color hex code (alphanumeric - 6 characters)</t>
  </si>
  <si>
    <t>001053</t>
  </si>
  <si>
    <t>AssessmentNeedBackgroundColor</t>
  </si>
  <si>
    <t>Assessment Need Braille Dot Pressure</t>
  </si>
  <si>
    <t>Defines as part of an Assessment Personal Needs Profile the resistance pressure of Braille display pins.</t>
  </si>
  <si>
    <t>Numeric - up to four digits after decimal point</t>
  </si>
  <si>
    <t>001036</t>
  </si>
  <si>
    <t>AssessmentNeedBrailleDotPressure</t>
  </si>
  <si>
    <t>Assessment Need Braille Grade Type</t>
  </si>
  <si>
    <t>Defines as part of an Assessment Personal Needs Profile the grade of Braille to use when using a Braille display.</t>
  </si>
  <si>
    <t>001032</t>
  </si>
  <si>
    <t>AssessmentNeedBrailleGradeType</t>
  </si>
  <si>
    <t>Assessment Need Braille Mark Type</t>
  </si>
  <si>
    <t>Defines as part of an Assessment Personal Needs Profile what textual properties to mark when using a Braille display.</t>
  </si>
  <si>
    <t>001035</t>
  </si>
  <si>
    <t>AssessmentNeedBrailleMarkType</t>
  </si>
  <si>
    <t>Assessment Need Braille Status Cell Type</t>
  </si>
  <si>
    <t>Defines as part of an Assessment Personal Needs Profile the preferred presence or location of a Braille display status cell.</t>
  </si>
  <si>
    <t>001037</t>
  </si>
  <si>
    <t>AssessmentNeedBrailleStatusCellType</t>
  </si>
  <si>
    <t>Assessment Need Directions Only</t>
  </si>
  <si>
    <t>Defines as part of an Assessment Personal Needs Profile whether or not the verbal alternative content presentation should be applied to directive content only.</t>
  </si>
  <si>
    <t>001045</t>
  </si>
  <si>
    <t>AssessmentNeedDirectionsOnly</t>
  </si>
  <si>
    <t>Assessment Need Foreground Color</t>
  </si>
  <si>
    <t>This is the preferred Foreground color for screen enhancement defined as part of an Assessment Personal Needs Profile.</t>
  </si>
  <si>
    <t>001052</t>
  </si>
  <si>
    <t>AssessmentNeedForegroundColor</t>
  </si>
  <si>
    <t>Assessment Need Hazard Type</t>
  </si>
  <si>
    <t>Defines as part of an Assessment Personal Needs Profile a characteristic of a digital resource that may be specified as being dangerous to a user.</t>
  </si>
  <si>
    <t>001024</t>
  </si>
  <si>
    <t>AssessmentNeedHazardType</t>
  </si>
  <si>
    <t>Assessment Need Increased Whitespacing Type</t>
  </si>
  <si>
    <t>Defines the user preferences for white spacing in lines, words and characters as part of an Assessment Personal Needs Profile.</t>
  </si>
  <si>
    <t>001054</t>
  </si>
  <si>
    <t>AssessmentNeedIncreasedWhitespacingType</t>
  </si>
  <si>
    <t>Assessment Need Invert Color Choice</t>
  </si>
  <si>
    <t>Defines as part of an Assessment Personal Needs Profile the Access for All (AfA) preference to invert the foreground and background Colors.</t>
  </si>
  <si>
    <t>001030</t>
  </si>
  <si>
    <t>AssessmentNeedInvertColorChoice</t>
  </si>
  <si>
    <t>Assessment Need Item Translation Display Language Type</t>
  </si>
  <si>
    <t>Defines as part of an Assessment Personal Needs Profile the default language for the displayed translation.</t>
  </si>
  <si>
    <t>001038</t>
  </si>
  <si>
    <t>AssessmentNeedItemTranslationDisplayLanguageType</t>
  </si>
  <si>
    <t>Assessment Need Keyword Translation Language Type</t>
  </si>
  <si>
    <t>Defines as part of an Assessment Personal Needs Profile the default language for the keyword translation.</t>
  </si>
  <si>
    <t>001039</t>
  </si>
  <si>
    <t>AssessmentNeedKeywordTranslationLanguageType</t>
  </si>
  <si>
    <t>Assessment Need Language Type</t>
  </si>
  <si>
    <t>Defines as part of an Assessment Personal Needs Profile a preference for the language of the user interface.</t>
  </si>
  <si>
    <t>001023</t>
  </si>
  <si>
    <t>AssessmentNeedLanguageType</t>
  </si>
  <si>
    <t>Assessment Need Line Reader Highlight Color</t>
  </si>
  <si>
    <t>The color defined as part of an Assessment Personal Needs Profile to be used to highlight the point of line reader activity i.e. the line being read.</t>
  </si>
  <si>
    <t>001050</t>
  </si>
  <si>
    <t>AssessmentNeedLineReaderHighlightColor</t>
  </si>
  <si>
    <t>Assessment Need Link Indication Type</t>
  </si>
  <si>
    <t>Defines as part of an Assessment Personal Needs Profile the characteristics of presentation for a hyperlink when using a screen reader.</t>
  </si>
  <si>
    <t>001027</t>
  </si>
  <si>
    <t>AssessmentNeedLinkIndicationType</t>
  </si>
  <si>
    <t>Assessment Need Magnification</t>
  </si>
  <si>
    <t>Defines as part of an Assessment Personal Needs Profile the preferred magnification of the screen as a factor of a screen’s original size.</t>
  </si>
  <si>
    <t>001031</t>
  </si>
  <si>
    <t>AssessmentNeedMagnification</t>
  </si>
  <si>
    <t>Assessment Need Masking Type</t>
  </si>
  <si>
    <t>Specifies as part of an Assessment Personal Needs Profile the type of masks the user is able to create to cover portions of the question until needed.</t>
  </si>
  <si>
    <t>001046</t>
  </si>
  <si>
    <t>AssessmentNeedMaskingType</t>
  </si>
  <si>
    <t>Assessment Need Number of Braille Cells</t>
  </si>
  <si>
    <t>Defines as part of an Assessment Personal Needs Profile the number of active Braille cells in a Braille display.</t>
  </si>
  <si>
    <t>Numeric - integer greater than or equal to zero</t>
  </si>
  <si>
    <t>001034</t>
  </si>
  <si>
    <t>AssessmentNeedNumberOfBrailleCells</t>
  </si>
  <si>
    <t>Assessment Need Number of Braille Dots Type</t>
  </si>
  <si>
    <t>Defines as part of an Assessment Personal Needs Profile the number of dots in a Braille cell.</t>
  </si>
  <si>
    <t>001033</t>
  </si>
  <si>
    <t>AssessmentNeedNumberOfBrailleDotsType</t>
  </si>
  <si>
    <t>Assessment Need Overlay Color</t>
  </si>
  <si>
    <t>This is the preferred color for the overlay for screen enhancement defined as part of an Assessment Personal Needs Profile.</t>
  </si>
  <si>
    <t>001051</t>
  </si>
  <si>
    <t>AssessmentNeedOverlayColor</t>
  </si>
  <si>
    <t>Assessment Need Pitch</t>
  </si>
  <si>
    <t>Defines as part of an Assessment Personal Needs Profile the pitch of a speech synthesizer.</t>
  </si>
  <si>
    <t>001087</t>
  </si>
  <si>
    <t>AssessmentNeedPitch</t>
  </si>
  <si>
    <t>Assessment Need Read At Start Preference</t>
  </si>
  <si>
    <t>Used as part of an Assessment Personal Needs Profile to define if the spoken play-back should commence from the start of a recording or not.</t>
  </si>
  <si>
    <t>001043</t>
  </si>
  <si>
    <t>AssessmentNeedReadAtStartPreference</t>
  </si>
  <si>
    <t>Assessment Need Signing Type</t>
  </si>
  <si>
    <t>Defines as part of an Assessment Personal Needs Profile the type of signing preferred by the user.</t>
  </si>
  <si>
    <t>001040</t>
  </si>
  <si>
    <t>AssessmentNeedSigningType</t>
  </si>
  <si>
    <t>Assessment Need Sound File URL</t>
  </si>
  <si>
    <t>The URI of the sound file that is to be played to the user as an expression of encouragement when Masking is specified as part of an Assessment Personal Needs Profile. It is left to the system to determine when to play this audio file.</t>
  </si>
  <si>
    <t>001048</t>
  </si>
  <si>
    <t>AssessmentNeedSoundFileURL</t>
  </si>
  <si>
    <t>Assessment Need Speech Rate</t>
  </si>
  <si>
    <t>Defines as part of an Assessment Personal Needs Profile the rate of speech of a speech synthesizer.</t>
  </si>
  <si>
    <t>001028</t>
  </si>
  <si>
    <t>AssessmentNeedSpeechRate</t>
  </si>
  <si>
    <t>Assessment Need Spoken Source Preference Type</t>
  </si>
  <si>
    <t>Defines as part of an Assessment Personal Needs Profile the preferred spoken audio form.</t>
  </si>
  <si>
    <t>001042</t>
  </si>
  <si>
    <t>AssessmentNeedSpokenSourcePreferenceType</t>
  </si>
  <si>
    <t>Assessment Need Support Tool Type</t>
  </si>
  <si>
    <t>Defines as part of an Assessment Personal Needs Profile the electronic tool associated with a resource.</t>
  </si>
  <si>
    <t>001025</t>
  </si>
  <si>
    <t>AssessmentNeedSupportToolType</t>
  </si>
  <si>
    <t>Assessment Need Text Messaging String</t>
  </si>
  <si>
    <t>The text string that is to be displayed to the user as an expression of encouragement when Masking is specified as part of an Assessment Personal Needs Profile. It is left to the system to determine when to display this string.</t>
  </si>
  <si>
    <t>001047</t>
  </si>
  <si>
    <t>AssessmentNeedTextMessagingString</t>
  </si>
  <si>
    <t>Assessment Need Time Multiplier</t>
  </si>
  <si>
    <t>Defines the multiplier to be applied to the time limit to determine the total testing time allowed when Additional Testing Time is specified as part of an Assessment Personal Needs Profile. If the value is ‘unlimited’ then there is no time limit for the test.</t>
  </si>
  <si>
    <t>Alphanumeric - 9 characters maximum</t>
  </si>
  <si>
    <t>001049</t>
  </si>
  <si>
    <t>AssessmentNeedTimeMultiplier</t>
  </si>
  <si>
    <t>Assessment Need Type</t>
  </si>
  <si>
    <t>A type of need identified for a learner as part of an assessment need profile.</t>
  </si>
  <si>
    <t>001127</t>
  </si>
  <si>
    <t>AssessmentNeedType</t>
  </si>
  <si>
    <t>Assessment Need Usage Type</t>
  </si>
  <si>
    <t>Defines as part of an Assessment Personal Needs Profile the rating for the collection of Access for All (AfA) needs and preferences.</t>
  </si>
  <si>
    <t>001026</t>
  </si>
  <si>
    <t>AssessmentNeedUsageType</t>
  </si>
  <si>
    <t>Assessment Need User Spoken Preference Type</t>
  </si>
  <si>
    <t>Used as part of an Assessment Personal Needs Profile to define the type of material that should be rendered using the read aloud alternative content.</t>
  </si>
  <si>
    <t>001044</t>
  </si>
  <si>
    <t>AssessmentNeedUserSpokenPreferenceType</t>
  </si>
  <si>
    <t>Assessment Need Volume</t>
  </si>
  <si>
    <t>Defines as part of an Assessment Personal Needs Profile the volume of a speech synthesizer.</t>
  </si>
  <si>
    <t>001029</t>
  </si>
  <si>
    <t>AssessmentNeedVolume</t>
  </si>
  <si>
    <t>Assessment Objective</t>
  </si>
  <si>
    <t>This is the objective that the assessment is measuring.</t>
  </si>
  <si>
    <t>000382</t>
  </si>
  <si>
    <t>AssessmentObjective</t>
  </si>
  <si>
    <t>Assessment Participant Session Delivery Device Details</t>
  </si>
  <si>
    <t>The details about the device or platform by with which the assessment was delivered to the learner.</t>
  </si>
  <si>
    <t>For example web browser version and screen resolution.</t>
  </si>
  <si>
    <t>001003</t>
  </si>
  <si>
    <t>AssessmentParticipantSessionDeliveryDeviceDetails</t>
  </si>
  <si>
    <t>Assessment Participant Session Language</t>
  </si>
  <si>
    <t>The language that the assessment is administered.</t>
  </si>
  <si>
    <t>000371</t>
  </si>
  <si>
    <t>AssessmentParticipantSessionLanguage</t>
  </si>
  <si>
    <t>Assessment Participant Session Platform Type</t>
  </si>
  <si>
    <t>The platform with which the assessment was delivered to the student during the assessment session.</t>
  </si>
  <si>
    <t>000386</t>
  </si>
  <si>
    <t>AssessmentParticipantSessionPlatformType</t>
  </si>
  <si>
    <t>Assessment Participant Session Platform User Agent</t>
  </si>
  <si>
    <t>A list of product tokens (keywords) with optional comments that identifies the client hardware and software with which the assessment was delivered to the student during the assessment session.</t>
  </si>
  <si>
    <t>Alphanumeric - 512 characters maximum</t>
  </si>
  <si>
    <t>Implementation Note: The recommended approach is to store the User-Agent string returned as part of an HTTP header. For example, an assessment session delivery via iPad might have "Mozilla/5.0 (iPad; U; CPU OS 3_2_1 like Mac OS X; en-us) AppleWebKit/531.21.10 (KHTML, like Gecko) Mobile/7B405"</t>
  </si>
  <si>
    <t>001152</t>
  </si>
  <si>
    <t>AssessmentParticipantSessionPlatformUserAgent</t>
  </si>
  <si>
    <t>Assessment Participant Session Security Issue</t>
  </si>
  <si>
    <t>Describes an issue related to the security of a testing instrument identified during a specific instance of delivering an assessment to a specific person during a specific time period.</t>
  </si>
  <si>
    <t>001130</t>
  </si>
  <si>
    <t>AssessmentParticipantSessionSecurityIssue</t>
  </si>
  <si>
    <t>Assessment Participant Session Time Assessed</t>
  </si>
  <si>
    <t>The overall time a learner actually spent during the assessment session.</t>
  </si>
  <si>
    <t>000407</t>
  </si>
  <si>
    <t>AssessmentParticipantSessionTimeAssessed</t>
  </si>
  <si>
    <t>Assessment Performance Level Descriptive Feedback</t>
  </si>
  <si>
    <t>A feedback message designed to be reported with the assessment performance level.</t>
  </si>
  <si>
    <t>001218</t>
  </si>
  <si>
    <t>AssessmentPerformanceLevelDescriptiveFeedback</t>
  </si>
  <si>
    <t>Assessment Performance Level Identifier</t>
  </si>
  <si>
    <t>A unique number or alphanumeric code assigned to an assessment performance level.</t>
  </si>
  <si>
    <t>000717</t>
  </si>
  <si>
    <t>AssessmentPerformanceLevelIdentifier</t>
  </si>
  <si>
    <t>Assessment Performance Level Label</t>
  </si>
  <si>
    <t>A label representing the performance level appropriate for use on a report.</t>
  </si>
  <si>
    <t>Alphanumeric - 20 characters maximum</t>
  </si>
  <si>
    <t>000718</t>
  </si>
  <si>
    <t>AssessmentPerformanceLevelLabel</t>
  </si>
  <si>
    <t>Assessment Performance Level Lower Cut Score</t>
  </si>
  <si>
    <t>Lowest possible score for the performance level.</t>
  </si>
  <si>
    <t>000418</t>
  </si>
  <si>
    <t>AssessmentPerformanceLevelLowerCutScore</t>
  </si>
  <si>
    <t>Assessment Performance Level Score Metric</t>
  </si>
  <si>
    <t>The metric or scale used for score reporting.</t>
  </si>
  <si>
    <t>000417</t>
  </si>
  <si>
    <t>AssessmentPerformanceLevelScoreMetric</t>
  </si>
  <si>
    <t>Assessment Performance Level Upper Cut Score</t>
  </si>
  <si>
    <t>Highest possible score for the performance level.</t>
  </si>
  <si>
    <t>000419</t>
  </si>
  <si>
    <t>AssessmentPerformanceLevelUpperCutScore</t>
  </si>
  <si>
    <t>Assessment Personal Needs Profile Activate By Default</t>
  </si>
  <si>
    <t>Determines if the alternative accessible content is rendered as the default content for the learner.</t>
  </si>
  <si>
    <t>This flag may apply to any need within the Assessment Personal Need Profile.</t>
  </si>
  <si>
    <t>001005</t>
  </si>
  <si>
    <t>AssessmentPersonalNeedsProfileActivateByDefault</t>
  </si>
  <si>
    <t>Assessment Personal Needs Profile Assigned Support</t>
  </si>
  <si>
    <t>Defines whether or not the individual needs the kind of support defined by the entity.</t>
  </si>
  <si>
    <t>001004</t>
  </si>
  <si>
    <t>AssessmentPersonalNeedsProfileAssignedSupport</t>
  </si>
  <si>
    <t>Assessment Provider</t>
  </si>
  <si>
    <t>Identifies the provider or publisher of the assessment.</t>
  </si>
  <si>
    <t>AIF property</t>
  </si>
  <si>
    <t>001006</t>
  </si>
  <si>
    <t>AssessmentProvider</t>
  </si>
  <si>
    <t>Assessment Purpose</t>
  </si>
  <si>
    <t>The reason for which an assessment is designed or delivered.</t>
  </si>
  <si>
    <t>This element might have multiple occurrences associated with any one assessment.</t>
  </si>
  <si>
    <t>000026</t>
  </si>
  <si>
    <t>AssessmentPurpose</t>
  </si>
  <si>
    <t>Assessment Registration Assignor Identifier</t>
  </si>
  <si>
    <t>The unique identifier of the person who assigned the assessment to the learner.</t>
  </si>
  <si>
    <t>For example, the unique identifier of a classroom teacher or school principal.</t>
  </si>
  <si>
    <t>000889</t>
  </si>
  <si>
    <t>AssessmentRegistrationAssignorIdentifier</t>
  </si>
  <si>
    <t>Assessment Registration Creation Date</t>
  </si>
  <si>
    <t>Date/time assignment is made.</t>
  </si>
  <si>
    <t>YYYY-MM-DDTHH:MM:SS</t>
  </si>
  <si>
    <t>001017</t>
  </si>
  <si>
    <t>AssessmentRegistrationCreationDate</t>
  </si>
  <si>
    <t>Assessment Registration Days of Instruction</t>
  </si>
  <si>
    <t>The number of days of instruction the student has taken prior to testing.</t>
  </si>
  <si>
    <t>Numeric - integer greater than or equal to zero.</t>
  </si>
  <si>
    <t>001015</t>
  </si>
  <si>
    <t>AssessmentRegistrationDaysOfInstruction</t>
  </si>
  <si>
    <t>Assessment Registration Grade Level To Be Assessed</t>
  </si>
  <si>
    <t>The grade or level at which the learner is to be assessed.</t>
  </si>
  <si>
    <t>Name changed from Assessment Registration Grade Level When Assessed.</t>
  </si>
  <si>
    <t>Informs selection of the assessment form appropriate for the grade level to be tested.</t>
  </si>
  <si>
    <t>001057</t>
  </si>
  <si>
    <t>AssessmentRegistrationGradeLevelToBeAssessed</t>
  </si>
  <si>
    <t>Assessment Registration Participation Indicator</t>
  </si>
  <si>
    <t>An indication of whether a student participated in an assessment.</t>
  </si>
  <si>
    <t>000025</t>
  </si>
  <si>
    <t>AssessmentRegistrationParticipationIndicator</t>
  </si>
  <si>
    <t>Assessment Registration Reason Not Completing</t>
  </si>
  <si>
    <t>The primary reason a participant did not complete an assessment.</t>
  </si>
  <si>
    <t>This may apply to any learner, but is used particularly for reporting based on children with disabilities (IDEA).</t>
  </si>
  <si>
    <t>000540</t>
  </si>
  <si>
    <t>AssessmentRegistrationReasonNotCompleting</t>
  </si>
  <si>
    <t>Assessment Registration Retest Indicator</t>
  </si>
  <si>
    <t>Indicates if this registration is for a retest (retake). Retest can occur if a student failed a prior attempt and is eligible to retake. Other retest scenarios also can occur.</t>
  </si>
  <si>
    <t>001016</t>
  </si>
  <si>
    <t>AssessmentRegistrationRetestIndicator</t>
  </si>
  <si>
    <t>Assessment Registration Score Publish Date</t>
  </si>
  <si>
    <t>The date set by the testing program when the test scores are published. For formative or classroom assessments, this will likely be the date when the scored the individual test. For summative assessments, this date is likely set for a group of assessments when the processing system releases the scores.</t>
  </si>
  <si>
    <t>001056</t>
  </si>
  <si>
    <t>AssessmentRegistrationScorePublishDate</t>
  </si>
  <si>
    <t>Assessment Registration Test Attempt Identifier</t>
  </si>
  <si>
    <t>A unique identifier for the test attempt assigned by the delivery system.</t>
  </si>
  <si>
    <t>For paper-based tests this is typically a batch/stack/serial number and for online tests it is likely a unique internal identifier. Used to locate the original attempt.</t>
  </si>
  <si>
    <t>001162</t>
  </si>
  <si>
    <t>AssessmentRegistrationTestAttemptIdentifier</t>
  </si>
  <si>
    <t>Assessment Registration Testing Indicator</t>
  </si>
  <si>
    <t>Indicates rules about use of results based on Special Events before during or after the test. The option set values are determined by the testing program.</t>
  </si>
  <si>
    <t>For example, "do not score", "do not report".</t>
  </si>
  <si>
    <t>001055</t>
  </si>
  <si>
    <t>AssessmentRegistrationTestingIndicator</t>
  </si>
  <si>
    <t>Assessment Rubric Identifier</t>
  </si>
  <si>
    <t>An identifier assigned to a rubric.</t>
  </si>
  <si>
    <t>Name changed from Assessment Item Rubric Identifier.</t>
  </si>
  <si>
    <t>000422</t>
  </si>
  <si>
    <t>AssessmentRubricIdentifier</t>
  </si>
  <si>
    <t>Assessment Rubric Title</t>
  </si>
  <si>
    <t>The title of the rubric.</t>
  </si>
  <si>
    <t>Name changed from Assessment Item Rubric Name.</t>
  </si>
  <si>
    <t>000421</t>
  </si>
  <si>
    <t>AssessmentRubricTitle</t>
  </si>
  <si>
    <t>Assessment Rubric URL Reference</t>
  </si>
  <si>
    <t>The URL location where the rubric may be found.</t>
  </si>
  <si>
    <t>Name changed from Assessment Item Rubric URL Reference.</t>
  </si>
  <si>
    <t>000423</t>
  </si>
  <si>
    <t>AssessmentRubricURLReference</t>
  </si>
  <si>
    <t>Assessment Secure Indicator</t>
  </si>
  <si>
    <t>Indicates whether or not the assessment is a secure assessment.</t>
  </si>
  <si>
    <t>000384</t>
  </si>
  <si>
    <t>AssessmentSecureIndicator</t>
  </si>
  <si>
    <t>Assessment Session Actual End Date Time</t>
  </si>
  <si>
    <t>Date and time the assessment actually ended.</t>
  </si>
  <si>
    <t>When associated to an assessment session this is the actual end date and time. When associated to an individual taking an assessment, this is the actual date and time when the individual finished.</t>
  </si>
  <si>
    <t>001022</t>
  </si>
  <si>
    <t>AssessmentSessionActualEndDateTime</t>
  </si>
  <si>
    <t>Assessment Session Actual Start Date Time</t>
  </si>
  <si>
    <t>Date and time the assessment actually began.</t>
  </si>
  <si>
    <t>When associated to an assessment session this is the actual start date and time. When associated to an individual taking an assessment, this is the actual date and time when the individual started.</t>
  </si>
  <si>
    <t>001021</t>
  </si>
  <si>
    <t>AssessmentSessionActualStartDateTime</t>
  </si>
  <si>
    <t>Assessment Session Administrator Identifier</t>
  </si>
  <si>
    <t>The unique identifier of the person overseeing the administration of an assessment. This is typically at a district or school level or at an administrator at a testing facility.</t>
  </si>
  <si>
    <t>Alphanumeric - 50 characters maximum</t>
  </si>
  <si>
    <t>000410</t>
  </si>
  <si>
    <t>AssessmentSessionAdministratorIdentifier</t>
  </si>
  <si>
    <t>Assessment Session Allotted Time</t>
  </si>
  <si>
    <t>The duration of time allotted for the assessment session.</t>
  </si>
  <si>
    <t>000408</t>
  </si>
  <si>
    <t>AssessmentSessionAllottedTime</t>
  </si>
  <si>
    <t>Assessment Session Location</t>
  </si>
  <si>
    <t>The description of the place where an assessment is administered.</t>
  </si>
  <si>
    <t>Alphanumeric - 45 characters maximum</t>
  </si>
  <si>
    <t>000597</t>
  </si>
  <si>
    <t>AssessmentSessionLocation</t>
  </si>
  <si>
    <t>Assessment Session Proctor Identifier</t>
  </si>
  <si>
    <t>The unique identifier of the person overseeing the assessment session in the setting.</t>
  </si>
  <si>
    <t>This could be the identifier for a teacher, a paraprofessional or individual at a testing site.</t>
  </si>
  <si>
    <t>000411</t>
  </si>
  <si>
    <t>AssessmentSessionProctorIdentifier</t>
  </si>
  <si>
    <t>Assessment Session Scheduled End Date Time</t>
  </si>
  <si>
    <t>Date and time the assessment is scheduled to end.</t>
  </si>
  <si>
    <t>001020</t>
  </si>
  <si>
    <t>AssessmentSessionScheduledEndDateTime</t>
  </si>
  <si>
    <t>Assessment Session Scheduled Start Date Time</t>
  </si>
  <si>
    <t>Date and time the assessment is scheduled to begin.</t>
  </si>
  <si>
    <t>001019</t>
  </si>
  <si>
    <t>AssessmentSessionScheduledStartDateTime</t>
  </si>
  <si>
    <t>Assessment Session Security Issue</t>
  </si>
  <si>
    <t>The description of a security issue, if any, discovered for an administration of an assessment, such as suspected cheating by a student or a teacher changing answers after a student takes the test.</t>
  </si>
  <si>
    <t>000968</t>
  </si>
  <si>
    <t>AssessmentSessionSecurityIssue</t>
  </si>
  <si>
    <t>Assessment Session Special Circumstance Type</t>
  </si>
  <si>
    <t>An unusual event occurred during the administration of the assessment. This could include fire alarm, student became ill, etc.</t>
  </si>
  <si>
    <t>000389</t>
  </si>
  <si>
    <t>AssessmentSessionSpecialCircumstanceType</t>
  </si>
  <si>
    <t>Assessment Session Special Event Description</t>
  </si>
  <si>
    <t>Describes special events that occur before during or after the assessment session that may impact use of results according to rules related to the Assessment Registration Testing Indicator.</t>
  </si>
  <si>
    <t>001093</t>
  </si>
  <si>
    <t>AssessmentSessionSpecialEventDescription</t>
  </si>
  <si>
    <t>Assessment Session Staff Role Type</t>
  </si>
  <si>
    <t>The type of role served related to the administration of an assessment session.</t>
  </si>
  <si>
    <t>001212</t>
  </si>
  <si>
    <t>AssessmentSessionStaffRoleType</t>
  </si>
  <si>
    <t>Assessment Session Type</t>
  </si>
  <si>
    <t>The type of session that is scheduled.</t>
  </si>
  <si>
    <t>001018</t>
  </si>
  <si>
    <t>AssessmentSessionType</t>
  </si>
  <si>
    <t>Assessment Shared With Parents</t>
  </si>
  <si>
    <t>An indication of whether assessment results are shared with parents.</t>
  </si>
  <si>
    <t>Early Learning -&gt; EL Organization -&gt; Parental/Family Involvement</t>
  </si>
  <si>
    <t>000858</t>
  </si>
  <si>
    <t>AssessmentSharedWithParents</t>
  </si>
  <si>
    <t>Assessment Short Name</t>
  </si>
  <si>
    <t>An abbreviated title for an assessment.</t>
  </si>
  <si>
    <t>000931</t>
  </si>
  <si>
    <t>AssessmentShortName</t>
  </si>
  <si>
    <t>Assessment Subtest Abbreviation</t>
  </si>
  <si>
    <t>The shortened name identifying the assessment for use in reference and/or reports.</t>
  </si>
  <si>
    <t>000368</t>
  </si>
  <si>
    <t>AssessmentSubtestAbbreviation</t>
  </si>
  <si>
    <t>Assessment Subtest Description</t>
  </si>
  <si>
    <t>The description of the subtest (e.g., vocabulary, measurement, or geometry).</t>
  </si>
  <si>
    <t>000274</t>
  </si>
  <si>
    <t>AssessmentSubtestDescription</t>
  </si>
  <si>
    <t>Assessment Subtest Identifier</t>
  </si>
  <si>
    <t>A unique number or alphanumeric code assigned to an assessment subtest.</t>
  </si>
  <si>
    <t>000367</t>
  </si>
  <si>
    <t>AssessmentSubtestIdentifier</t>
  </si>
  <si>
    <t>Assessment Subtest Identifier Type</t>
  </si>
  <si>
    <t>The type of identifier that is provided for a Subtest.</t>
  </si>
  <si>
    <t>001014</t>
  </si>
  <si>
    <t>AssessmentSubtestIdentifierType</t>
  </si>
  <si>
    <t>Assessment Subtest Maximum Value</t>
  </si>
  <si>
    <t>The maximum value for the measurement.</t>
  </si>
  <si>
    <t>000396</t>
  </si>
  <si>
    <t>AssessmentSubtestMaximumValue</t>
  </si>
  <si>
    <t>Assessment Subtest Minimum Value</t>
  </si>
  <si>
    <t>The minimum value possible for the measurement.</t>
  </si>
  <si>
    <t>000395</t>
  </si>
  <si>
    <t>AssessmentSubtestMinimumValue</t>
  </si>
  <si>
    <t>Assessment Subtest Optimal Value</t>
  </si>
  <si>
    <t>The optimal value for this measurement.</t>
  </si>
  <si>
    <t>The Optimal Value may be the same as the Maximum Value, the Minimum Value, or something in between.</t>
  </si>
  <si>
    <t>000397</t>
  </si>
  <si>
    <t>AssessmentSubtestScaleOptimalValue</t>
  </si>
  <si>
    <t>Assessment Subtest Published Date</t>
  </si>
  <si>
    <t>The date on which the Subtest was published.</t>
  </si>
  <si>
    <t>001091</t>
  </si>
  <si>
    <t>AssessmentSubtestPublishedDate</t>
  </si>
  <si>
    <t>Assessment Subtest Result Date Created</t>
  </si>
  <si>
    <t>The date on which the assessment subtest result was generated.</t>
  </si>
  <si>
    <t>000971</t>
  </si>
  <si>
    <t>AssessmentSubtestResultDateCreated</t>
  </si>
  <si>
    <t>Assessment Subtest Result Date Updated</t>
  </si>
  <si>
    <t>The most recent date that the subtest result was calculated/updated. The value should be the same as Assessment Subtest Result Date Created if the subtest has only been scored once, but may be different if the score was recalculated with a different result.</t>
  </si>
  <si>
    <t>This flag is to handle cases when a subtest result is originally scored using incorrect parameters and then rescored, such as if the grade level attributed to the student was originally encoded incorrectly and later corrected. An operational system may also capture the history of if rescored more than once.</t>
  </si>
  <si>
    <t>000970</t>
  </si>
  <si>
    <t>AssessmentSubtestResultDateUpdated</t>
  </si>
  <si>
    <t>Assessment Subtest Result Descriptive Feedback</t>
  </si>
  <si>
    <t>The formative descriptive feedback that was given to a learner based on a scored/evaluated portion of an assessment as recorded in the Subtest Result entity.</t>
  </si>
  <si>
    <t>000890</t>
  </si>
  <si>
    <t>AssessmentSubtestResultDescriptiveFeedback</t>
  </si>
  <si>
    <t>Assessment Subtest Result Descriptive Feedback Source</t>
  </si>
  <si>
    <t>Identifies the source of the descriptive feedback that was given to a learner based on a scored/evaluated portion of an assessment. May indicate if this is teacher, scorer, or system generated feedback. Values for this attribute would be determined by the assessment program.</t>
  </si>
  <si>
    <t>001092</t>
  </si>
  <si>
    <t>AssessmentSubtestResultDescriptiveFeedbackSource</t>
  </si>
  <si>
    <t>Assessment Subtest Result Diagnostic Statement</t>
  </si>
  <si>
    <t>A statement intended for use by education professionals, using professional terminology, to interpret learner needs based on the scored/evaluated portion of an assessment. This statement may inform Descriptive Feedback given to the learner.</t>
  </si>
  <si>
    <t>001219</t>
  </si>
  <si>
    <t>AssessmentSubtestResultDiagnosticStatement</t>
  </si>
  <si>
    <t>Assessment Subtest Result Included in Adequate Yearly Progress Calculation</t>
  </si>
  <si>
    <t>An indication of whether a proficiency score on the state assessment was included in the state’s calculation of adequate yearly progress (AYP).</t>
  </si>
  <si>
    <t>K12 -&gt; Assessments -&gt; Assessment Subtest Result</t>
  </si>
  <si>
    <t>000576</t>
  </si>
  <si>
    <t>Assessment Subtest Result Included in AYP Calculation</t>
  </si>
  <si>
    <t>AssessmentSubtestResultIncludeIinAYPCalculation</t>
  </si>
  <si>
    <t>Assessment Subtest Result Number of Responses</t>
  </si>
  <si>
    <t>The number of responses that are included with the Student Score Set. Responses are those items that were attempted (partially or fully answered) by the student and not necessarily the number of items in the sub test (which can be determined from the sub test object).</t>
  </si>
  <si>
    <t>001009</t>
  </si>
  <si>
    <t>AssessmentSubtestResultNumberOfResponses</t>
  </si>
  <si>
    <t>Assessment Subtest Result Preliminary Indicator</t>
  </si>
  <si>
    <t>If this score is preliminary, then this attribute value should be set. Preliminary scores may be provided for early use by the assessment program or user while final scoring is occurring.</t>
  </si>
  <si>
    <t>001007</t>
  </si>
  <si>
    <t>AssessmentSubtestResultPreliminaryIndicator</t>
  </si>
  <si>
    <t>Assessment Subtest Result Pretest Outcome</t>
  </si>
  <si>
    <t>The results of a pre-test in academic subjects.</t>
  </si>
  <si>
    <t>000572</t>
  </si>
  <si>
    <t>AssessmentSubtestResultPretestOutcome</t>
  </si>
  <si>
    <t>Assessment Subtest Result Score Value</t>
  </si>
  <si>
    <t>A meaningful raw score, derived score, or statistical expression of the performance of a person on an assessment. The type of result is indicated by the Metric Type element. The results can be expressed as a number, percentile, range, level, etc. The score relates to all scored items or a sub test scoring one aspect of performance on the test. This value may or may not correspond to one or more Performance Levels.</t>
  </si>
  <si>
    <t>Alphanumeric - 35 characters maximum</t>
  </si>
  <si>
    <t>000245</t>
  </si>
  <si>
    <t>AssessmentSubtestResultScoreValue</t>
  </si>
  <si>
    <t>Assessment Subtest Rules</t>
  </si>
  <si>
    <t>A description of the rules to produce a student test/subtest score from for a grouping of student item scores.</t>
  </si>
  <si>
    <t>000719</t>
  </si>
  <si>
    <t>AssessmentSubtestRules</t>
  </si>
  <si>
    <t>Assessment Subtest Score Metric Type</t>
  </si>
  <si>
    <t>The specific method used to report the performance and achievement of the assessment. This is the metric that is being used to derive the scores.</t>
  </si>
  <si>
    <t>000369</t>
  </si>
  <si>
    <t>AssessmentSubtestScoreMetricType</t>
  </si>
  <si>
    <t>Assessment Subtest Title</t>
  </si>
  <si>
    <t>The name or title of the subtest.</t>
  </si>
  <si>
    <t>000275</t>
  </si>
  <si>
    <t>AssessmentSubtestTitle</t>
  </si>
  <si>
    <t>Assessment Subtest Version</t>
  </si>
  <si>
    <t>The version of the subtest that is included for the assessment.</t>
  </si>
  <si>
    <t>000388</t>
  </si>
  <si>
    <t>AssessmentSubtestVersion</t>
  </si>
  <si>
    <t>Assessment Title</t>
  </si>
  <si>
    <t>The title or name of the assessment.</t>
  </si>
  <si>
    <t>000028</t>
  </si>
  <si>
    <t>AssessmentTitle</t>
  </si>
  <si>
    <t>Assessment Type</t>
  </si>
  <si>
    <t>The category of an assessment based on format and content.</t>
  </si>
  <si>
    <t>000029</t>
  </si>
  <si>
    <t>AssessmentType</t>
  </si>
  <si>
    <t>Assessment Type Administered to Children With Disabilities</t>
  </si>
  <si>
    <t>The types of assessments administered to children with disabilities.</t>
  </si>
  <si>
    <t>000415</t>
  </si>
  <si>
    <t>AssessmentTypeAdministeredToChildrenWithDisabilities</t>
  </si>
  <si>
    <t>Assignment End Date</t>
  </si>
  <si>
    <t>The last year, month and day on which the assignment is valid.</t>
  </si>
  <si>
    <t>000527</t>
  </si>
  <si>
    <t>AssignmentEndDate</t>
  </si>
  <si>
    <t>Assignment Start Date</t>
  </si>
  <si>
    <t>The year, month and day from which the assignment is valid.</t>
  </si>
  <si>
    <t>000526</t>
  </si>
  <si>
    <t>AssignmentStartDate</t>
  </si>
  <si>
    <t>Attendance Event Type</t>
  </si>
  <si>
    <t>The type of attendance event.</t>
  </si>
  <si>
    <t>000601</t>
  </si>
  <si>
    <t>AttendanceEventType</t>
  </si>
  <si>
    <t>Attendance Status</t>
  </si>
  <si>
    <t>The status of a person's attendance associated with an Attendance Event Type, Calendar Event Date, in an organization-person-role context.</t>
  </si>
  <si>
    <t>Changed name from Daily Attendance Status. Definition and option set altered to allow use beyond just students.</t>
  </si>
  <si>
    <t>000076</t>
  </si>
  <si>
    <t>AttendanceStatus</t>
  </si>
  <si>
    <t>Authentication Identity Provider End Date</t>
  </si>
  <si>
    <t>The date after which the an associated person is no longer allowed to use the specified Authentication Identity Provider to authenticate identity.</t>
  </si>
  <si>
    <t>Authentication and Authorization -&gt; Authentication Identity Provider (added)</t>
  </si>
  <si>
    <t>001172</t>
  </si>
  <si>
    <t>AuthenticationIdentityProviderEndDate</t>
  </si>
  <si>
    <t>Authentication Identity Provider Login Identifier</t>
  </si>
  <si>
    <t>The login identifier for the person for the specified Authentication Identity Provider.</t>
  </si>
  <si>
    <t>001170</t>
  </si>
  <si>
    <t>AuthenticationIdentityProviderLoginIdentifier</t>
  </si>
  <si>
    <t>Authentication Identity Provider Name</t>
  </si>
  <si>
    <t>The name of a provider that can authenticate the identity of an person.</t>
  </si>
  <si>
    <t>001168</t>
  </si>
  <si>
    <t>AuthenticationIdentityProviderName</t>
  </si>
  <si>
    <t>Authentication Identity Provider Start Date</t>
  </si>
  <si>
    <t>The date on which the an associated person may begin to use the specified Authentication Identity Provider to authenticate identity.</t>
  </si>
  <si>
    <t>001171</t>
  </si>
  <si>
    <t>AuthenticationIdentityProviderStartDate</t>
  </si>
  <si>
    <t>Authentication Identity Provider URI</t>
  </si>
  <si>
    <t>The Uniform Resource Identifier (URI) of the Authentication Identity Provider.</t>
  </si>
  <si>
    <t>001169</t>
  </si>
  <si>
    <t>AuthenticationIdentityProviderURI</t>
  </si>
  <si>
    <t>Authorization Application Name</t>
  </si>
  <si>
    <t>The name of a data system or application which an authenticated person may access.</t>
  </si>
  <si>
    <t>Authentication and Authorization -&gt; Authorization Application (added)</t>
  </si>
  <si>
    <t>Alphanumeric - 120 characters maximum</t>
  </si>
  <si>
    <t>001173</t>
  </si>
  <si>
    <t>AuthorizationApplicationName</t>
  </si>
  <si>
    <t>Authorization Application Role Name</t>
  </si>
  <si>
    <t>The user role for which the person is allowed.</t>
  </si>
  <si>
    <t>001175</t>
  </si>
  <si>
    <t>AuthorizationApplicationRoleName</t>
  </si>
  <si>
    <t>Authorization Application URI</t>
  </si>
  <si>
    <t>The Uniform Resource Identifier (URI) of a data system or application which an authenticated person may access.</t>
  </si>
  <si>
    <t>001174</t>
  </si>
  <si>
    <t>AuthorizationApplicationURI</t>
  </si>
  <si>
    <t>Authorization End Date</t>
  </si>
  <si>
    <t>The date after which the an associated person is no longer allowed to use the application with the specified role.</t>
  </si>
  <si>
    <t>001177</t>
  </si>
  <si>
    <t>AuthorizationEndDate</t>
  </si>
  <si>
    <t>Authorization Start Date</t>
  </si>
  <si>
    <t>The date on which the an associated person is authorized to start using the application with the specified role.</t>
  </si>
  <si>
    <t>001176</t>
  </si>
  <si>
    <t>AuthorizationStartDate</t>
  </si>
  <si>
    <t>Available Carnegie Unit Credit</t>
  </si>
  <si>
    <t>Measured in Carnegie units, the amount of credit available to a student who successfully meets the objectives of the course. A course meeting every day for one period of the school day over the span of a school year offers one Carnegie unit. A Carnegie unit is thus a measure of "seat time" rather than a measure of attainment of the course objectives.</t>
  </si>
  <si>
    <t>Numeric - up to 2 digits after decimal place</t>
  </si>
  <si>
    <t>000030</t>
  </si>
  <si>
    <t>AvailableCarnegieUnitCredit</t>
  </si>
  <si>
    <t>Awaiting Initial IDEA Evaluation Status</t>
  </si>
  <si>
    <t>Awaiting initial evaluation for special education programs and related services under the Individuals with Disabilities Education Act (IDEA).</t>
  </si>
  <si>
    <t>K12 -&gt; K12 Student -&gt; Disability</t>
  </si>
  <si>
    <t>000031</t>
  </si>
  <si>
    <t>AwaitingInitialIDEAEvaluationStatus</t>
  </si>
  <si>
    <t>Barrier to Educating Homeless</t>
  </si>
  <si>
    <t>Barriers to the enrollment and success of homeless children and youths.</t>
  </si>
  <si>
    <t>K12 -&gt; LEA -&gt; Program Specific Federal Reporting</t>
  </si>
  <si>
    <t>000449</t>
  </si>
  <si>
    <t>BarrierToEducatingHomeless</t>
  </si>
  <si>
    <t>Birthdate</t>
  </si>
  <si>
    <t>The year, month and day on which a person was born.</t>
  </si>
  <si>
    <t>000033</t>
  </si>
  <si>
    <t>Birthdate Verification</t>
  </si>
  <si>
    <t>The evidence by which a child's date of birth is confirmed.</t>
  </si>
  <si>
    <t>K12 -&gt; K12 Student -&gt; Migrant</t>
  </si>
  <si>
    <t>K-12 -&gt; Migrant Student Data Exchange</t>
  </si>
  <si>
    <t>000428</t>
  </si>
  <si>
    <t>BirthdateVerification</t>
  </si>
  <si>
    <t>Black or African American</t>
  </si>
  <si>
    <t>A person having origins in any of the black racial groups of Africa.</t>
  </si>
  <si>
    <t>000034</t>
  </si>
  <si>
    <t>BlackOrAfricanAmerican</t>
  </si>
  <si>
    <t>Blended Learning Model Type</t>
  </si>
  <si>
    <t>A type of formal education program in which a student learns at least in part through online learning, with some element of student control over time, place, path, and/or pace; at least in part in a supervised brick-and-mortar location away from home; and the modalities along each student’s learning path within a course or subject are connected to provide an integrated learning experience.</t>
  </si>
  <si>
    <t>This may be an attribute of a Course (as designed) or a Class Section (as delivered). It also may be attributed to a school, institution, or program for "whole-school" blended models. Options and definition adapted from: http://www.christenseninstitute.org/blended-learning-model-definitions/</t>
  </si>
  <si>
    <t>001287</t>
  </si>
  <si>
    <t>BlendedLearningModelType</t>
  </si>
  <si>
    <t>Board Charges</t>
  </si>
  <si>
    <t>The charges assessed students for an academic year for the maximum meal plan available.</t>
  </si>
  <si>
    <t>Postsecondary -&gt; PS Institution -&gt; IPEDS Reporting</t>
  </si>
  <si>
    <t>Postsecondary Education -&gt; IPEDS -&gt; IC-Price of Attendance</t>
  </si>
  <si>
    <t>000750</t>
  </si>
  <si>
    <t>BoardCharges</t>
  </si>
  <si>
    <t>Books and Supplies Costs</t>
  </si>
  <si>
    <t>The average cost for books and supplies for a typical student for an entire academic year (or program). Does not include unusual costs for special groups of students (e.g., engineering or art majors) unless they constitute the majority of students at an institution.</t>
  </si>
  <si>
    <t>000751</t>
  </si>
  <si>
    <t>BooksAndSuppliesCosts</t>
  </si>
  <si>
    <t>Building Site Number</t>
  </si>
  <si>
    <t>The number of the building on the site, if more than one building shares the same address.</t>
  </si>
  <si>
    <t>K12 -&gt; K12 School -&gt; Address</t>
  </si>
  <si>
    <t>000602</t>
  </si>
  <si>
    <t>BuildingSiteNumber</t>
  </si>
  <si>
    <t>Building Use Type</t>
  </si>
  <si>
    <t>How a building is principally used, regardless of its original design.</t>
  </si>
  <si>
    <t>K12 -&gt; Facility</t>
  </si>
  <si>
    <t>001206</t>
  </si>
  <si>
    <t>BuildingUseType</t>
  </si>
  <si>
    <t>Calendar Code</t>
  </si>
  <si>
    <t>A unique number assigned by a school district to a school calendar.</t>
  </si>
  <si>
    <t>000494</t>
  </si>
  <si>
    <t>CalendarCode</t>
  </si>
  <si>
    <t>Calendar Description</t>
  </si>
  <si>
    <t>A description or identification of the calendar.</t>
  </si>
  <si>
    <t>000495</t>
  </si>
  <si>
    <t>CalendarDescription</t>
  </si>
  <si>
    <t>Calendar Event Date</t>
  </si>
  <si>
    <t>The date of the scheduled or unscheduled event.</t>
  </si>
  <si>
    <t>Definition did not fit Attendance use case or staff attendance/leave event date. Changed for broader applicability.</t>
  </si>
  <si>
    <t>001275</t>
  </si>
  <si>
    <t>CalendarEventDate</t>
  </si>
  <si>
    <t>Calendar Event Day Name</t>
  </si>
  <si>
    <t>A name used for the day of the calendar event.</t>
  </si>
  <si>
    <t>K12 -&gt; Calendar -&gt; Event</t>
  </si>
  <si>
    <t>001276</t>
  </si>
  <si>
    <t>CalendarEventDayName</t>
  </si>
  <si>
    <t>Calendar Event Type</t>
  </si>
  <si>
    <t>The type of scheduled or unscheduled event that causes interruption in direct instruction.</t>
  </si>
  <si>
    <t>000603</t>
  </si>
  <si>
    <t>CalendarEventType</t>
  </si>
  <si>
    <t>Campus Residency Type</t>
  </si>
  <si>
    <t>A person's residency arrangement as defined in the Free Application for Federal Student Aid (FAFSA).</t>
  </si>
  <si>
    <t>Postsecondary -&gt; PS Student -&gt; Demographic</t>
  </si>
  <si>
    <t>Postsecondary Education -&gt; IPEDS</t>
  </si>
  <si>
    <t>000035</t>
  </si>
  <si>
    <t>CampusResidencyType</t>
  </si>
  <si>
    <t>Cardiopulmonary Resuscitation Certification Expiration Date</t>
  </si>
  <si>
    <t>The date an individual's cardiopulmonary resuscitation (CPR) training certification expires.</t>
  </si>
  <si>
    <t>Early Learning -&gt; EL Staff -&gt; Professional Development</t>
  </si>
  <si>
    <t>001059</t>
  </si>
  <si>
    <t>CPR Certification Expiration Date</t>
  </si>
  <si>
    <t>CPRCertificationExpirationDate</t>
  </si>
  <si>
    <t>Career and Technical Education Completer</t>
  </si>
  <si>
    <t>An indication of a student who reached a state-defined threshold of career and technical education and who attained a high school diploma or its recognized state equivalent or GED.</t>
  </si>
  <si>
    <t>000036</t>
  </si>
  <si>
    <t>CTE Completer</t>
  </si>
  <si>
    <t>CTECompleter</t>
  </si>
  <si>
    <t>Career and Technical Education Concentrator</t>
  </si>
  <si>
    <t>An indication of a student who has met the state-defined threshold of career and technical education concentrators, as defined in the State's approved Perkins IV State Plan.</t>
  </si>
  <si>
    <t>000037</t>
  </si>
  <si>
    <t>CTE Concentrator</t>
  </si>
  <si>
    <t>CTEConcentrator</t>
  </si>
  <si>
    <t>Career and Technical Education Graduation Rate Inclusion</t>
  </si>
  <si>
    <t>An indication of how CTE concentrators are included in the state's computation of its graduation rate.</t>
  </si>
  <si>
    <t>K12 -&gt; SEA -&gt; Accountability</t>
  </si>
  <si>
    <t>000075</t>
  </si>
  <si>
    <t>CTE Graduation Rate Inclusion</t>
  </si>
  <si>
    <t>CTEGraduationRateInclusion</t>
  </si>
  <si>
    <t>Career and Technical Education Instructor Industry Certification</t>
  </si>
  <si>
    <t>An indication of whether a Career and Technical Education (CTE) instructor holds a current industry-recognized credential related to their teaching field.</t>
  </si>
  <si>
    <t>001318</t>
  </si>
  <si>
    <t>CTE Instructor Industry Certification</t>
  </si>
  <si>
    <t>CTEInstructorIndustryCertification</t>
  </si>
  <si>
    <t>Career and Technical Education Nontraditional Completion</t>
  </si>
  <si>
    <t>An indication that the CTE student has completed a CTE program in a nontraditional field (where one gender comprises less than 25 percent of the persons employed in those occupations or fields of work).</t>
  </si>
  <si>
    <t>000593</t>
  </si>
  <si>
    <t>CTE Nontraditional Completion</t>
  </si>
  <si>
    <t>CTENontraditionalCompletion</t>
  </si>
  <si>
    <t>Career and Technical Education Participant</t>
  </si>
  <si>
    <t>An indication a student has met the state-defined threshold of Career and Technical Education participation as defined in the State's approved Perkins IV State Plan.</t>
  </si>
  <si>
    <t>000592</t>
  </si>
  <si>
    <t>CTE Participant</t>
  </si>
  <si>
    <t>CTEParticipant</t>
  </si>
  <si>
    <t>Career Cluster</t>
  </si>
  <si>
    <t>The career cluster that defines the industry or occupational focus which may be associated with a career pathways program, plan of study, or course.</t>
  </si>
  <si>
    <t>Options from O*NET OnLine an application that was created for the general public to provide broad access to the O*NET database of occupational information. O*NET OnLine offers a variety of search options and occupational data, while My Next Move is a streamlined application for students and job seekers. Both applications were developed for the U.S. Department of Labor by the National Center for O*NET Development. See onetonline.org for more information.</t>
  </si>
  <si>
    <t>001288</t>
  </si>
  <si>
    <t>CareerCluster</t>
  </si>
  <si>
    <t>Career Education Plan Date</t>
  </si>
  <si>
    <t>The date on which a student's career plan was last updated</t>
  </si>
  <si>
    <t>001289</t>
  </si>
  <si>
    <t>CareerEducationPlanDate</t>
  </si>
  <si>
    <t>Career Education Plan Type</t>
  </si>
  <si>
    <t>An indicator of whether a student completed an individualized guidance and counseling plan.</t>
  </si>
  <si>
    <t>001290</t>
  </si>
  <si>
    <t>CareerEducationPlanType</t>
  </si>
  <si>
    <t>Career Pathways Program Participation Indicator</t>
  </si>
  <si>
    <t>An indication of an adult education student who is participating in a program that is a component of or leads to a specific or recognized career pathway as defined by the state.</t>
  </si>
  <si>
    <t>001291</t>
  </si>
  <si>
    <t>CareerPathwaysProgramParticipationIndicator</t>
  </si>
  <si>
    <t>Career Technical Education Nontraditional Gender Status</t>
  </si>
  <si>
    <t>An indication of whether CTE participants were members of an underrepresented gender group (where one gender comprises less than 25 percent of the persons employed in those occupations or field of work).</t>
  </si>
  <si>
    <t>000588</t>
  </si>
  <si>
    <t>CTE Nontraditional Gender Status</t>
  </si>
  <si>
    <t>CTENontraditionalGenderStatus</t>
  </si>
  <si>
    <t>Career-Technical-Adult Education Displaced Homemaker Indicator</t>
  </si>
  <si>
    <t>A person who ; (A) (i) has worked primarily without remuneration to care for a home and family, and for that reason has diminished marketable skills; (ii) has been dependent on the income of another family member but is no longer supported by that income; or (iii) is a parent whose youngest dependent child will become ineligible to receive assistance under part A of title IV of the Social Security Act (42 U.S.C. 601 et seq.) not later than 2 years after the date on which the parent applies for assistance under such title; and (B) is unemployed or underemployed and is experiencing difficulty in obtaining or upgrading employment.</t>
  </si>
  <si>
    <t>000084</t>
  </si>
  <si>
    <t>CTE-AE Displaced Homemaker Indicator</t>
  </si>
  <si>
    <t>CTE-AE-DisplacedHomemakerIndicator</t>
  </si>
  <si>
    <t>Carnegie Basic Classification</t>
  </si>
  <si>
    <t>The Basic Classification is an update of the traditional classification framework developed by the Carnegie Commission on Higher Education in 1970 to support its research program, and later published in 1973 for use by other researchers.</t>
  </si>
  <si>
    <t>Postsecondary -&gt; PS Institution -&gt; Directory</t>
  </si>
  <si>
    <t>Option set changed</t>
  </si>
  <si>
    <t>000038</t>
  </si>
  <si>
    <t>CarnegieBasicClassification</t>
  </si>
  <si>
    <t>Charter School Approval Agency Type</t>
  </si>
  <si>
    <t>The type of agency that approved the establishment or continuation of a charter school.</t>
  </si>
  <si>
    <t>001292</t>
  </si>
  <si>
    <t>CharterSchoolApprovalAgencyType</t>
  </si>
  <si>
    <t>Charter School Approval Year</t>
  </si>
  <si>
    <t>The school year in which a charter school was initially approved.</t>
  </si>
  <si>
    <t>YYYY-YYYY</t>
  </si>
  <si>
    <t>001293</t>
  </si>
  <si>
    <t>CharterSchoolApprovalYear</t>
  </si>
  <si>
    <t>Charter School Indicator</t>
  </si>
  <si>
    <t>A school or agency providing free public elementary or secondary education to eligible students under a specific charter granted by the state legislature or other appropriate authority and designated by such authority to be a charter school.</t>
  </si>
  <si>
    <t>000039</t>
  </si>
  <si>
    <t>CharterSchoolIndicator</t>
  </si>
  <si>
    <t>Charter School Type</t>
  </si>
  <si>
    <t>The category of charter school.</t>
  </si>
  <si>
    <t>000710</t>
  </si>
  <si>
    <t>CharterSchoolType</t>
  </si>
  <si>
    <t>Child Development Associate Type</t>
  </si>
  <si>
    <t>Type of Child Development Associate credential as defined by options.</t>
  </si>
  <si>
    <t>Early Learning -&gt; EL Staff -&gt; License</t>
  </si>
  <si>
    <t>000806</t>
  </si>
  <si>
    <t>CDA Type</t>
  </si>
  <si>
    <t>ChildDevelopmentAssociateType</t>
  </si>
  <si>
    <t>Child Identification System</t>
  </si>
  <si>
    <t>A coding scheme that is used for identification and record-keeping purposes by programs, schools, social services, or other agencies to refer to a child.</t>
  </si>
  <si>
    <t>Early Learning -&gt; EL Child -&gt; Identity -&gt; Identification</t>
  </si>
  <si>
    <t>000785</t>
  </si>
  <si>
    <t>ChildIdentificationSystem</t>
  </si>
  <si>
    <t>Child Identifier</t>
  </si>
  <si>
    <t>A unique number or alphanumeric code assigned to a child by a school, school system, a state, or other agency or entity.</t>
  </si>
  <si>
    <t>001080</t>
  </si>
  <si>
    <t>ChildIdentifier</t>
  </si>
  <si>
    <t>Child Outcomes Summary Progress A Indicator</t>
  </si>
  <si>
    <t>Indicates that the child demonstrates progress in positive social-emotional skills (including social relationships).</t>
  </si>
  <si>
    <t>Early Learning -&gt; EL Child -&gt; Child Outcome Summary</t>
  </si>
  <si>
    <t>001504</t>
  </si>
  <si>
    <t>COS Progress A Indicator</t>
  </si>
  <si>
    <t>COSProgressAIndicator</t>
  </si>
  <si>
    <t>Child Outcomes Summary Progress B Indicator</t>
  </si>
  <si>
    <t>Indicates that the child demonstrates progress in acquisition and use of knowledge and skills (including early language/communication.</t>
  </si>
  <si>
    <t>001505</t>
  </si>
  <si>
    <t>COS Progress B Indicator</t>
  </si>
  <si>
    <t>COSProgressBIndicator</t>
  </si>
  <si>
    <t>Child Outcomes Summary Progress C Indicator</t>
  </si>
  <si>
    <t>Indicates that the child demonstrates progress in use of appropriate behaviors to meet their needs.</t>
  </si>
  <si>
    <t>001506</t>
  </si>
  <si>
    <t>COS Progress C Indicator</t>
  </si>
  <si>
    <t>COSProgressCIndicator</t>
  </si>
  <si>
    <t>Child Outcomes Summary Rating A</t>
  </si>
  <si>
    <t>Child's level of functioning in positive social-emotional skills (including social relationships).</t>
  </si>
  <si>
    <t>001507</t>
  </si>
  <si>
    <t>COS Rating A</t>
  </si>
  <si>
    <t>COSRatingA</t>
  </si>
  <si>
    <t>Child Outcomes Summary Rating B</t>
  </si>
  <si>
    <t>Child's level of functioning in the acquisition and use of knowledge and skills (including early language/communication.</t>
  </si>
  <si>
    <t>001508</t>
  </si>
  <si>
    <t>COS Rating B</t>
  </si>
  <si>
    <t>COSRatingB</t>
  </si>
  <si>
    <t>Child Outcomes Summary Rating C</t>
  </si>
  <si>
    <t>Child's level of functioning in the use of appropriate behaviors to meet their needs.</t>
  </si>
  <si>
    <t>001509</t>
  </si>
  <si>
    <t>COS Rating C</t>
  </si>
  <si>
    <t>COSRatingC</t>
  </si>
  <si>
    <t>City of Birth</t>
  </si>
  <si>
    <t>The name of the city in which a person was born.</t>
  </si>
  <si>
    <t>K12 -&gt; K12 Student -&gt; Demographic</t>
  </si>
  <si>
    <t>000426</t>
  </si>
  <si>
    <t>CityOfBirth</t>
  </si>
  <si>
    <t>Class Beginning Time</t>
  </si>
  <si>
    <t>An indication of the time of day the class begins.</t>
  </si>
  <si>
    <t>000519</t>
  </si>
  <si>
    <t>ClassBeginningTime</t>
  </si>
  <si>
    <t>Class Ending Time</t>
  </si>
  <si>
    <t>An indication of the time of day the class ends.</t>
  </si>
  <si>
    <t>HH:MM:Ss</t>
  </si>
  <si>
    <t>000520</t>
  </si>
  <si>
    <t>ClassEndingTime</t>
  </si>
  <si>
    <t>Class Meeting Days</t>
  </si>
  <si>
    <t>The day(s) of the week (e.g., Monday, Wednesday) that the class meets or an indication that a class meets "out-of-school" or "self-paced".</t>
  </si>
  <si>
    <t>000521</t>
  </si>
  <si>
    <t>ClassMeetingDays</t>
  </si>
  <si>
    <t>Class Period</t>
  </si>
  <si>
    <t>An indication of the portion of a typical daily session in which students receive instruction in a specified subject (e.g., morning, sixth period, block period, or AB schedules).</t>
  </si>
  <si>
    <t>000522</t>
  </si>
  <si>
    <t>ClassPeriod</t>
  </si>
  <si>
    <t>Class Ranking Date</t>
  </si>
  <si>
    <t>The date class ranking was determined.</t>
  </si>
  <si>
    <t>YYYY-MM-DD or YYYY-MM or YYYY</t>
  </si>
  <si>
    <t>000042</t>
  </si>
  <si>
    <t>ClassRankingDate</t>
  </si>
  <si>
    <t>Classification of Instructional Program Code</t>
  </si>
  <si>
    <t>A six-digit code in the form xx.xxxx that identifies instructional program specialties within educational institutions.</t>
  </si>
  <si>
    <t>CIP codes are available at: http://nces.ed.gov/ipeds/cipcode/browse.aspx?y=55</t>
  </si>
  <si>
    <t>000043</t>
  </si>
  <si>
    <t>CIP Code</t>
  </si>
  <si>
    <t>CIPCode</t>
  </si>
  <si>
    <t>Classification of Instructional Program Use</t>
  </si>
  <si>
    <t>An indicator of whether the CIP Code is referencing an enrollment program or an award program.</t>
  </si>
  <si>
    <t>Postsecondary -&gt; PS Student -&gt; Enrollment</t>
  </si>
  <si>
    <t>000044</t>
  </si>
  <si>
    <t>CIP Use</t>
  </si>
  <si>
    <t>CIPUse</t>
  </si>
  <si>
    <t>Classification of Instructional Program Version</t>
  </si>
  <si>
    <t>The version of CIP being reported.</t>
  </si>
  <si>
    <t>000045</t>
  </si>
  <si>
    <t>CIP Version</t>
  </si>
  <si>
    <t>CIPVersion</t>
  </si>
  <si>
    <t>Classroom Identifier</t>
  </si>
  <si>
    <t>A unique number or alphanumeric code assigned to a room by a school, school system, state, or other agency or entity.</t>
  </si>
  <si>
    <t>000364</t>
  </si>
  <si>
    <t>ClassroomIdentifier</t>
  </si>
  <si>
    <t>Classroom Position Type</t>
  </si>
  <si>
    <t>The type of position the staff member holds in the specific class/section.</t>
  </si>
  <si>
    <t>K12 -&gt; K12 Staff -&gt; Assignment</t>
  </si>
  <si>
    <t>000622</t>
  </si>
  <si>
    <t>ClassroomPositionType</t>
  </si>
  <si>
    <t>Cohort Description</t>
  </si>
  <si>
    <t>A description of the student cohort.</t>
  </si>
  <si>
    <t>000711</t>
  </si>
  <si>
    <t>CohortDescription</t>
  </si>
  <si>
    <t>Cohort Exclusion</t>
  </si>
  <si>
    <t>Those persons who may be removed (deleted) from a cohort (or subcohort). For the Graduation Rates and Fall Enrollment retention rate reporting, persons may be removed from a cohort if they left the institution for one of the following reasons: death or total and permanent disability; service in the armed forces (including those called to active duty); service with a foreign aid service of the federal government, such as the Peace Corps; or service on official church missions.</t>
  </si>
  <si>
    <t>000106</t>
  </si>
  <si>
    <t>CohortExclusion</t>
  </si>
  <si>
    <t>Cohort Graduation Year</t>
  </si>
  <si>
    <t>The year the cohort graduated with a regular high school diploma.</t>
  </si>
  <si>
    <t>YYYY</t>
  </si>
  <si>
    <t>000584</t>
  </si>
  <si>
    <t>CohortGraduationYear</t>
  </si>
  <si>
    <t>Cohort Year</t>
  </si>
  <si>
    <t>The school year in which the student entered the baseline group used for computing completion rates (e.g., high school, program).</t>
  </si>
  <si>
    <t>000046</t>
  </si>
  <si>
    <t>CohortYear</t>
  </si>
  <si>
    <t>Competency Set Completion Criteria</t>
  </si>
  <si>
    <t>The criteria for the set of competencies that represent completion or partial completion of a unit, course, program, degree, certification, or other achievement/award. Specifies whether completion requires achievement of all items in the set or some number of items.</t>
  </si>
  <si>
    <t>The criteria may be ‘all’ competencies in the set or ‘at-least’ # of competencies. Sets may be nested, e.g. all in subset A and 3 of 5 from subset B.</t>
  </si>
  <si>
    <t>000877</t>
  </si>
  <si>
    <t>CompetencySetCompletionCriteria</t>
  </si>
  <si>
    <t>Competency Set Completion Criteria Threshold</t>
  </si>
  <si>
    <t>The minimum number of competencies in the set that must be achieved for completion or partial completion of a unit, course, program, degree, certification, or other achievement/award.</t>
  </si>
  <si>
    <t>Used to define the completion criteria when Competency Set Completion Criteria is "At Least". Not used when Competency Set Completion Criteria is "All".</t>
  </si>
  <si>
    <t>000878</t>
  </si>
  <si>
    <t>CompetencySetCompletionCriteriaThreshold</t>
  </si>
  <si>
    <t>Comprehensive Fee</t>
  </si>
  <si>
    <t>A single fixed amount of money charged by an institution that covers tuition, required fees, room, and board. For some institutions, this amount may also cover books and supplies.</t>
  </si>
  <si>
    <t>000754</t>
  </si>
  <si>
    <t>ComprehensiveFee</t>
  </si>
  <si>
    <t>Consent to Share Data</t>
  </si>
  <si>
    <t>The Primary Caregiver has provided consent to share child and family assessment survey data entered during the current State Fiscal year with external agencies who provide services for the family or its members.</t>
  </si>
  <si>
    <t>Early Learning -&gt; Assessments -&gt; Assessment Administration</t>
  </si>
  <si>
    <t>001295</t>
  </si>
  <si>
    <t>ConsentToShareData</t>
  </si>
  <si>
    <t>Consolidated Migrant Education Program Funds Status</t>
  </si>
  <si>
    <t>An indication of whether the school has a school-wide program, as defined by Title I of ESEA as amended, in which federal Migrant Education Program (MEP) funds are consolidated as authorized under 34 CFR Section 200.29.</t>
  </si>
  <si>
    <t>K12 -&gt; K12 School -&gt; Federal Funds</t>
  </si>
  <si>
    <t>000542</t>
  </si>
  <si>
    <t>Consolidated MEP Funds Status</t>
  </si>
  <si>
    <t>ConsolidatedMEPFundsStatus</t>
  </si>
  <si>
    <t>Continuation of Services Reason</t>
  </si>
  <si>
    <t>Reason why the student is being served under the continuation of services provision of the MEP.</t>
  </si>
  <si>
    <t>000429</t>
  </si>
  <si>
    <t>ContinuationOfServicesReason</t>
  </si>
  <si>
    <t>Continuing License Date</t>
  </si>
  <si>
    <t>The year, month and day on which a program or center received its continuing license.</t>
  </si>
  <si>
    <t>Early Learning -&gt; EL Organization -&gt; Licensing</t>
  </si>
  <si>
    <t>000349</t>
  </si>
  <si>
    <t>ContinuingLicenseDate</t>
  </si>
  <si>
    <t>Contract Days of Service per Year</t>
  </si>
  <si>
    <t>The number of days per year that a person is expected to work as outlined specifically in his or her employment agreement.</t>
  </si>
  <si>
    <t>K12 -&gt; K12 Staff -&gt; Employment</t>
  </si>
  <si>
    <t>K-12 -&gt; Teacher Compensation Survey</t>
  </si>
  <si>
    <t>000047</t>
  </si>
  <si>
    <t>ContractDaysOfServicePerYear</t>
  </si>
  <si>
    <t>Contract Type</t>
  </si>
  <si>
    <t>The type of employment contract used by an institution.</t>
  </si>
  <si>
    <t>Option set defined in IPEDS</t>
  </si>
  <si>
    <t>000737</t>
  </si>
  <si>
    <t>ContractType</t>
  </si>
  <si>
    <t>Control of Institution</t>
  </si>
  <si>
    <t>A classification of whether a postsecondary institution is operated by publicly elected or appointed officials (public control) or by privately elected or appointed officials and derives its major source of funds from private sources (private control).</t>
  </si>
  <si>
    <t>000048</t>
  </si>
  <si>
    <t>ControlOfInstitution</t>
  </si>
  <si>
    <t>Core Academic Course</t>
  </si>
  <si>
    <t>The course meets the state definition of a core academic course.</t>
  </si>
  <si>
    <t>000518</t>
  </si>
  <si>
    <t>CoreAcademicCourse</t>
  </si>
  <si>
    <t>Correctional Education Facility Type</t>
  </si>
  <si>
    <t>The type of facility in which an inmate receives correctional education services.</t>
  </si>
  <si>
    <t>001296</t>
  </si>
  <si>
    <t>CorrectionalEducationFacilityType</t>
  </si>
  <si>
    <t>Correctional Education Reentry Services Participation Indicator</t>
  </si>
  <si>
    <t>An indication of whether an adult correctional education student who receives instructional services (e.g., life skills, cognitive restructuring, etc.) to support reentry into society.</t>
  </si>
  <si>
    <t>001297</t>
  </si>
  <si>
    <t>CorrectionalEducationReentryServicesParticipationIndicator</t>
  </si>
  <si>
    <t>Corrective Action Type</t>
  </si>
  <si>
    <t>The types of corrective actions under ESEA as amended.</t>
  </si>
  <si>
    <t>K12 -&gt; K12 School -&gt; Accountability</t>
  </si>
  <si>
    <t>000049</t>
  </si>
  <si>
    <t>CorrectiveActionType</t>
  </si>
  <si>
    <t>Country Code</t>
  </si>
  <si>
    <t>The unique two character International Organization for Standardization (ISO) code for the country in which an address is located.</t>
  </si>
  <si>
    <t>000050</t>
  </si>
  <si>
    <t>CountryCode</t>
  </si>
  <si>
    <t>Country of Birth Code</t>
  </si>
  <si>
    <t>The unique two digit International Organization for Standardization (ISO) code for the country in which a person is born.</t>
  </si>
  <si>
    <t>000051</t>
  </si>
  <si>
    <t>CountryOfBirthCode</t>
  </si>
  <si>
    <t>County ANSI Code</t>
  </si>
  <si>
    <t>County code as defined for the identification of counties and equivalent areas of the United States, Puerto Rico, and the insular areas as established by the American National Standards Institute (ANSI) Inter-National Committee for Information Technology Standards (INCITS) in specification BSR INCITS 31-200x or more current updates. See http://www.census.gov/geo/reference/codes/cou.html .</t>
  </si>
  <si>
    <t>Numeric - 5 digits with leading zeros</t>
  </si>
  <si>
    <t>Definition updated</t>
  </si>
  <si>
    <t>001209</t>
  </si>
  <si>
    <t>CountyANSICode</t>
  </si>
  <si>
    <t>Course Academic Grade</t>
  </si>
  <si>
    <t>The final grade awarded for participation in the course.</t>
  </si>
  <si>
    <t>Postsecondary -&gt; PS Section -&gt; Enrollment</t>
  </si>
  <si>
    <t>Alphanumeric - 15 characters max</t>
  </si>
  <si>
    <t>000053</t>
  </si>
  <si>
    <t>CourseAcademicGrade</t>
  </si>
  <si>
    <t>Course Academic Grade Scale Code</t>
  </si>
  <si>
    <t>The grading scale used by an academic educational institution for an academic course.</t>
  </si>
  <si>
    <t>Postsecondary -&gt; PS Section</t>
  </si>
  <si>
    <t>##</t>
  </si>
  <si>
    <t>Based on the American Medical Colleges Admissions Services (AMCAS) grade scale, values 01 through 99. See Appendix E of the PESC XML High School Transcript Implementation Guide for a complete list of code values. 3-digit values (500 and above) established in earlier versions of the standard for miscellaneous grades are deprecated.</t>
  </si>
  <si>
    <t>001298</t>
  </si>
  <si>
    <t>CourseAcademicGradeScaleCode</t>
  </si>
  <si>
    <t>Course Academic Grade Status Code</t>
  </si>
  <si>
    <t>Additional information regarding the context of the given grade.</t>
  </si>
  <si>
    <t>Postsecondary -&gt; PS Section -&gt; Enrollment -&gt; Student Course Section Mark</t>
  </si>
  <si>
    <t>001299</t>
  </si>
  <si>
    <t>CourseAcademicGradeStatusCode</t>
  </si>
  <si>
    <t>Course Add Date</t>
  </si>
  <si>
    <t>The date an individual was added to an academic course at a school.</t>
  </si>
  <si>
    <t>001300</t>
  </si>
  <si>
    <t>CourseAddDate</t>
  </si>
  <si>
    <t>Course Aligned with Standards</t>
  </si>
  <si>
    <t>An indication whether a course is aligned with the established standards of a curriculum framework.</t>
  </si>
  <si>
    <t>Changed name from Aligned with State Standards.</t>
  </si>
  <si>
    <t>000013</t>
  </si>
  <si>
    <t>CourseAlignedWithStandards</t>
  </si>
  <si>
    <t>Course Applicable Education Level</t>
  </si>
  <si>
    <t>The education level, grade level or primary instructional level at which a course is intended.</t>
  </si>
  <si>
    <t>This element is repeatable for most use cases. Examples: (1.) SCED identifiers may specify a grade span of two or more grades. (2) A postsecondary course designed to qualify a student for an associates degree and professional certification could be repeated with both of those options.</t>
  </si>
  <si>
    <t>001301</t>
  </si>
  <si>
    <t>CourseApplicableEducationLevel</t>
  </si>
  <si>
    <t>Course Begin Date</t>
  </si>
  <si>
    <t>The year, month and day an instance of a course officially began.</t>
  </si>
  <si>
    <t>000054</t>
  </si>
  <si>
    <t>CourseBeginDate</t>
  </si>
  <si>
    <t>Course Certification Description</t>
  </si>
  <si>
    <t>A description of the certification or recognition associated with this course (ex. Networking, CAD, etc.)</t>
  </si>
  <si>
    <t>001302</t>
  </si>
  <si>
    <t>CourseCertificationDescription</t>
  </si>
  <si>
    <t>Course Classification of Instructional Programs Code</t>
  </si>
  <si>
    <t>The Classification of Instructional Programs (CIP) code to describe the area of study for the course.</t>
  </si>
  <si>
    <t>001502</t>
  </si>
  <si>
    <t>Course CIP Code</t>
  </si>
  <si>
    <t>CourseCIPCode</t>
  </si>
  <si>
    <t>Course Code System</t>
  </si>
  <si>
    <t>A system that is used to identify the organization of subject matter and related learning experiences provided for the instruction of students.</t>
  </si>
  <si>
    <t>000056</t>
  </si>
  <si>
    <t>CourseCodeSystem</t>
  </si>
  <si>
    <t>Course Credit Basis Type</t>
  </si>
  <si>
    <t>The type of enrollment associated with the credit hours for the course.</t>
  </si>
  <si>
    <t>001303</t>
  </si>
  <si>
    <t>CourseCreditBasisType</t>
  </si>
  <si>
    <t>Course Credit Level Type</t>
  </si>
  <si>
    <t>The level of credit associated with the credit hours earned for the course.</t>
  </si>
  <si>
    <t>001304</t>
  </si>
  <si>
    <t>CourseCreditLevelType</t>
  </si>
  <si>
    <t>Course Credit Units</t>
  </si>
  <si>
    <t>The type of credit (unit, semester, or quarter) associated with the credit hours earned for the course.</t>
  </si>
  <si>
    <t>000057</t>
  </si>
  <si>
    <t>CourseCreditUnits</t>
  </si>
  <si>
    <t>Course Credit Value</t>
  </si>
  <si>
    <t>Measured in Carnegie units, the amount of credit available to a student who successfully meets the objectives of the course.</t>
  </si>
  <si>
    <t>For K-12 a course meeting every day for one period of the school day over the span of a school year typically offers one Carnegie unit. In this case a Carnegie unit is a measure of "seat time" rather than a measure of attainment of the course objectives.</t>
  </si>
  <si>
    <t>000058</t>
  </si>
  <si>
    <t>CourseCreditValue</t>
  </si>
  <si>
    <t>Course Description</t>
  </si>
  <si>
    <t>A description of the course content and/or goals. Reference may be made to state or national content standards.</t>
  </si>
  <si>
    <t>000517</t>
  </si>
  <si>
    <t>CourseDescription</t>
  </si>
  <si>
    <t>Course Drop Date</t>
  </si>
  <si>
    <t>The date on which the individual drops or withdraws from the course.</t>
  </si>
  <si>
    <t>001305</t>
  </si>
  <si>
    <t>CourseDropDate</t>
  </si>
  <si>
    <t>Course End Date</t>
  </si>
  <si>
    <t>The year, month and day an instance of a course ends.</t>
  </si>
  <si>
    <t>000059</t>
  </si>
  <si>
    <t>CourseEndDate</t>
  </si>
  <si>
    <t>Course Funding Program</t>
  </si>
  <si>
    <t>A program through which the course is funded.</t>
  </si>
  <si>
    <t>This may be a program targeted to a specific student population (e.g. SPED, ESOL) and the funding guidelines may specify that all or some of the students in the course are members of the subgroup.</t>
  </si>
  <si>
    <t>001306</t>
  </si>
  <si>
    <t>CourseFundingProgram</t>
  </si>
  <si>
    <t>Course Grade Point Average Applicability</t>
  </si>
  <si>
    <t>An indicator of whether or not this course being described is included in the computation of the student’s Grade Point Average (GPA).</t>
  </si>
  <si>
    <t>000060</t>
  </si>
  <si>
    <t>Course GPA Applicability</t>
  </si>
  <si>
    <t>CourseGPAApplicability</t>
  </si>
  <si>
    <t>Course Honors Type</t>
  </si>
  <si>
    <t>An indication that the course is or can be counted as an honors course.</t>
  </si>
  <si>
    <t>001307</t>
  </si>
  <si>
    <t>CourseHonorsType</t>
  </si>
  <si>
    <t>Course Identifier</t>
  </si>
  <si>
    <t>The actual code that identifies the organization of subject matter and related learning experiences provided for the instruction of students.</t>
  </si>
  <si>
    <t>Alphanumeric - 30 characters max</t>
  </si>
  <si>
    <t>Increased number of allowable characters.</t>
  </si>
  <si>
    <t>000055</t>
  </si>
  <si>
    <t>CourseIdentifier</t>
  </si>
  <si>
    <t>Course Instruction Method</t>
  </si>
  <si>
    <t>The primary method of instruction used for the course.</t>
  </si>
  <si>
    <t>001308</t>
  </si>
  <si>
    <t>CourseInstructionMethod</t>
  </si>
  <si>
    <t>Course Instruction Site Name</t>
  </si>
  <si>
    <t>The name of the location at which the course is taught.</t>
  </si>
  <si>
    <t>001309</t>
  </si>
  <si>
    <t>CourseInstructionSiteName</t>
  </si>
  <si>
    <t>Course Instruction Site Type</t>
  </si>
  <si>
    <t>An indication of the type of location at which the course is taught.</t>
  </si>
  <si>
    <t>001310</t>
  </si>
  <si>
    <t>CourseInstructionSiteType</t>
  </si>
  <si>
    <t>Course Interaction Mode</t>
  </si>
  <si>
    <t>The primary type of interaction, synchronous or asynchronous, defined for the course.</t>
  </si>
  <si>
    <t>This may be an attribute of a Course (as designed) or an instance of a Class Section (as delivered).</t>
  </si>
  <si>
    <t>001311</t>
  </si>
  <si>
    <t>CourseInteractionMode</t>
  </si>
  <si>
    <t>Course Level Characteristic</t>
  </si>
  <si>
    <t>An indication of the general nature and difficulty of instruction provided throughout a course.</t>
  </si>
  <si>
    <t>000061</t>
  </si>
  <si>
    <t>CourseLevelCharacteristic</t>
  </si>
  <si>
    <t>Course Level Type</t>
  </si>
  <si>
    <t>The level of work which is reflected in the credits associated with the academic course being described or the level of the typical individual taking the academic course.</t>
  </si>
  <si>
    <t>001312</t>
  </si>
  <si>
    <t>CourseLevelType</t>
  </si>
  <si>
    <t>Course Narrative Explanation Grade</t>
  </si>
  <si>
    <t>The narrative of the grade awarded to an individual in an academic course in those cases where a course does not receive a letter or numeric grade included in the grading scale of the Course Academic Grade Qualifier.</t>
  </si>
  <si>
    <t>001313</t>
  </si>
  <si>
    <t>CourseNarrativeExplanationGrade</t>
  </si>
  <si>
    <t>Course Number</t>
  </si>
  <si>
    <t>The official reference number portion of a course identifier. This number normally designates the level of the course as well as the level of the individual expected to enroll in the course.</t>
  </si>
  <si>
    <t>001314</t>
  </si>
  <si>
    <t>CourseNumber</t>
  </si>
  <si>
    <t>Course Override School</t>
  </si>
  <si>
    <t>The school where the credit was earned if different from the institution reporting.</t>
  </si>
  <si>
    <t>000063</t>
  </si>
  <si>
    <t>CourseOverrideSchool</t>
  </si>
  <si>
    <t>Course Quality Points Earned</t>
  </si>
  <si>
    <t>The numerical value assigned to a letter grade to provide a basis of quantitative determination of an average.</t>
  </si>
  <si>
    <t>000064</t>
  </si>
  <si>
    <t>CourseQualityPointsEarned</t>
  </si>
  <si>
    <t>Course Repeat Code</t>
  </si>
  <si>
    <t>Indicates that an academic course has been repeated by a student and how that repeat is to be computed in the student's academic grade average.</t>
  </si>
  <si>
    <t>000065</t>
  </si>
  <si>
    <t>CourseRepeatCode</t>
  </si>
  <si>
    <t>Course Section Assessment Reporting Method</t>
  </si>
  <si>
    <t>The method that the instructor of the course uses to report the performance and achievement of all students. It may be a qualitative method such as individualized teacher comments or a quantitative method such as a letter or a numerical grade. In some cases, more than one type of reporting method may be used.</t>
  </si>
  <si>
    <t>Name changed from Class Section Assessment Reporting Method. Definition updated.</t>
  </si>
  <si>
    <t>000027</t>
  </si>
  <si>
    <t>CourseSectionAssessmentReportingMethod</t>
  </si>
  <si>
    <t>Course Section Enrollment Status End Date</t>
  </si>
  <si>
    <t>The date on which the enrollment status ended related to a student enrolled in an instance of a course.</t>
  </si>
  <si>
    <t>K12 -&gt; Course Section -&gt; Enrollment</t>
  </si>
  <si>
    <t>Name changed from Class Section Enrollment Status End Date.</t>
  </si>
  <si>
    <t>Enrollment statuses may overlap, for example at one point in time a student may be both pre-registered and wait listed for enrollment in a course, the start dates may be different and the end dates may be the same as the start date for "enrolled" status when the student moves off the wait list.</t>
  </si>
  <si>
    <t>000975</t>
  </si>
  <si>
    <t>CourseSectionEnrollmentStatusEndDate</t>
  </si>
  <si>
    <t>Course Section Enrollment Status Start Date</t>
  </si>
  <si>
    <t>The date on which the enrollment status began related to a student enrolled in an instance of a course.</t>
  </si>
  <si>
    <t>Name changed from Class Section Enrollment Status Start Date.</t>
  </si>
  <si>
    <t>000974</t>
  </si>
  <si>
    <t>CourseSectionEnrollmentStatusStartDate</t>
  </si>
  <si>
    <t>Course Section Enrollment Status Type</t>
  </si>
  <si>
    <t>The status related to a student enrollment in an instance of a course.</t>
  </si>
  <si>
    <t>Name changed from Class Section Enrollment Status Type.</t>
  </si>
  <si>
    <t>000976</t>
  </si>
  <si>
    <t>CourseSectionEnrollmentStatusType</t>
  </si>
  <si>
    <t>Course Section Entry Type</t>
  </si>
  <si>
    <t>The process by which a student enters a school (Course Section) during a given academic session.</t>
  </si>
  <si>
    <t>K-12 -&gt; Teacher-Student Data Link -&gt; Enrollment</t>
  </si>
  <si>
    <t>Name changed from Class Section Entry Type.</t>
  </si>
  <si>
    <t>000650</t>
  </si>
  <si>
    <t>CourseSectionEntryType</t>
  </si>
  <si>
    <t>Course Section Exit Type</t>
  </si>
  <si>
    <t>The circumstances under which the student exited from membership in a course section.</t>
  </si>
  <si>
    <t>Name changed from Class Section Exit Type. Defintion updated.</t>
  </si>
  <si>
    <t>000652</t>
  </si>
  <si>
    <t>CourseSectionExitType</t>
  </si>
  <si>
    <t>Course Section Exit Withdrawal Date</t>
  </si>
  <si>
    <t>The year, month and day of the first day after the date of a person's last enrollment in a course section.</t>
  </si>
  <si>
    <t>Name changed from Class Section Exit Withdrawal Date. Definition updated.</t>
  </si>
  <si>
    <t>000651</t>
  </si>
  <si>
    <t>CourseSectionExitWithdrawalDate</t>
  </si>
  <si>
    <t>Course Section Identifier</t>
  </si>
  <si>
    <t>A unique number or alphanumeric code assigned by an institution, school, school system, state, or other agency or entity for a particular course-section.</t>
  </si>
  <si>
    <t>Name changed from Class Section Identifier. Defnition updated.</t>
  </si>
  <si>
    <t>000978</t>
  </si>
  <si>
    <t>CourseSectionIdentifier</t>
  </si>
  <si>
    <t>Course Section Instructional Delivery Mode</t>
  </si>
  <si>
    <t>The primary setting or medium of delivery for the course.</t>
  </si>
  <si>
    <t>Name changed from Class Section Instructional Delivery Mode.</t>
  </si>
  <si>
    <t>001161</t>
  </si>
  <si>
    <t>CourseSectionInstructionalDeliveryMode</t>
  </si>
  <si>
    <t>Course Section Number</t>
  </si>
  <si>
    <t>The number assigned to differentiate among distinct occurrences of courses that have the same course abbreviation and number but are considered to be different courses.</t>
  </si>
  <si>
    <t>001315</t>
  </si>
  <si>
    <t>CourseSectionNumber</t>
  </si>
  <si>
    <t>Course Section Single Sex Class Status</t>
  </si>
  <si>
    <t>Section in a co-educational school where only male or only female students are permitted to take the course.</t>
  </si>
  <si>
    <t>Name changed from Class Section Single Sex Class Status. Definition updated.</t>
  </si>
  <si>
    <t>000258</t>
  </si>
  <si>
    <t>CourseSectionSingleSexClassStatus</t>
  </si>
  <si>
    <t>Course Section Time Required For Completion</t>
  </si>
  <si>
    <t>The actual or estimated number of clock minutes required for course completion. This number is especially important for career and technical education course and may represent (in minutes) the clock hour requirement of the course, the number of minutes (or clock hours) of class time per week, times the number of equivalent weeks the class typically meets.</t>
  </si>
  <si>
    <t>K-12 -&gt; Teacher-Student Data Link -&gt; Class Section</t>
  </si>
  <si>
    <t>Name changed from Class Section Time Required For Completion. Definition updated.</t>
  </si>
  <si>
    <t>000101</t>
  </si>
  <si>
    <t>CourseSectionTimeRequiredForCompletion</t>
  </si>
  <si>
    <t>Course Subject Abbreviation</t>
  </si>
  <si>
    <t>The alphabetic abbreviation of the academic department or discipline offering the course. It is one part of the total course identifier number.</t>
  </si>
  <si>
    <t>Alphanumeric - 10 characters maximum</t>
  </si>
  <si>
    <t>000066</t>
  </si>
  <si>
    <t>CourseSubjectAbbreviation</t>
  </si>
  <si>
    <t>Course Title</t>
  </si>
  <si>
    <t>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t>
  </si>
  <si>
    <t>000067</t>
  </si>
  <si>
    <t>CourseTitle</t>
  </si>
  <si>
    <t>Course Total</t>
  </si>
  <si>
    <t>The total number of courses listed on a transcript. Used as a check digit for integrity purposes.</t>
  </si>
  <si>
    <t>001316</t>
  </si>
  <si>
    <t>CourseTotal</t>
  </si>
  <si>
    <t>Credential Expiration Date</t>
  </si>
  <si>
    <t>The year, month and day on which an active credential held by a person will expire.</t>
  </si>
  <si>
    <t>000069</t>
  </si>
  <si>
    <t>CredentialExpirationDate</t>
  </si>
  <si>
    <t>Credential Issuance Date</t>
  </si>
  <si>
    <t>The year, month and day on which an active credential was issued to a person.</t>
  </si>
  <si>
    <t>000070</t>
  </si>
  <si>
    <t>CredentialIssuanceDate</t>
  </si>
  <si>
    <t>Credential Type</t>
  </si>
  <si>
    <t>An indication of the category of credential a person holds.</t>
  </si>
  <si>
    <t>000071</t>
  </si>
  <si>
    <t>CredentialType</t>
  </si>
  <si>
    <t>Credit Hours Applied Other Program</t>
  </si>
  <si>
    <t>Codes identifying the set of credit hours taken in other programs or degrees that were applied to the individual's degree.</t>
  </si>
  <si>
    <t>001317</t>
  </si>
  <si>
    <t>CreditHoursAppliedOtherProgram</t>
  </si>
  <si>
    <t>Credit Type Earned</t>
  </si>
  <si>
    <t>The type of credits or units of value awarded for the completion of a course.</t>
  </si>
  <si>
    <t>000072</t>
  </si>
  <si>
    <t>CreditTypeEarned</t>
  </si>
  <si>
    <t>Credits Attempted Cumulative</t>
  </si>
  <si>
    <t>The cumulative number of credits a person attempts to earn by taking courses during his or her enrollment in the current school as well as those credits transferred from schools in which the person had been previously enrolled.</t>
  </si>
  <si>
    <t>000073</t>
  </si>
  <si>
    <t>CreditsAttemptedCumulative</t>
  </si>
  <si>
    <t>Credits Earned Cumulative</t>
  </si>
  <si>
    <t>The cumulative number of credits a person earns by completing courses or examinations during his or her enrollment in the current school as well as those credits transferred from schools in which the person had been previously enrolled.</t>
  </si>
  <si>
    <t>000074</t>
  </si>
  <si>
    <t>CreditsEarnedCumulative</t>
  </si>
  <si>
    <t>Crisis Code</t>
  </si>
  <si>
    <t>A unique number or alphanumeric code used to identify a crisis. This code should be able to accommodate numerous crises within a single school year. It is associated with the displaced student identifier in order to link a crisis to a student who was displaced or otherwise affected by the event. If the same code values are to be used over multiple years, it is important to have enough crisis-specific items (e.g., school year, date/time) to keep the events unique over time.</t>
  </si>
  <si>
    <t>K12 -&gt; Calendar -&gt; Crisis</t>
  </si>
  <si>
    <t>000611</t>
  </si>
  <si>
    <t>CrisisCode</t>
  </si>
  <si>
    <t>Crisis Name</t>
  </si>
  <si>
    <t>The name of the crisis that caused the displacement of students.</t>
  </si>
  <si>
    <t>000612</t>
  </si>
  <si>
    <t>CrisisName</t>
  </si>
  <si>
    <t>Crisis Start Date</t>
  </si>
  <si>
    <t>The year, month and day on which the crisis affected the agency. This date may not be the same as the date the crisis occurred if evacuation orders are implemented in anticipation of a crisis.</t>
  </si>
  <si>
    <t>000614</t>
  </si>
  <si>
    <t>CrisisStartDate</t>
  </si>
  <si>
    <t>Crisis Type</t>
  </si>
  <si>
    <t>The type or category of crisis (ex., chemical, earthquake, flood, wildfire, etc.).</t>
  </si>
  <si>
    <t>000613</t>
  </si>
  <si>
    <t>CrisisType</t>
  </si>
  <si>
    <t>Critical Teacher Shortage Area Candidate</t>
  </si>
  <si>
    <t>An indication of whether a person is pursuing licensure/certification in a field designated as a shortage area as defined by Title II.</t>
  </si>
  <si>
    <t>When used in conjunction with the element Classification of Instructional Program, the field of study can be determined.</t>
  </si>
  <si>
    <t>000770</t>
  </si>
  <si>
    <t>CriticalTeacherShortageAreaCandidate</t>
  </si>
  <si>
    <t>Curriculum Framework Type</t>
  </si>
  <si>
    <t>An indication of the standard curriculum used for this course.</t>
  </si>
  <si>
    <t>000712</t>
  </si>
  <si>
    <t>CurriculumFrameworkType</t>
  </si>
  <si>
    <t>Custodial Parent or Guardian Indicator</t>
  </si>
  <si>
    <t>An indication that a person has legal custody of a child.</t>
  </si>
  <si>
    <t>Early Learning -&gt; Parent/Guardian</t>
  </si>
  <si>
    <t>000329</t>
  </si>
  <si>
    <t>CustodialParentOrGuardianIndicator</t>
  </si>
  <si>
    <t>Date State Received Title III Allocation</t>
  </si>
  <si>
    <t>Annual date the State receives the Title III allocation from U.S. Department of Education (ED).</t>
  </si>
  <si>
    <t>K12 -&gt; SEA -&gt; Federal Funds</t>
  </si>
  <si>
    <t>000455</t>
  </si>
  <si>
    <t>DateStateReceivedTitleIIIAllocation</t>
  </si>
  <si>
    <t>Date Title III Funds Available to Subgrantees</t>
  </si>
  <si>
    <t>Annual date that Title III funds are available to approved subgrantees.</t>
  </si>
  <si>
    <t>000456</t>
  </si>
  <si>
    <t>DateTitleIIIFundsAvailableToSubgrantees</t>
  </si>
  <si>
    <t>Days Available Per Week</t>
  </si>
  <si>
    <t>The number of days per week the site or classroom is open for children to attend.</t>
  </si>
  <si>
    <t>000355</t>
  </si>
  <si>
    <t>DaysAvailablePerWeek</t>
  </si>
  <si>
    <t>Days In Session</t>
  </si>
  <si>
    <t>The total number of days that the school was or is anticipated to be in session during the school year. Also included are days on which the education institution facility is closed and the student body as a whole is engaged in planned activities off-campus under the guidance and direction of staff members.</t>
  </si>
  <si>
    <t>K12 -&gt; K12 School -&gt; Session</t>
  </si>
  <si>
    <t>000496</t>
  </si>
  <si>
    <t>DaysInSession</t>
  </si>
  <si>
    <t>Degree Applicability</t>
  </si>
  <si>
    <t>An indication that the course is a part of a degree program.</t>
  </si>
  <si>
    <t>000077</t>
  </si>
  <si>
    <t>DegreeApplicability</t>
  </si>
  <si>
    <t>Degree or Certificate Conferring Date</t>
  </si>
  <si>
    <t>The year, month and day on which a person received a degree or certificate.</t>
  </si>
  <si>
    <t>000344</t>
  </si>
  <si>
    <t>DegreeOrCertificateConferringDate</t>
  </si>
  <si>
    <t>Degree or Certificate Seeking Student</t>
  </si>
  <si>
    <t>Person is enrolled in courses for credit and recognized by the institution as seeking a degree, certificate, or other formal award. High school students also enrolled in postsecondary courses for credit are not considered degree/certificate-seeking.</t>
  </si>
  <si>
    <t>000078</t>
  </si>
  <si>
    <t>DegreeOrCertificateSeekingStudent</t>
  </si>
  <si>
    <t>Degree or Certificate Title or Subject</t>
  </si>
  <si>
    <t>The name of the degree or certificate earned by a person. This includes honorary degrees conferred upon an individual.</t>
  </si>
  <si>
    <t>000342</t>
  </si>
  <si>
    <t>DegreeOrCertificateTitleOrSubject</t>
  </si>
  <si>
    <t>Degree or Certificate Type</t>
  </si>
  <si>
    <t>The type of degree or certificate earned by a person.</t>
  </si>
  <si>
    <t>000343</t>
  </si>
  <si>
    <t>DegreeOrCertificateType</t>
  </si>
  <si>
    <t>Demographic Race Two or More Races</t>
  </si>
  <si>
    <t>A person having origins in any of more than one of the racial groups.</t>
  </si>
  <si>
    <t>To support backward compatibility for systems that cannot derive this, i.e. systems that use a single race/ethnicity element rather than separate flags that can indicate one or more ethnicities.</t>
  </si>
  <si>
    <t>000973</t>
  </si>
  <si>
    <t>DemographicRaceTwoOrMoreRaces</t>
  </si>
  <si>
    <t>Dental Insurance Coverage Type</t>
  </si>
  <si>
    <t>The source of insurance covering an person's dental care.</t>
  </si>
  <si>
    <t>Early Learning -&gt; EL Child -&gt; EL Health Information -&gt; Insurance</t>
  </si>
  <si>
    <t>Early Learning -&gt; Program Entry</t>
  </si>
  <si>
    <t>Name changed from Dental Insurance Coverage. Definition updated.</t>
  </si>
  <si>
    <t>000336</t>
  </si>
  <si>
    <t>DentalInsuranceCoverageType</t>
  </si>
  <si>
    <t>Dental Screening Date</t>
  </si>
  <si>
    <t>The year, month and day of a dental screening</t>
  </si>
  <si>
    <t>Early Learning -&gt; EL Child -&gt; EL Health Information -&gt; Dental</t>
  </si>
  <si>
    <t>000706</t>
  </si>
  <si>
    <t>DentalScreeningDate</t>
  </si>
  <si>
    <t>Dental Screening Status</t>
  </si>
  <si>
    <t>The condition of a person's mouth or oral cavity; more specifically the condition of the hard tissues (i.e., teeth and jaws) and the soft tissues (i.e., gums, tongue, lips, palate, mouth floor, and inner cheeks). Good oral health denotes the absence of clinically manifested disease or abnormalities of the oral cavity.</t>
  </si>
  <si>
    <t>Early Learning -&gt; Program Compliance</t>
  </si>
  <si>
    <t>000310</t>
  </si>
  <si>
    <t>DentalScreeningStatus</t>
  </si>
  <si>
    <t>Dependency Status</t>
  </si>
  <si>
    <t>A person's classification as dependent or independent with regards to eligibility for Title IV Federal Student aid.</t>
  </si>
  <si>
    <t>000079</t>
  </si>
  <si>
    <t>DependencyStatus</t>
  </si>
  <si>
    <t>Desegregation Order or Plan</t>
  </si>
  <si>
    <t>An indication whether the LEA is covered by a desegregation plan either ordered by a court or entered into with the Office for Civil Rights under Title VI of the Civil Rights Act of 1964.</t>
  </si>
  <si>
    <t>000080</t>
  </si>
  <si>
    <t>DesegregationOrderOrPlan</t>
  </si>
  <si>
    <t>Designated Graduation School Identifier</t>
  </si>
  <si>
    <t>The NCES school identification number that identifies the school or facility from which a student expects to graduate.</t>
  </si>
  <si>
    <t>Alphanumeric - 12 characters maximum</t>
  </si>
  <si>
    <t>000436</t>
  </si>
  <si>
    <t>DesignatedGraduationSchoolIdentifier</t>
  </si>
  <si>
    <t>Developmental Evaluation Finding</t>
  </si>
  <si>
    <t>Child developmental delay/disability determined by procedure used by appropriate qualified personnel.</t>
  </si>
  <si>
    <t>Early Learning -&gt; EL Child -&gt; Developmental Assessments</t>
  </si>
  <si>
    <t>Modified definition.</t>
  </si>
  <si>
    <t>000315</t>
  </si>
  <si>
    <t>DevelopmentalEvaluationFinding</t>
  </si>
  <si>
    <t>Diagnostic Statement Source</t>
  </si>
  <si>
    <t>Identifies the source of the Diagnostic Statement based on a scored/evaluated portion of an assessment.</t>
  </si>
  <si>
    <t>001008</t>
  </si>
  <si>
    <t>DiagnosticStatementSource</t>
  </si>
  <si>
    <t>Differential Shift Pay Indicator</t>
  </si>
  <si>
    <t>An indication of whether staff receive differential shift pay.</t>
  </si>
  <si>
    <t>Early Learning -&gt; EL Organization -&gt; Organization Information</t>
  </si>
  <si>
    <t>000868</t>
  </si>
  <si>
    <t>DifferentialShiftPayIndicator</t>
  </si>
  <si>
    <t>Diploma or Credential Award Date</t>
  </si>
  <si>
    <t>The month and year on which the diploma/credential is awarded to a student in recognition of his/her completion of the curricular requirements.</t>
  </si>
  <si>
    <t>YYYY-MM</t>
  </si>
  <si>
    <t>000081</t>
  </si>
  <si>
    <t>DiplomaOrCredentialAwardDate</t>
  </si>
  <si>
    <t>Disability Condition Status Type</t>
  </si>
  <si>
    <t>A code indicating the disability condition status.</t>
  </si>
  <si>
    <t>001319</t>
  </si>
  <si>
    <t>Disability Condition Status Code</t>
  </si>
  <si>
    <t>DisabilityConditionStatusCode</t>
  </si>
  <si>
    <t>Disability Condition Type</t>
  </si>
  <si>
    <t>Codes identifying the set of disability conditions.</t>
  </si>
  <si>
    <t>Disability Conditional Type may be used in K12 to specify a disability other than Primary Disability Type.</t>
  </si>
  <si>
    <t>001320</t>
  </si>
  <si>
    <t>DisabilityConditionType</t>
  </si>
  <si>
    <t>Disability Determination Source Type</t>
  </si>
  <si>
    <t>Codes identifying the set of disability determination sources.</t>
  </si>
  <si>
    <t>001321</t>
  </si>
  <si>
    <t>DisabilityDeterminationSourceType</t>
  </si>
  <si>
    <t>Disability Status</t>
  </si>
  <si>
    <t>An indication of whether a person is classified as disabled under the American's with Disability Act (ADA).</t>
  </si>
  <si>
    <t>000577</t>
  </si>
  <si>
    <t>DisabilityStatus</t>
  </si>
  <si>
    <t>Disciplinary Action End Date</t>
  </si>
  <si>
    <t>The year, month and day on which a discipline action ends.</t>
  </si>
  <si>
    <t>000082</t>
  </si>
  <si>
    <t>DisciplinaryActionEndDate</t>
  </si>
  <si>
    <t>Disciplinary Action IEP Placement Meeting Indicator</t>
  </si>
  <si>
    <t>An indication as to whether an offense and/or disciplinary action resulted in a meeting of a student’s Individualized Education Program (IEP) team to determine appropriate placement.</t>
  </si>
  <si>
    <t>K12 -&gt; K12 Student -&gt; Discipline</t>
  </si>
  <si>
    <t>001322</t>
  </si>
  <si>
    <t>DisciplinaryActionIEPPlacementMeetingIndicator</t>
  </si>
  <si>
    <t>Disciplinary Action Start Date</t>
  </si>
  <si>
    <t>The year, month and day on which a discipline action begins.</t>
  </si>
  <si>
    <t>000083</t>
  </si>
  <si>
    <t>DisciplinaryActionStartDate</t>
  </si>
  <si>
    <t>Disciplinary Action Taken</t>
  </si>
  <si>
    <t>Identifies the consequences of an incident for the student(s) involved in an incident as perpetrator(s).</t>
  </si>
  <si>
    <t>000488</t>
  </si>
  <si>
    <t>DisciplinaryActionTaken</t>
  </si>
  <si>
    <t>Discipline Action Length Difference Reason</t>
  </si>
  <si>
    <t>The reason for the difference, if any, between the official and actual lengths of a student’s disciplinary assignment.</t>
  </si>
  <si>
    <t>000609</t>
  </si>
  <si>
    <t>DisciplineActionLengthDifferenceReason</t>
  </si>
  <si>
    <t>Discipline Method for Firearms Incidents</t>
  </si>
  <si>
    <t>The method used to discipline students who are not children with disabilities (IDEA) involved in firearms and other outcomes of firearms incidents.</t>
  </si>
  <si>
    <t>K12 -&gt; K12 School -&gt; Institution Characteristics</t>
  </si>
  <si>
    <t>000555</t>
  </si>
  <si>
    <t>DisciplineMethodForFirearmsIncidents</t>
  </si>
  <si>
    <t>Discipline Method of Children with Disabilities</t>
  </si>
  <si>
    <t>The type of suspension or expulsion used for the discipline of children with disabilities.</t>
  </si>
  <si>
    <t>000538</t>
  </si>
  <si>
    <t>DisciplineMethodOfChildrenWithDisabilities</t>
  </si>
  <si>
    <t>Discipline Reason</t>
  </si>
  <si>
    <t>The reason why the student was disciplined.</t>
  </si>
  <si>
    <t>000545</t>
  </si>
  <si>
    <t>DisciplineReason</t>
  </si>
  <si>
    <t>Dislocated Worker Status</t>
  </si>
  <si>
    <t>An individual who has been terminated or laid off, or who has received a notice of termination or layoff from employment, or an individual who was self-employed but is unemployed as a result of general economic conditions in the community in which the individual resides or because of natural disasters.</t>
  </si>
  <si>
    <t>Adult Education -&gt; AE Student -&gt; Status</t>
  </si>
  <si>
    <t>000776</t>
  </si>
  <si>
    <t>DislocatedWorkerStatus</t>
  </si>
  <si>
    <t>Displaced Student Status</t>
  </si>
  <si>
    <t>A student who was enrolled, or eligible for enrollment, but has enrolled in another place because of a crisis.</t>
  </si>
  <si>
    <t>000610</t>
  </si>
  <si>
    <t>DisplacedStudentStatus</t>
  </si>
  <si>
    <t>Distance Education Course Enrollment</t>
  </si>
  <si>
    <t>An individual's enrollment in a course or courses in which the instructional content is delivered exclusively via distance education. Distance education is education that uses one or more technologies to deliver instruction to students who are separated from the instructor and to support regular and substantive interaction between the students and the instructor synchronously or asynchronously. Technologies used for instruction may include: Internet; one-way and two-way transmissions through open broadcasts, closed circuit, cable, microwave, broadband lines, fiber optics, satellite or wireless communication devices; audio conferencing; and video cassette, DVDs, and CD-ROMs, if the cassette, DVDs, and CD-ROMs are used in a course in conjunction with the technologies listed above.</t>
  </si>
  <si>
    <t>Postsecondary Education -&gt; IPEDS -&gt; Fall Enrollment</t>
  </si>
  <si>
    <t>Element defined in IPEDS</t>
  </si>
  <si>
    <t>000728</t>
  </si>
  <si>
    <t>DistanceEducationCourseEnrollment</t>
  </si>
  <si>
    <t>Distance Education Program Enrollment Indicator</t>
  </si>
  <si>
    <t>An individual's enrollment in a program for which all the required coursework for program completion is able to be completed via distance education courses. Distance education is education that uses one or more technologies to deliver instruction to individuals who are separated from the instructor and to support regular and substantive interaction between the individuals and the instructor synchronously or asynchronously.</t>
  </si>
  <si>
    <t>001323</t>
  </si>
  <si>
    <t>DistanceEducationProgramEnrollmentIndicator</t>
  </si>
  <si>
    <t>Doctoral Candidacy Admit Indicator</t>
  </si>
  <si>
    <t>The individual's status in being admitted as a doctoral candidate.</t>
  </si>
  <si>
    <t>Postsecondary -&gt; PS Student -&gt; Graduate Student</t>
  </si>
  <si>
    <t>001324</t>
  </si>
  <si>
    <t>DoctoralCandidacyAdmitIndicator</t>
  </si>
  <si>
    <t>Doctoral Candidacy Date</t>
  </si>
  <si>
    <t>The date on which the individual was admitted to doctoral candidate status.</t>
  </si>
  <si>
    <t>001325</t>
  </si>
  <si>
    <t>DoctoralCandidacyDate</t>
  </si>
  <si>
    <t>Doctoral Exam Taken Date</t>
  </si>
  <si>
    <t>The date on which the individual took an exam for advancement in, continuation or completion of a doctoral program.</t>
  </si>
  <si>
    <t>001326</t>
  </si>
  <si>
    <t>DoctoralExamTakenDate</t>
  </si>
  <si>
    <t>Doctoral Exams Required Type</t>
  </si>
  <si>
    <t>A qualifier identifying the types of exams required of doctoral level individuals.</t>
  </si>
  <si>
    <t>001327</t>
  </si>
  <si>
    <t>DoctoralExamsRequiredType</t>
  </si>
  <si>
    <t>Dual Credit Dual Enrollment Credits Awarded</t>
  </si>
  <si>
    <t>The number of credits awarded a student by the postsecondary institution based on successful completion of dual credit/dual enrollment courses.</t>
  </si>
  <si>
    <t>000085</t>
  </si>
  <si>
    <t>DualCreditDualEnrollmentCreditsAwarded</t>
  </si>
  <si>
    <t>Duration of Disciplinary Action</t>
  </si>
  <si>
    <t>The length, in school days, of the disciplinary action.</t>
  </si>
  <si>
    <t>000511</t>
  </si>
  <si>
    <t>DurationOfDisciplinaryAction</t>
  </si>
  <si>
    <t>Early Childhood Credential</t>
  </si>
  <si>
    <t>The credential related to early childhood education or development held by a person.</t>
  </si>
  <si>
    <t>000345</t>
  </si>
  <si>
    <t>EarlyChildhoodCredential</t>
  </si>
  <si>
    <t>Early Childhood Degree or Certificate Holder</t>
  </si>
  <si>
    <t>Staff has a degree in early childhood regardless of level.</t>
  </si>
  <si>
    <t>000789</t>
  </si>
  <si>
    <t>EarlyChildhoodDegreeOrCertificateHolder</t>
  </si>
  <si>
    <t>Early Childhood Enrollment Service Type</t>
  </si>
  <si>
    <t>The type of programs in which the child is enrolled.</t>
  </si>
  <si>
    <t>000318</t>
  </si>
  <si>
    <t>EarlyChildhoodEnrollmentServiceType</t>
  </si>
  <si>
    <t>Early Childhood Program Type</t>
  </si>
  <si>
    <t>The system outlining activities and procedures based on a set of required services and standards.</t>
  </si>
  <si>
    <t>Changed name from Early Childhood Program Type Offered. Definition modified. Option set modified.</t>
  </si>
  <si>
    <t>000829</t>
  </si>
  <si>
    <t>EarlyChildhoodProgramType</t>
  </si>
  <si>
    <t>Early Childhood Setting</t>
  </si>
  <si>
    <t>The site or setting in which early childhood care, education, and/or services are provided.</t>
  </si>
  <si>
    <t>Updated option set.</t>
  </si>
  <si>
    <t>000356</t>
  </si>
  <si>
    <t>EarlyChildhoodSetting</t>
  </si>
  <si>
    <t>Early Intervention or Special Education Services Received</t>
  </si>
  <si>
    <t>The types of service that adapts the curriculum, materials, or instruction for students identified as needing special education because of a delay or disability.</t>
  </si>
  <si>
    <t>Early Learning -&gt; EL Child -&gt; EL Educational Experiences -&gt; Special Education</t>
  </si>
  <si>
    <t>Replaced option set. Modified definition.</t>
  </si>
  <si>
    <t>000321</t>
  </si>
  <si>
    <t>EarlyInterventionOrSpecialEducationServicesReceived</t>
  </si>
  <si>
    <t>Early Intervention or Special Education Services Setting</t>
  </si>
  <si>
    <t>The setting in which a person receives services that adapt the curriculum, materials, or instruction for students identified as needing special education because of a disabling condition.</t>
  </si>
  <si>
    <t>000322</t>
  </si>
  <si>
    <t>EarlyInterventionOrSpecialEducationServicesSetting</t>
  </si>
  <si>
    <t>Early Learning Child Developmental Screening Status</t>
  </si>
  <si>
    <t>The result of a brief standardized screening tool aiding in the identification of children at risk of a developmental delay/disorder.</t>
  </si>
  <si>
    <t>000314</t>
  </si>
  <si>
    <t>EarlyLearningChildDevelopmentalScreeningStatus</t>
  </si>
  <si>
    <t>Early Learning Class Group Curriculum Type</t>
  </si>
  <si>
    <t>The type of curriculum used in an early learning classroom or group.</t>
  </si>
  <si>
    <t>Early Learning -&gt; EL Class/Group -&gt; Curriculum</t>
  </si>
  <si>
    <t>000823</t>
  </si>
  <si>
    <t>EarlyLearningClassGroupCurriculumType</t>
  </si>
  <si>
    <t>Early Learning Class Group Identifier</t>
  </si>
  <si>
    <t>A unique number or alphanumeric code assigned by a school, school system, a state, or other agency or entity for a particular early learning class or group.</t>
  </si>
  <si>
    <t>Early Learning -&gt; EL Class/Group -&gt; Identification</t>
  </si>
  <si>
    <t>000820</t>
  </si>
  <si>
    <t>EarlyLearningClassGroupIdentifier</t>
  </si>
  <si>
    <t>Early Learning Class Group Name</t>
  </si>
  <si>
    <t>Name of an early learning class or group.</t>
  </si>
  <si>
    <t>000821</t>
  </si>
  <si>
    <t>EarlyLearningClassGroupName</t>
  </si>
  <si>
    <t>Early Learning Core Knowledge Area</t>
  </si>
  <si>
    <t>A description of the core knowledge areas addressed by Early Learning professional development.</t>
  </si>
  <si>
    <t>000813</t>
  </si>
  <si>
    <t>EarlyLearningCoreKnowledgeArea</t>
  </si>
  <si>
    <t>Early Learning Federal Funding Type</t>
  </si>
  <si>
    <t>Federal source that contributes to the EL program</t>
  </si>
  <si>
    <t>Early Learning -&gt; EL Child -&gt; Finance</t>
  </si>
  <si>
    <t>001328</t>
  </si>
  <si>
    <t>EarlyLearningFederalFundingType</t>
  </si>
  <si>
    <t>Early Learning Group Size</t>
  </si>
  <si>
    <t>The number of slots/spaces available.</t>
  </si>
  <si>
    <t>Early Learning -&gt; EL Class/Group -&gt; Structure</t>
  </si>
  <si>
    <t>001329</t>
  </si>
  <si>
    <t>EarlyLearningGroupSize</t>
  </si>
  <si>
    <t>Early Learning Group Size Standards Met</t>
  </si>
  <si>
    <t>An indication of whether a program meets NAEYC or NAFCC standards for infant group sizes.</t>
  </si>
  <si>
    <t>Early Learning -&gt; EL Class/Group -&gt; Population</t>
  </si>
  <si>
    <t>000824</t>
  </si>
  <si>
    <t>EarlyLearningGroupSizeStandardsMet</t>
  </si>
  <si>
    <t>Early Learning Oldest Age Authorized to Serve</t>
  </si>
  <si>
    <t>The oldest age of children a class/group is authorized or licensed to serve. (Age is specified in months)</t>
  </si>
  <si>
    <t>001225</t>
  </si>
  <si>
    <t>EarlyLearningOIdestAgeAuthorizedToServe</t>
  </si>
  <si>
    <t>Early Learning Other Federal Funding Sources</t>
  </si>
  <si>
    <t>The other contributing funding sources.</t>
  </si>
  <si>
    <t>001335</t>
  </si>
  <si>
    <t>EarlyLearningOtherFederalFundingSources</t>
  </si>
  <si>
    <t>Early Learning Outcome Measurement Level</t>
  </si>
  <si>
    <t>Use for outcome measures in early learning.</t>
  </si>
  <si>
    <t>Early Learning -&gt; Assessments -&gt; Assessment Result</t>
  </si>
  <si>
    <t>001336</t>
  </si>
  <si>
    <t>EarlyLearningOutcomeMeasurementLevel</t>
  </si>
  <si>
    <t>Early Learning Outcome Time Point</t>
  </si>
  <si>
    <t>The point in time for which the result is used for an outcome measure.</t>
  </si>
  <si>
    <t>001503</t>
  </si>
  <si>
    <t>EarlyLearningOutcomeTimePoint</t>
  </si>
  <si>
    <t>Early Learning Professional Development Topic Area</t>
  </si>
  <si>
    <t>The topical area of competence needed for Staff professional development.</t>
  </si>
  <si>
    <t>001337</t>
  </si>
  <si>
    <t>EarlyLearningProfessionalDevelopmentTopicArea</t>
  </si>
  <si>
    <t>Early Learning Program Annual Operating Weeks</t>
  </si>
  <si>
    <t>The number of operating weeks per year for an early learning program.</t>
  </si>
  <si>
    <t>Integer between 0 and 52.</t>
  </si>
  <si>
    <t>000825</t>
  </si>
  <si>
    <t>EarlyLearningProgramAnnualOperatingWeeks</t>
  </si>
  <si>
    <t>Early Learning Program Developmental Screening Status</t>
  </si>
  <si>
    <t>An indication of whether a program ensures that all children served by the program are receiving developmental screenings.</t>
  </si>
  <si>
    <t>Early Learning -&gt; EL Organization -&gt; Health Promotion</t>
  </si>
  <si>
    <t>000848</t>
  </si>
  <si>
    <t>EarlyLearningProgramDevelopmentalScreeningStatus</t>
  </si>
  <si>
    <t>Early Learning Program Eligibility Category</t>
  </si>
  <si>
    <t>Category under which the person is eligible for an early childhood program or service.</t>
  </si>
  <si>
    <t>Early Learning -&gt; EL Child -&gt; Eligibility (added)</t>
  </si>
  <si>
    <t>000304</t>
  </si>
  <si>
    <t>EarlyLearningProgramEligibilityCategory</t>
  </si>
  <si>
    <t>Early Learning Program Eligibility Expiration Date</t>
  </si>
  <si>
    <t>The year, month, and day on which the child is no longer eligible for the Program.</t>
  </si>
  <si>
    <t>Early Learning -&gt; EL Child -&gt; Eligibility</t>
  </si>
  <si>
    <t>001338</t>
  </si>
  <si>
    <t>EarlyLearningProgramEligibilityExpirationDate</t>
  </si>
  <si>
    <t>Early Learning Program Eligibility Status</t>
  </si>
  <si>
    <t>The status of eligibility for the child.</t>
  </si>
  <si>
    <t>001339</t>
  </si>
  <si>
    <t>EarlyLearningProgramEligibilityStatus</t>
  </si>
  <si>
    <t>Early Learning Program Eligibility Status Date</t>
  </si>
  <si>
    <t>The date of status of eligibility.</t>
  </si>
  <si>
    <t>001340</t>
  </si>
  <si>
    <t>EarlyLearningProgramEligibilityStatusDate</t>
  </si>
  <si>
    <t>Early Learning Program License Revocation Status</t>
  </si>
  <si>
    <t>An indication of whether a program's license was revoked due to violations as determined by the state.</t>
  </si>
  <si>
    <t>000838</t>
  </si>
  <si>
    <t>EarlyLearningProgramLicenseRevocationStatus</t>
  </si>
  <si>
    <t>Early Learning Program License Suspension Status</t>
  </si>
  <si>
    <t>An indication of whether a program's license was suspended due to violations as determined by the state.</t>
  </si>
  <si>
    <t>000837</t>
  </si>
  <si>
    <t>EarlyLearningProgramLicenseSuspensionStatus</t>
  </si>
  <si>
    <t>Early Learning Program Licensing Status</t>
  </si>
  <si>
    <t>The current licensing status for an early learning program.</t>
  </si>
  <si>
    <t>000828</t>
  </si>
  <si>
    <t>EarlyLearningProgramLicensingStatus</t>
  </si>
  <si>
    <t>Early Learning Program Year</t>
  </si>
  <si>
    <t>The year the program is operating.</t>
  </si>
  <si>
    <t>000864</t>
  </si>
  <si>
    <t>EarlyLearningProgramYear</t>
  </si>
  <si>
    <t>Early Learning Staff Total College Credits Earned</t>
  </si>
  <si>
    <t>Total number of college credits earned, including all credits within a degree and outside a degree, regardless of whether they all are early childhood credits.</t>
  </si>
  <si>
    <t>000792</t>
  </si>
  <si>
    <t>EarlyLearningStaffTotalCollegeCreditsEarned</t>
  </si>
  <si>
    <t>Early Learning Youngest Age Authorized to Serve</t>
  </si>
  <si>
    <t>The youngest age of children a class/group is authorized or licensed to serve. (Age is specified in months)</t>
  </si>
  <si>
    <t>000633</t>
  </si>
  <si>
    <t>EarlyLearningYoungestAgeAuthorizedToServe</t>
  </si>
  <si>
    <t>Economic Disadvantage Status</t>
  </si>
  <si>
    <t>An indication that the student met the State criteria for classification as having an economic disadvantage.</t>
  </si>
  <si>
    <t>K12 -&gt; K12 Student -&gt; Economically Disadvantaged</t>
  </si>
  <si>
    <t>000086</t>
  </si>
  <si>
    <t>EconomicDisadvantageStatus</t>
  </si>
  <si>
    <t>Economic Research Service Rural-Urban Continuum Code</t>
  </si>
  <si>
    <t>Rural-Urban Continuum Codes form a classification scheme that distinguishes metropolitan (metro) counties by the population size of their metro area, and nonmetropolitan (nonmetro) counties by degree of urbanization and adjacency to a metro area or areas. The metro and nonmetro categories have been subdivided into three metro and six nonmetro groupings, resulting in a nine-part county codification. The codes allow researchers working with county data to break such data into finer residential groups beyond a simple metro-nonmetro dichotomy, particularly for the analysis of trends in nonmetro areas that may be related to degree of rurality and metro proximity.</t>
  </si>
  <si>
    <t>Early Learning -&gt; EL Organization -&gt; Organization Characteristics</t>
  </si>
  <si>
    <t>000862</t>
  </si>
  <si>
    <t>ERS Rural-Urban Continuum Code</t>
  </si>
  <si>
    <t>ERSRuralUrbanContinuumCode</t>
  </si>
  <si>
    <t>Education Staff Classification</t>
  </si>
  <si>
    <t>The titles of employment, official status, or rank of education staff.</t>
  </si>
  <si>
    <t>000087</t>
  </si>
  <si>
    <t>EducationStaffClassification</t>
  </si>
  <si>
    <t>Educational Services After Removal</t>
  </si>
  <si>
    <t>An indication of whether children (students) were provided educational services when removed from the regular school program for disciplinary reasons.</t>
  </si>
  <si>
    <t>000578</t>
  </si>
  <si>
    <t>EducationalServicesAfterRemoval</t>
  </si>
  <si>
    <t>Electronic Mail Address</t>
  </si>
  <si>
    <t>The numbers, letters, and symbols used to identify an electronic mail (e-mail) user within the network to which the person or organization belongs.</t>
  </si>
  <si>
    <t>Alphanumeric - 7 characters minimum, 128 characters maximum</t>
  </si>
  <si>
    <t>000088</t>
  </si>
  <si>
    <t>Email Address</t>
  </si>
  <si>
    <t>ElectronicMailAddress</t>
  </si>
  <si>
    <t>Electronic Mail Address Type</t>
  </si>
  <si>
    <t>The type of electronic mail (e-mail) address listed for a person or organization.</t>
  </si>
  <si>
    <t>000089</t>
  </si>
  <si>
    <t>Email Address Type</t>
  </si>
  <si>
    <t>ElectronicMailAddressType</t>
  </si>
  <si>
    <t>Elementary-Middle Additional Indicator Status</t>
  </si>
  <si>
    <t>An indication of whether the school or district met the Elementary/Middle Additional Indicator requirement in accordance with state definition for the purpose of determining Adequate Yearly Progress (AYP).</t>
  </si>
  <si>
    <t>000091</t>
  </si>
  <si>
    <t>ElementaryMiddleAdditionalIndicatorStatus</t>
  </si>
  <si>
    <t>Eligibility Status for School Food Service Programs</t>
  </si>
  <si>
    <t>An indication of a student's level of eligibility to participate in the National School Lunch Program for breakfast, lunch, snack, supper, and milk programs.</t>
  </si>
  <si>
    <t>000092</t>
  </si>
  <si>
    <t>EligibilityStatusForSchoolFoodServicePrograms</t>
  </si>
  <si>
    <t>Emergency Contact Indicator</t>
  </si>
  <si>
    <t>Indicates whether or not the person is a designated emergency contact for the learner.</t>
  </si>
  <si>
    <t>001341</t>
  </si>
  <si>
    <t>EmergencyContactIndicator</t>
  </si>
  <si>
    <t>Employed After Exit</t>
  </si>
  <si>
    <t>An individual who is a paid employee or works in his or her own business, profession, or farm, as reported through the State Unemployment Insurance Wage Report, FEDES, or WRIS, after exiting secondary, postsecondary, or adult education or workforce programs.</t>
  </si>
  <si>
    <t>Persistence and Attainment of Nontraditional Students</t>
  </si>
  <si>
    <t>Definition changed</t>
  </si>
  <si>
    <t>Individual-level data obtained by matching records with wage records, FEDES, or WRIS. The State Education Agency defines the time period for this collection around an exit period and a corresponding period for employment and earnings data to be obtained. The option set includes "Yes" for employment found via one of the resources listed in the source element. These sources will provide information about most of the types of jobs that students or former students will become employed in but not all. For that reason when a record is "not found" or "not matched" their employment status is "unknown" for the targeted time base.</t>
  </si>
  <si>
    <t>000988</t>
  </si>
  <si>
    <t>EmployedAfterExit</t>
  </si>
  <si>
    <t>Employed Prior to Enrollment</t>
  </si>
  <si>
    <t>An individual who is a paid employee or works in his or her own business, profession, or farm, as reported through the State Unemployment Insurance Wage Report, FEDES, or WRIS, before enrolling in secondary, postsecondary, or adult education or workforce programs.</t>
  </si>
  <si>
    <t>Workforce -&gt; Quarterly Employment Record</t>
  </si>
  <si>
    <t>Individual-level data obtained by matching records with wage records, FEDES, or WRIS. The State Education Agency defines the time period for this collection around an exit period and a corresponding period for employment and earnings data to be obtained. The option set includes "Yes" for employment found via one of the resources listed in the source element. These sources won't tell you anything further about employment or unemployment, only that a record was "not found" or "not matched" thus “unknown."</t>
  </si>
  <si>
    <t>001342</t>
  </si>
  <si>
    <t>EmployedPriorToEnrollment</t>
  </si>
  <si>
    <t>Employed While Enrolled</t>
  </si>
  <si>
    <t>An individual who is a paid employee or works in his or her own business, profession, or farm, as reported through the State Unemployment Insurance Wage Report, FEDES, or WRIS, and at the same time is enrolled in secondary, postsecondary, or adult education or workforce programs.</t>
  </si>
  <si>
    <t>Individual-level data obtained by matching records with wage records, FEDES, or WRIS. The State Education Agency defines the time period for this collection around an exit period and a corresponding period for employment and earnings data to be obtained. The option set includes "Yes" for employment found via one of the resources listed in the source element. These sources won't tell you anything further about employment or unemployment, only that a record was "not found" or "not matched" thus "unknown."</t>
  </si>
  <si>
    <t>000987</t>
  </si>
  <si>
    <t>EmployedWhileEnrolled</t>
  </si>
  <si>
    <t>Employment End Date</t>
  </si>
  <si>
    <t>The year, month and day on which a person ended self-employment or employment with an organization or institution.</t>
  </si>
  <si>
    <t>000795</t>
  </si>
  <si>
    <t>EmploymentEndDate</t>
  </si>
  <si>
    <t>Employment Location</t>
  </si>
  <si>
    <t>The state or other location in which an individual is found employed.</t>
  </si>
  <si>
    <t>Name changed from Employment Location State Abbreviation.</t>
  </si>
  <si>
    <t>Workforce Notes: The most commonly available indication of where employment is located is at the state level. While federal data resources provide indicators outside of the United States, these resources will not represent the majority of the students found employed, which will be based on state UI Wage Data. There may, in some instances, be multiple states where employment is found. Note that it may be desirable to collect these data over time, in a longitudinal sense, to measure things related to persistence, change, and growth in employment.</t>
  </si>
  <si>
    <t>000990</t>
  </si>
  <si>
    <t>EmploymentLocation</t>
  </si>
  <si>
    <t>Employment NAICS Code</t>
  </si>
  <si>
    <t>The North American Industry Classification System (NAICS) code associated with an individual's employment.</t>
  </si>
  <si>
    <t>See http://www.census.gov/eos/www/naics/</t>
  </si>
  <si>
    <t>######</t>
  </si>
  <si>
    <t>001064</t>
  </si>
  <si>
    <t>EmploymentNAICSCode</t>
  </si>
  <si>
    <t>Employment Record Administrative Data Source</t>
  </si>
  <si>
    <t>Administrative data source of information used to collect employment and earnings-related data.</t>
  </si>
  <si>
    <t>Name changed from Quarterly Employment Record Administrative Data Source.</t>
  </si>
  <si>
    <t>For over 25 years, states have relied upon administrative data sources to document the employment and earnings of students and former students. The sources listed are complementary, rather than alternatives. That is, State UI records only include information for employees within a state's boundaries. The WRIS II system can provide employment data for other states (from their UI wage record systems). State UI records do not include information about federal or postal service employment, nor do they contain information about military enlistments. FEDES provides access to that information. Ideally, an entity will use UI, WRIS (other state UI), and FEDES together.</t>
  </si>
  <si>
    <t>000994</t>
  </si>
  <si>
    <t>EmploymentRecordAdministrativeDataSource</t>
  </si>
  <si>
    <t>Employment Record Reference Period End Date</t>
  </si>
  <si>
    <t>The year, month, and day of the last day of the employment record reference period.</t>
  </si>
  <si>
    <t>Name changed from Quarterly Employment Record Reference Quarter End Date. Updated definiton.</t>
  </si>
  <si>
    <t>The reference quarter is the 13-week period around which employment and earnings data are collected. For unemployment insurance purposes, quarters are defined by 13-week periods. In most state cases, a reference quarter is defined to coincide with an enrollment period (e.g., a term or semester) or as a certain number of quarters after exiting a program, such as "3d quarter after exit." In some cases, states have defined the reference quarter to represent a period where employment and earnings data are collected for all of a previous year's exits and graduates. This is often the October- December quarter. Ultimately, the most value to be gained from the use of employment and earnings data is when data are collected continuously, both in a longitudinal sense for defined cohorts of students, as well as for an "annual set" of students.</t>
  </si>
  <si>
    <t>000993</t>
  </si>
  <si>
    <t>EmploymentRecordReferencePeriodEndDate</t>
  </si>
  <si>
    <t>Employment Record Reference Period Start Date</t>
  </si>
  <si>
    <t>The year, month, and day of the first day of the employment record reference period.</t>
  </si>
  <si>
    <t>Name changed from Quarterly Employment Record Reference Quarter Start Date. Updated definitioin.</t>
  </si>
  <si>
    <t>000992</t>
  </si>
  <si>
    <t>EmploymentRecordReferencePeriodStartDate</t>
  </si>
  <si>
    <t>Employment Separation Reason</t>
  </si>
  <si>
    <t>The primary reason for the termination of the employment relationship.</t>
  </si>
  <si>
    <t>Added to option set.</t>
  </si>
  <si>
    <t>000620</t>
  </si>
  <si>
    <t>EmploymentSeparationReason</t>
  </si>
  <si>
    <t>Employment Separation Type</t>
  </si>
  <si>
    <t>A designation of the type of separation occurring between a person and the organization.</t>
  </si>
  <si>
    <t>000621</t>
  </si>
  <si>
    <t>EmploymentSeparationType</t>
  </si>
  <si>
    <t>Employment Start Date</t>
  </si>
  <si>
    <t>The year, month and day on which a person began self-employment or employment with an organization or institution.</t>
  </si>
  <si>
    <t>000346</t>
  </si>
  <si>
    <t>EmploymentStartDate</t>
  </si>
  <si>
    <t>Employment Status</t>
  </si>
  <si>
    <t>000347</t>
  </si>
  <si>
    <t>EmploymentStatus</t>
  </si>
  <si>
    <t>Employment Status While Enrolled</t>
  </si>
  <si>
    <t>An indication of the individual's employment status while enrolled.</t>
  </si>
  <si>
    <t>Postsecondary -&gt; PS Student -&gt; Employment</t>
  </si>
  <si>
    <t>001343</t>
  </si>
  <si>
    <t>EmploymentStatusWhileEnrolled</t>
  </si>
  <si>
    <t>End of Term Status</t>
  </si>
  <si>
    <t>The nature of the student's progress at the end of a given school term.</t>
  </si>
  <si>
    <t>000093</t>
  </si>
  <si>
    <t>EndOfTermStatus</t>
  </si>
  <si>
    <t>Enrollment Date</t>
  </si>
  <si>
    <t>The year, month and day on which a person is considered officially enrolled in the program.</t>
  </si>
  <si>
    <t>000324</t>
  </si>
  <si>
    <t>EnrollmentDate</t>
  </si>
  <si>
    <t>Enrollment Entry Date</t>
  </si>
  <si>
    <t>The month, day, and year on which a person enters and begins to receive instructional services in a school, institution, program, or class-section during a given session.</t>
  </si>
  <si>
    <t>000097</t>
  </si>
  <si>
    <t>EnrollmentEntryDate</t>
  </si>
  <si>
    <t>Enrollment in Postsecondary Award Type</t>
  </si>
  <si>
    <t>An indicator of the award level in which the person is currently enrolled.</t>
  </si>
  <si>
    <t>000361</t>
  </si>
  <si>
    <t>EnrollmentInPostsecondaryAwardType</t>
  </si>
  <si>
    <t>Enrollment Status</t>
  </si>
  <si>
    <t>An indication as to whether a student's name was, is, or will be officially registered on the roll of a school or schools.</t>
  </si>
  <si>
    <t>000094</t>
  </si>
  <si>
    <t>EnrollmentStatus</t>
  </si>
  <si>
    <t>Entry Date into Postsecondary</t>
  </si>
  <si>
    <t>The year, month and day on which a person entered and began to receive instructional services at a postsecondary institution for the first time after completing high school (or its equivalent).</t>
  </si>
  <si>
    <t>000098</t>
  </si>
  <si>
    <t>EntryDateIntoPostsecondary</t>
  </si>
  <si>
    <t>Entry Grade Level</t>
  </si>
  <si>
    <t>The grade level or primary instructional level at which a student enters and receives services in a school or an educational institution during a given academic session.</t>
  </si>
  <si>
    <t>000100</t>
  </si>
  <si>
    <t>EntryGradeLevel</t>
  </si>
  <si>
    <t>Entry Type</t>
  </si>
  <si>
    <t>The process by which a student enters a school during a given academic session.</t>
  </si>
  <si>
    <t>000099</t>
  </si>
  <si>
    <t>EntryType</t>
  </si>
  <si>
    <t>Exit Date</t>
  </si>
  <si>
    <t>The year, month and day on which the student officially withdrew or graduated, i.e. the date on which the student's enrollment ended.</t>
  </si>
  <si>
    <t>000107</t>
  </si>
  <si>
    <t>ExitDate</t>
  </si>
  <si>
    <t>Exit Grade Level</t>
  </si>
  <si>
    <t>The grade level or primary instructional level at which a student exits a school, program, or an educational institution.</t>
  </si>
  <si>
    <t>001210</t>
  </si>
  <si>
    <t>ExitGradeLevel</t>
  </si>
  <si>
    <t>Exit or Withdrawal Status</t>
  </si>
  <si>
    <t>An indication as to whether an instance of student exit/withdrawal is considered to be of a permanent or temporary nature.</t>
  </si>
  <si>
    <t>000108</t>
  </si>
  <si>
    <t>ExitOrWithdrawalStatus</t>
  </si>
  <si>
    <t>Exit or Withdrawal Type</t>
  </si>
  <si>
    <t>The circumstances under which the student exited from membership in an educational institution.</t>
  </si>
  <si>
    <t>000110</t>
  </si>
  <si>
    <t>ExitOrWithdrawalType</t>
  </si>
  <si>
    <t>Exit Reason</t>
  </si>
  <si>
    <t>The documented or assumed reason a student is no longer being served by a special program.</t>
  </si>
  <si>
    <t>000222</t>
  </si>
  <si>
    <t>ExitReason</t>
  </si>
  <si>
    <t>Facilities Identifier</t>
  </si>
  <si>
    <t>A locally assigned unique number or alphanumeric code used to capture precise information on locations specific to a school (e.g., building number, class number, hall number, school bus number, computer station number, or internet protocol (IP) address).</t>
  </si>
  <si>
    <t>000504</t>
  </si>
  <si>
    <t>FacilitiesIdentifier</t>
  </si>
  <si>
    <t>Facility Building Name</t>
  </si>
  <si>
    <t>The full, legally accepted or popularly accepted name of a building.</t>
  </si>
  <si>
    <t>001205</t>
  </si>
  <si>
    <t>FacilityBuildingName</t>
  </si>
  <si>
    <t>Facility Licensing Status</t>
  </si>
  <si>
    <t>The status of the facility license.</t>
  </si>
  <si>
    <t>000984</t>
  </si>
  <si>
    <t>FacilityLicensingStatus</t>
  </si>
  <si>
    <t>Facility Profit Status</t>
  </si>
  <si>
    <t>An indication of the for-profit status of a facility.</t>
  </si>
  <si>
    <t>Early Learning -&gt; EL Organization -&gt; Facility</t>
  </si>
  <si>
    <t>000834</t>
  </si>
  <si>
    <t>FacilityProfitStatus</t>
  </si>
  <si>
    <t>Facility Space Description</t>
  </si>
  <si>
    <t>A description of the space, as determined by its physical layout and built-in systems and equipment.</t>
  </si>
  <si>
    <t>001207</t>
  </si>
  <si>
    <t>FacilitySpaceDescription</t>
  </si>
  <si>
    <t>Facility Space Use Type</t>
  </si>
  <si>
    <t>The primary use of a space, as determined by its physical layout and built-in systems and equipment, regardless of its original design.</t>
  </si>
  <si>
    <t>001208</t>
  </si>
  <si>
    <t>FacilitySpaceUseType</t>
  </si>
  <si>
    <t>Faculty and Administration Performance Level</t>
  </si>
  <si>
    <t>The levels used in district evaluation systems for assigning teacher or principal performance ratings.</t>
  </si>
  <si>
    <t>K12 -&gt; K12 Staff -&gt; Professional Development</t>
  </si>
  <si>
    <t>000589</t>
  </si>
  <si>
    <t>FacultyAndAdministrationPerformanceLevel</t>
  </si>
  <si>
    <t>Faculty Status</t>
  </si>
  <si>
    <t>Persons identified by the institution as such and typically those whose initial assignments are made for the purpose of conducting instruction, research or public service as a principal activity (or activities). They may hold academic rank titles of professor, associate professor, assistant professor, instructor, lecturer or the equivalent of any of those academic ranks. Faculty may also include the chancellor/president, provost, vice provosts, deans, directors or the equivalent, as well as associate deans, assistant deans and executive officers of academic departments (chairpersons, heads or the equivalent) if their principal activity is instruction combined with research and/or public service. The designation as "faculty" is separate from the activities to which they may be currently assigned. For example, a newly appointed president of an institution may also be appointed as a faculty member. Graduate, instruction, and research assistants are not included in this category.</t>
  </si>
  <si>
    <t>As defined in IPEDS.</t>
  </si>
  <si>
    <t>000734</t>
  </si>
  <si>
    <t>FacultyStatus</t>
  </si>
  <si>
    <t>Family and Consumer Sciences Course Indicator</t>
  </si>
  <si>
    <t>An indication that the course is associated with the Family and Consumer Sciences plan of study.</t>
  </si>
  <si>
    <t>001344</t>
  </si>
  <si>
    <t>FamilyAndConsumerSciencesCourseIndicator</t>
  </si>
  <si>
    <t>Family Identifier</t>
  </si>
  <si>
    <t>A unique number or alphanumeric code assigned to a family by a school, school system, a state, or other agency or entity.</t>
  </si>
  <si>
    <t>Early Learning -&gt; EL Family -&gt; Identifier</t>
  </si>
  <si>
    <t>000787</t>
  </si>
  <si>
    <t>FamilyIdentifier</t>
  </si>
  <si>
    <t>Family Income</t>
  </si>
  <si>
    <t>Total income of family from all sources. Income includes money, wages or salary before deductions; net income from non-farm self-employment; net income from farm self-employment; regular payments from Social Security or railroad retirement; payments from unemployment compensation, strike benefits from union funds, workers’ compensation, veterans benefits (with the exception noted below), public assistance (including Temporary Assistance for Needy Families, Supplemental Security Income, Emergency Assistance money payments, and non-Federally funded General Assistance or General Relief money payments); training stipends; alimony, child support, and military family allotments or other regular support from an absent family member or someone not living in the household; private pensions, government employee pensions (including military retirement pay), and regular insurance or annuity payments; college or university scholarships, grants, fellowships, and assistantships; and dividends, interest, net rental income, net royalties, and periodic receipts from estates or trusts; and net gambling or lottery winnings.</t>
  </si>
  <si>
    <t>Early Learning -&gt; EL Family -&gt; Family/Household Information</t>
  </si>
  <si>
    <t>Added usage note.</t>
  </si>
  <si>
    <t>Family Income is calculated based on the method specified by “Income Calculation Method.”</t>
  </si>
  <si>
    <t>000332</t>
  </si>
  <si>
    <t>FamilyIncome</t>
  </si>
  <si>
    <t>Father's or Paternal Guardian Education</t>
  </si>
  <si>
    <t>The highest level of education attained by a person's father or paternal guardian</t>
  </si>
  <si>
    <t>001230</t>
  </si>
  <si>
    <t>FathersOrPaternalGuardianEducation</t>
  </si>
  <si>
    <t>Federal Program Code</t>
  </si>
  <si>
    <t>The unique five-digit number assigned to each federal program as listed in the Catalog of Federal Domestic Assistance (CFDA) Programs. See http://www.cfda.gov/.</t>
  </si>
  <si>
    <t>000547</t>
  </si>
  <si>
    <t>FederalProgramCode</t>
  </si>
  <si>
    <t>Federal Programs Funding Allocation</t>
  </si>
  <si>
    <t>The amount of federal dollars distributed to local education agencies (LEAs), retained by the state education agency (SEA) for program administration or other approved state-level activities (including unallocated, transferred to another state agency, or distributed to entities other than LEAs).</t>
  </si>
  <si>
    <t>000549</t>
  </si>
  <si>
    <t>FederalProgramsFundingAllocation</t>
  </si>
  <si>
    <t>Federal Programs Funding Allocation Type</t>
  </si>
  <si>
    <t>The type of federal program funding allocation or distribution made.</t>
  </si>
  <si>
    <t>000548</t>
  </si>
  <si>
    <t>FederalProgramsFundingAllocationType</t>
  </si>
  <si>
    <t>Federal School Code</t>
  </si>
  <si>
    <t>A unique code assigned by the U.S. Department of Education to schools participating in the Title IV Federal Student Aid programs. Persons enter these codes in the Free Application for Federal Student Aid (FAFSA) to indicate which postsecondary schools they want to receive their financial aid application results.</t>
  </si>
  <si>
    <t>See http://www.ifap.ed.gov/fedschcodelist/attachments/1112FedSchoolCodeList.xls</t>
  </si>
  <si>
    <t>000111</t>
  </si>
  <si>
    <t>FederalSchoolCode</t>
  </si>
  <si>
    <t>Financial Account Category</t>
  </si>
  <si>
    <t>A label for a grouping of financial accounts, based on type and purpose.</t>
  </si>
  <si>
    <t>001345</t>
  </si>
  <si>
    <t>FinancialAccountCategory</t>
  </si>
  <si>
    <t>Financial Account Description</t>
  </si>
  <si>
    <t>The description for the financial account in an educational institution’s accounting system.</t>
  </si>
  <si>
    <t>001346</t>
  </si>
  <si>
    <t>FinancialAccountDescription</t>
  </si>
  <si>
    <t>Financial Account Fund Classification</t>
  </si>
  <si>
    <t>A separate fiscal and accounting entity with a self-balancing set of accounts recording cash and other financial resources, together with all related liabilities and residual equities or balances, or changes therein.</t>
  </si>
  <si>
    <t>See the NCES Handbook "Financial Accounting for Local and State School Systems: 2009 Edition" for implementation guidelines and complete code descriptions for the budgeting, accounting, and financial reporting processes. The option set for this element is from the codes presented in chapter 6 of that document.</t>
  </si>
  <si>
    <t>001347</t>
  </si>
  <si>
    <t>FinancialAccountFundClassification</t>
  </si>
  <si>
    <t>Financial Account Name</t>
  </si>
  <si>
    <t>The name given to the financial account in an educational institution’s accounting system.</t>
  </si>
  <si>
    <t>001348</t>
  </si>
  <si>
    <t>FinancialAccountName</t>
  </si>
  <si>
    <t>Financial Account Program Code</t>
  </si>
  <si>
    <t>The code associated with the program category used for financial accounting -- a plan of activities and procedures designed to accomplish a predetermined objective or set of objectives.</t>
  </si>
  <si>
    <t>001349</t>
  </si>
  <si>
    <t>FinancialAccountProgramCode</t>
  </si>
  <si>
    <t>Financial Accounting Period Actual Value</t>
  </si>
  <si>
    <t>The actual value of a financial account for the specified accounting period or academic session.</t>
  </si>
  <si>
    <t>001350</t>
  </si>
  <si>
    <t>FinancialAccountingPeriodActualValue</t>
  </si>
  <si>
    <t>Financial Accounting Period Budgeted Value</t>
  </si>
  <si>
    <t>The budgeted value of a financial account for the specified accounting period or academic session.</t>
  </si>
  <si>
    <t>001351</t>
  </si>
  <si>
    <t>FinancialAccountingPeriodBudgetedValue</t>
  </si>
  <si>
    <t>Financial Aid Applicant</t>
  </si>
  <si>
    <t>Any applicant who submits any one of the institutionally required financial aid applications/forms, such as the Free Application for Federal Student Aid (FAFSA).</t>
  </si>
  <si>
    <t>Postsecondary -&gt; PS Student -&gt; Financial Aid</t>
  </si>
  <si>
    <t>Common Data Set definition.</t>
  </si>
  <si>
    <t>Element should be used in combination with Financial Aid Applicant Type.</t>
  </si>
  <si>
    <t>000763</t>
  </si>
  <si>
    <t>FinancialAidApplicant</t>
  </si>
  <si>
    <t>Financial Aid Application Type</t>
  </si>
  <si>
    <t>The type of financial application completed by an individual.</t>
  </si>
  <si>
    <t>Common Data Set definition. This element may be repeated multiple times.</t>
  </si>
  <si>
    <t>001223</t>
  </si>
  <si>
    <t>FinancialAidApplicationType</t>
  </si>
  <si>
    <t>Financial Aid Award Amount</t>
  </si>
  <si>
    <t>The amount of financial aid awarded to a person for the term/year.</t>
  </si>
  <si>
    <t>Linked to financial aid award type. Note: For any given individual this cluster of fields may be repeated multiple times.</t>
  </si>
  <si>
    <t>000112</t>
  </si>
  <si>
    <t>FinancialAidAwardAmount</t>
  </si>
  <si>
    <t>Financial Aid Award Status</t>
  </si>
  <si>
    <t>An indication of whether the financial aid type being reported is aid that has been awarded, accepted or dispersed.</t>
  </si>
  <si>
    <t>Linked to financial aid type, financial aid amount. Note: For any given individual this field may be repeated multiple times.</t>
  </si>
  <si>
    <t>000363</t>
  </si>
  <si>
    <t>FinancialAidAwardStatus</t>
  </si>
  <si>
    <t>Financial Aid Award Type</t>
  </si>
  <si>
    <t>The classification of financial aid awarded to a person for the academic term/year.</t>
  </si>
  <si>
    <t>Linked to financial aid type. Note: For any given individual this cluster of fields may be repeated multiple times.</t>
  </si>
  <si>
    <t>000113</t>
  </si>
  <si>
    <t>FinancialAidAwardType</t>
  </si>
  <si>
    <t>Financial Aid Income Level</t>
  </si>
  <si>
    <t>The income level of an individual that is used by an institution's financial aid office to determine an individual's Expected Family Contribution (EFC). For dependent students this will include the parents' adjusted gross income and the student's adjusted gross income. For independent students this will include the student's adjusted gross income.</t>
  </si>
  <si>
    <t>001352</t>
  </si>
  <si>
    <t>FinancialAidIncomeLevel</t>
  </si>
  <si>
    <t>Financial Balance Sheet Account Code</t>
  </si>
  <si>
    <t>Balance sheet accounts and statement of net asset accounts are used to track financial transactions for each fund. Such financial statements report assets, liabilities, and equity accounts only and are considered "snapshots" of how these accounts stand as of a certain point in time. Based on codes specified in the NCES Handbook "Financial Accounting for Local and State School Systems: 2009 Edition."</t>
  </si>
  <si>
    <t>See the NCES Handbook "Financial Accounting for Local and State School Systems:2009 Edition" for implementation guidelines and complete code descriptions for the budgeting, accounting, and financial reporting processes. The data items in both the National Public Education Financial Survey (NPEFS) and the School District Finance Survey (F-33) are based on the account codes presented in that handbook, and adopted by CEDS. Each item on the survey forms is defined through reference to the account codes presented in chapter 6.3 of the Handbook and in this CEDS element.</t>
  </si>
  <si>
    <t>001353</t>
  </si>
  <si>
    <t>FinancialBalanceSheetAccountCode</t>
  </si>
  <si>
    <t>Financial Expenditure Function Code</t>
  </si>
  <si>
    <t>The function describes the activity for which a service or material object is acquired. The functions of a school district are classified into five broad areas: instruction, support services, operation of non-instructional services, facilities acquisition and construction, and debt service. Functions are further classified into sub functions.</t>
  </si>
  <si>
    <t>001354</t>
  </si>
  <si>
    <t>FinancialExpenditureFunctionCode</t>
  </si>
  <si>
    <t>Financial Expenditure Object Code</t>
  </si>
  <si>
    <t>This classification is used to describe the service or commodity obtained as the result of a specific expenditure.</t>
  </si>
  <si>
    <t>See the NCES Handbook "Financial Accounting for Local and State School Systems: 2009 Edition" for implementation guidelines and complete code descriptions for the budgeting, accounting, and financial reporting processes. The data items in both the National Public Education Financial Survey (NPEFS) and the School District Finance Survey (F-33) are based on the account codes presented in that handbook, and adopted by CEDS. Each item on the survey forms is defined through reference to the account codes presented in chapter 6.3 of the Handbook and in this CEDS element.</t>
  </si>
  <si>
    <t>001355</t>
  </si>
  <si>
    <t>FinancialExpenditureObjectCode</t>
  </si>
  <si>
    <t>Financial Need</t>
  </si>
  <si>
    <t>The amount of financial need as determined by an institution using the federal methodology and/or your institution's own standards.</t>
  </si>
  <si>
    <t>Common Data Set definition</t>
  </si>
  <si>
    <t>000765</t>
  </si>
  <si>
    <t>FinancialNeed</t>
  </si>
  <si>
    <t>Financial Need Determination Methodology</t>
  </si>
  <si>
    <t>The methodology used to determine an individual's financial need.</t>
  </si>
  <si>
    <t>Element should be used in combination with Financial Need.</t>
  </si>
  <si>
    <t>001224</t>
  </si>
  <si>
    <t>FinancialNeedDeterminationMethodology</t>
  </si>
  <si>
    <t>Financial Revenue Account Code</t>
  </si>
  <si>
    <t>Codes are for recording revenue and other receivables by source. Based on codes specified in the NCES Handbook "Financial Accounting for Local and State School Systems: 2009 Edition"</t>
  </si>
  <si>
    <t>001468</t>
  </si>
  <si>
    <t>FinancialRevenueAccountCode</t>
  </si>
  <si>
    <t>Firearm Type</t>
  </si>
  <si>
    <t>The type of firearm.</t>
  </si>
  <si>
    <t>K12 -&gt; Incident</t>
  </si>
  <si>
    <t>000557</t>
  </si>
  <si>
    <t>FirearmType</t>
  </si>
  <si>
    <t>First Aid Certification Expiration Date</t>
  </si>
  <si>
    <t>The date an individual's first aid training certification expires.</t>
  </si>
  <si>
    <t>001060</t>
  </si>
  <si>
    <t>FirstAidCertificationExpirationDate</t>
  </si>
  <si>
    <t>First Entry Date into a US School</t>
  </si>
  <si>
    <t>The year, month and day of a person's initial enrollment into a United States school.</t>
  </si>
  <si>
    <t>K12 -&gt; K12 Student -&gt; Immigrant</t>
  </si>
  <si>
    <t>000529</t>
  </si>
  <si>
    <t>FirstEntryDateIntoUSSchool</t>
  </si>
  <si>
    <t>First Instruction Date</t>
  </si>
  <si>
    <t>The year, month and day of the first day of student instruction for the school year.</t>
  </si>
  <si>
    <t>000497</t>
  </si>
  <si>
    <t>FirstInstructionDate</t>
  </si>
  <si>
    <t>First Name</t>
  </si>
  <si>
    <t>The full legal first name given to a person at birth, baptism, or through legal change.</t>
  </si>
  <si>
    <t>Workforce Note: To collect data on workforce program participation, a data match will have to be negotiated between state agencies. The data match makes use of name, social security number, gender and ethnicity data.</t>
  </si>
  <si>
    <t>000115</t>
  </si>
  <si>
    <t>FirstName</t>
  </si>
  <si>
    <t>First Time Postsecondary Student</t>
  </si>
  <si>
    <t>A person who has no prior postsecondary experience attending any institution for the first time at the undergraduate level since completing high school (or its equivalent). This includes persons enrolled in academic or occupational programs. It also includes persons enrolled in the fall term who attended college for the first time in the prior summer term, and persons who entered with advanced standing (college credits earned before graduation from high school).</t>
  </si>
  <si>
    <t>000117</t>
  </si>
  <si>
    <t>FirstTimePostsecondaryStudent</t>
  </si>
  <si>
    <t>Foster Care End Date</t>
  </si>
  <si>
    <t>The date a child or youth exited foster care.</t>
  </si>
  <si>
    <t>Early Learning -&gt; EL Child -&gt; Demographic</t>
  </si>
  <si>
    <t>001522</t>
  </si>
  <si>
    <t>FosterCareEndDate</t>
  </si>
  <si>
    <t>Foster Care Start Date</t>
  </si>
  <si>
    <t>The date a child or youth entered into foster care.</t>
  </si>
  <si>
    <t>001523</t>
  </si>
  <si>
    <t>FosterCareStartDate</t>
  </si>
  <si>
    <t>Foster Care Status</t>
  </si>
  <si>
    <t>An indication that the child is in foster care.</t>
  </si>
  <si>
    <t>001082</t>
  </si>
  <si>
    <t>FosterCareStatus</t>
  </si>
  <si>
    <t>Fraternity Participation Status</t>
  </si>
  <si>
    <t>Student is in membership of a chiefly social organization of men students at a college or university, usually designated by Greek letters.</t>
  </si>
  <si>
    <t>000761</t>
  </si>
  <si>
    <t>FraternityParticipationStatus</t>
  </si>
  <si>
    <t>Frequency of Service</t>
  </si>
  <si>
    <t>The frequency at which a service is planned to occur.</t>
  </si>
  <si>
    <t>Early Learning -&gt; EL Child -&gt; Services</t>
  </si>
  <si>
    <t>001356</t>
  </si>
  <si>
    <t>FrequencyOfService</t>
  </si>
  <si>
    <t>Full Year Expulsion</t>
  </si>
  <si>
    <t>An expulsion with or without services for a period of one full year (i.e., 365 days).</t>
  </si>
  <si>
    <t>000513</t>
  </si>
  <si>
    <t>FullYearExpulsion</t>
  </si>
  <si>
    <t>Full-Time Employee Benefits</t>
  </si>
  <si>
    <t>The benefits offered by a program/facility/employer for full-time staff.</t>
  </si>
  <si>
    <t>000866</t>
  </si>
  <si>
    <t>FullTimeEmployeeBenefits</t>
  </si>
  <si>
    <t>Full-time Status</t>
  </si>
  <si>
    <t>An indication of whether an individual is employed for a standard number of hours (as determined by civil or organizational policies) in a week, month, or other period of time.</t>
  </si>
  <si>
    <t>Postsecondary: The type of appointment at the snapshot date determines whether an employee is full-time or part-time. The employee's term of contract is not considered in making the determination of full or part-time. Causal employees (hired on an ad-hoc basis or occasional basis to meet short-term needs) and students in the College Work-Study Program (CWS) are not considered part-time staff.</t>
  </si>
  <si>
    <t>000736</t>
  </si>
  <si>
    <t>FullTimeStatus</t>
  </si>
  <si>
    <t>Funds Transfer Amount</t>
  </si>
  <si>
    <t>The total amount of FY appropriated funds transferred from and to each eligible program.</t>
  </si>
  <si>
    <t>K12 -&gt; LEA -&gt; Federal Funds</t>
  </si>
  <si>
    <t>000452</t>
  </si>
  <si>
    <t>FundsTransferAmount</t>
  </si>
  <si>
    <t>GED Preparation Program Participation Status</t>
  </si>
  <si>
    <t>An indication that a student aged 16-19 participates in a General Educational Development (GED) preparation program.</t>
  </si>
  <si>
    <t>000120</t>
  </si>
  <si>
    <t>GEDPreparationProgramParticipationStatus</t>
  </si>
  <si>
    <t>Generation Code or Suffix</t>
  </si>
  <si>
    <t>An appendage, if any, used to denote a person's generation in his family (e.g., Jr., Sr., III).</t>
  </si>
  <si>
    <t>000121</t>
  </si>
  <si>
    <t>GenerationCodeOrSuffix</t>
  </si>
  <si>
    <t>Gifted and Talented Indicator</t>
  </si>
  <si>
    <t>An indication that the student is participating in and served by a Gifted/Talented program.</t>
  </si>
  <si>
    <t>Changed name from Gifted and Talented.</t>
  </si>
  <si>
    <t>000122</t>
  </si>
  <si>
    <t>GiftedAndTalentedIndicator</t>
  </si>
  <si>
    <t>Goals for Attending Adult Education</t>
  </si>
  <si>
    <t>A person's reasons for attending an adult education class or program.</t>
  </si>
  <si>
    <t>001079</t>
  </si>
  <si>
    <t>GoalsForAttendingAdultEducation</t>
  </si>
  <si>
    <t>Grade Earned</t>
  </si>
  <si>
    <t>A final indicator of student performance in a class as submitted by the instructor.</t>
  </si>
  <si>
    <t>Alphanumeric - 15 characters maximum</t>
  </si>
  <si>
    <t>000124</t>
  </si>
  <si>
    <t>GradeEarned</t>
  </si>
  <si>
    <t>Grade Level When Assessed</t>
  </si>
  <si>
    <t>The grade or developmental level of a student when assessed.</t>
  </si>
  <si>
    <t>000126</t>
  </si>
  <si>
    <t>GradeLevelWhenAssessed</t>
  </si>
  <si>
    <t>Grade Level When Course Taken</t>
  </si>
  <si>
    <t>Student's grade level at time of course.</t>
  </si>
  <si>
    <t>000125</t>
  </si>
  <si>
    <t>GradeLevelWhenCourseTaken</t>
  </si>
  <si>
    <t>Grade Point Average</t>
  </si>
  <si>
    <t>The value of the total quality points divided by the Credit Hours for Grade Point Average.</t>
  </si>
  <si>
    <t>Numeric - up to 4 digits after decimal place</t>
  </si>
  <si>
    <t>000127</t>
  </si>
  <si>
    <t>GradePointAverage</t>
  </si>
  <si>
    <t>Grade Point Average Cumulative</t>
  </si>
  <si>
    <t>A measure of average performance in all courses taken by a person during his or her school career as determined for record-keeping purposes. This is obtained by dividing the total grade points received by the total number of credits attempted. This usually includes grade points received and credits attempted in his or her current school as well as those transferred from schools in which the person was previously enrolled.</t>
  </si>
  <si>
    <t>Related Connection; linked to Grade Point Average Weighted Indicator, High School Percentile, High School Rank, and Size of High School Graduating Class</t>
  </si>
  <si>
    <t>000128</t>
  </si>
  <si>
    <t>GPA - Cumulative</t>
  </si>
  <si>
    <t>GPACumulative</t>
  </si>
  <si>
    <t>Grade Point Average Domain</t>
  </si>
  <si>
    <t>The domain to which the Grade Point Average is referencing.</t>
  </si>
  <si>
    <t>Used to indicate to which academic domain a grade point element is referencing</t>
  </si>
  <si>
    <t>000758</t>
  </si>
  <si>
    <t>GPA Domain</t>
  </si>
  <si>
    <t>GradePointAverageDomain</t>
  </si>
  <si>
    <t>Grade Point Average Given Session</t>
  </si>
  <si>
    <t>A measure of average performance in all courses taken by a person during a given session. This is obtained by dividing the total grade points received by the number of credits attempted for the same session.</t>
  </si>
  <si>
    <t>000129</t>
  </si>
  <si>
    <t>GPA - Given Session</t>
  </si>
  <si>
    <t>GPAGivenSession</t>
  </si>
  <si>
    <t>Grade Point Average Weighted Indicator</t>
  </si>
  <si>
    <t>An indication of whether the reported GPA is weighted or unweighted.</t>
  </si>
  <si>
    <t>000123</t>
  </si>
  <si>
    <t>GPA Weighted Indicator</t>
  </si>
  <si>
    <t>GPAWeightedIndicator</t>
  </si>
  <si>
    <t>Grade Points Earned Cumulative</t>
  </si>
  <si>
    <t>The cumulative number of grade points a person earns by successfully completing courses or examinations during his or her enrollment in the current school as well as those transferred from schools in which the person had been previously enrolled.</t>
  </si>
  <si>
    <t>000130</t>
  </si>
  <si>
    <t>GradePointsEarnedCumulative</t>
  </si>
  <si>
    <t>Grade Value Qualifier</t>
  </si>
  <si>
    <t>The scale of equivalents, if applicable, for grades awarded as indicators of performance in schoolwork. For example, numerical equivalents for letter grades used in determining a student's Grade Point Average (A=4, B=3, C=2, D=1 in a four-point system) or letter equivalents for percentage grades (90-100%=A, 80-90%=B, etc.)</t>
  </si>
  <si>
    <t>A list of "Academic Grade Qualifiers" is available from the Association of American Medical Colleges, 2450 N St., N.W., Washington, DC 20037</t>
  </si>
  <si>
    <t>000616</t>
  </si>
  <si>
    <t>GradeValueQualifier</t>
  </si>
  <si>
    <t>Grades Offered</t>
  </si>
  <si>
    <t>The specific grade or combination of grades offered by an education institution.</t>
  </si>
  <si>
    <t>000131</t>
  </si>
  <si>
    <t>GradesOffered</t>
  </si>
  <si>
    <t>Graduate Assistant IPEDS Occupation Category</t>
  </si>
  <si>
    <t>The Integrated Postsecondary Education Data System (IPEDS) occupational categories used to report graduate assistants.</t>
  </si>
  <si>
    <t>000743</t>
  </si>
  <si>
    <t>GraduateAssistantIPEDSOccupationCategory</t>
  </si>
  <si>
    <t>Graduate Assistant Status</t>
  </si>
  <si>
    <t>Graduate-level students employed on a part-time basis, not limited to, but often employed for the primary purpose of assisting in classroom or laboratory instruction or in the conduct of research. Graduate students having titles such as graduate assistant, teaching assistant, teaching associate, teaching fellow, or research assistant typically hold these positions.</t>
  </si>
  <si>
    <t>000742</t>
  </si>
  <si>
    <t>GraduateAssistantStatus</t>
  </si>
  <si>
    <t>Graduate or Doctoral Exam Results Status</t>
  </si>
  <si>
    <t>The individual's status in completing exams required for graduate or doctoral degree programs.</t>
  </si>
  <si>
    <t>001357</t>
  </si>
  <si>
    <t>GraduateOrDoctoralExamResultsStatus</t>
  </si>
  <si>
    <t>Graduation Rate Survey Cohort Year</t>
  </si>
  <si>
    <t>The academic year in which a student entered as part of the GRS cohort.</t>
  </si>
  <si>
    <t>000132</t>
  </si>
  <si>
    <t>GraduationRateSurveyCohortYear</t>
  </si>
  <si>
    <t>Graduation Rate Survey Indicator</t>
  </si>
  <si>
    <t>An indication of whether or not the student is in a GRS cohort; meaning the student began as a first-time, full-time, degree seeking student in the fall of a given year.</t>
  </si>
  <si>
    <t>K-12 -&gt; High School Feedback Report</t>
  </si>
  <si>
    <t>000133</t>
  </si>
  <si>
    <t>GraduationRateSurveyIndicator</t>
  </si>
  <si>
    <t>Gun Free Schools Act Reporting Status</t>
  </si>
  <si>
    <t>An indication of whether the school or local education agency (LEA) submitted a Gun-Free Schools Act (GFSA) of 1994 report to the state, as defined by Title 18, Section 921.</t>
  </si>
  <si>
    <t>000134</t>
  </si>
  <si>
    <t>GunFreeSchoolsActReportingStatus</t>
  </si>
  <si>
    <t>Harassment or Bullying Policy Status</t>
  </si>
  <si>
    <t>An indication of whether the education unit has adopted written policy prohibiting harassment and bullying on the basis of a civil rights law.</t>
  </si>
  <si>
    <t>000135</t>
  </si>
  <si>
    <t>HarassmentOrBullyingPolicyStatus</t>
  </si>
  <si>
    <t>Health Screening Equipment Used</t>
  </si>
  <si>
    <t>The screening equipment used for the hearing screening or the method used for the vision screening</t>
  </si>
  <si>
    <t>Early Learning -&gt; EL Child -&gt; EL Health Information</t>
  </si>
  <si>
    <t>001358</t>
  </si>
  <si>
    <t>HealthScreeningEquipmentUsed</t>
  </si>
  <si>
    <t>Health Screening Follow-up Recommendation</t>
  </si>
  <si>
    <t>Recommended frequency for screener or for specific child- add something to assessment design or administration</t>
  </si>
  <si>
    <t>001359</t>
  </si>
  <si>
    <t>HealthScreeningFollowUpRecommendation</t>
  </si>
  <si>
    <t>Hearing Screening Date</t>
  </si>
  <si>
    <t>The year, month and day of a hearing screening.</t>
  </si>
  <si>
    <t>000705</t>
  </si>
  <si>
    <t>HearingScreeningDate</t>
  </si>
  <si>
    <t>Hearing Screening Status</t>
  </si>
  <si>
    <t>Status of an examination used to measure a person's ability to perceive sounds.</t>
  </si>
  <si>
    <t>000309</t>
  </si>
  <si>
    <t>HearingScreeningStatus</t>
  </si>
  <si>
    <t>High School Course Requirement</t>
  </si>
  <si>
    <t>An indication that this course credit is required for a high school diploma.</t>
  </si>
  <si>
    <t>000137</t>
  </si>
  <si>
    <t>HighSchoolCourseRequirement</t>
  </si>
  <si>
    <t>High School Diploma Distinction Type</t>
  </si>
  <si>
    <t>The distinction of the diploma or credential that is awarded to a student in recognition of their completion of the curricular requirements.</t>
  </si>
  <si>
    <t>000713</t>
  </si>
  <si>
    <t>HighSchoolDiplomaDistinctionType</t>
  </si>
  <si>
    <t>High School Diploma Type</t>
  </si>
  <si>
    <t>The type of diploma/credential that is awarded to a person in recognition of his/her completion of the curricular requirements.</t>
  </si>
  <si>
    <t>000138</t>
  </si>
  <si>
    <t>HighSchoolDiplomaType</t>
  </si>
  <si>
    <t>High School Graduation Rate Indicator Status</t>
  </si>
  <si>
    <t>An indication of whether the school or district met the High School Graduation Rate requirement in accordance with state definition for the purposes of determining AYP.</t>
  </si>
  <si>
    <t>000140</t>
  </si>
  <si>
    <t>HighSchoolGraduationRateIndicatorStatus</t>
  </si>
  <si>
    <t>High School Percentile</t>
  </si>
  <si>
    <t>The High School Rank divided by the Size of High School Graduating Class expressed as a percentage.</t>
  </si>
  <si>
    <t>Related Connection; linked to High School Grade Point Average Cumulative, Grade Point Average Weighted Indicator, High School Rank, and Size of High School Graduating Class 0% to 99% (where 99% corresponds to the valedictorian, 0% to the bottom rank in the class)</t>
  </si>
  <si>
    <t>000759</t>
  </si>
  <si>
    <t>HighSchoolPercentile</t>
  </si>
  <si>
    <t>High School Student Class Rank</t>
  </si>
  <si>
    <t>The academic rank of a student in relation to his or her high school graduating class (e.g., 1, 2, 3) based on high school GPA.</t>
  </si>
  <si>
    <t>000041</t>
  </si>
  <si>
    <t>HighSchoolStudentClassRank</t>
  </si>
  <si>
    <t>Higher Education Institution Accreditation Status</t>
  </si>
  <si>
    <t>An indication of the accreditation status of a higher education institution.</t>
  </si>
  <si>
    <t>000818</t>
  </si>
  <si>
    <t>HigherEducationInstitutionAccredidationStatus</t>
  </si>
  <si>
    <t>Highest Level of Education Completed</t>
  </si>
  <si>
    <t>The extent of formal instruction a person has received (e.g., the highest grade in school completed or its equivalent or the highest degree received).</t>
  </si>
  <si>
    <t>Option set updated</t>
  </si>
  <si>
    <t>000141</t>
  </si>
  <si>
    <t>HighestLevelOfEducationCompleted</t>
  </si>
  <si>
    <t>Highly Qualified Teacher Indicator</t>
  </si>
  <si>
    <t>An indication that the teacher has been classified as highly qualified based on assignment.</t>
  </si>
  <si>
    <t>K12 -&gt; K12 Staff -&gt; Credential</t>
  </si>
  <si>
    <t>000142</t>
  </si>
  <si>
    <t>HighlyQualifiedTeacherIndicator</t>
  </si>
  <si>
    <t>Hire Date</t>
  </si>
  <si>
    <t>The year, month and day on which a person was hired for a position, or consecutive positions within the same organization and job classification.</t>
  </si>
  <si>
    <t>This is the Hire Date beginning consecutive employment with the current employer in the same Professional-Educational Job Classification. A person may change positions within the same organization and job classification without triggering a new hire date. For example a teacher originally hire to teach 3rd grade may be reassigned to 4th grade. However, a change of job classifications, e.g. from teacher to principal, would trigger a new Hire Date.</t>
  </si>
  <si>
    <t>000143</t>
  </si>
  <si>
    <t>HireDate</t>
  </si>
  <si>
    <t>Hispanic or Latino Ethnicity</t>
  </si>
  <si>
    <t>An indication that the person traces his or her origin or descent to Mexico, Puerto Rico, Cuba, Central and South America, and other Spanish cultures, regardless of race.</t>
  </si>
  <si>
    <t>000144</t>
  </si>
  <si>
    <t>HispanicOrLatinoEthnicity</t>
  </si>
  <si>
    <t>Homeless Primary Nighttime Residence</t>
  </si>
  <si>
    <t>The primary nighttime residence of the students at the time the students are identified as homeless.</t>
  </si>
  <si>
    <t>K12 -&gt; K12 Student -&gt; Homeless</t>
  </si>
  <si>
    <t>000146</t>
  </si>
  <si>
    <t>HomelessPrimaryNighttimeResidence</t>
  </si>
  <si>
    <t>Homeless Serviced Indicator</t>
  </si>
  <si>
    <t>An indication of whether homeless children and youth were served by a McKinney-Vento program in the state.</t>
  </si>
  <si>
    <t>000147</t>
  </si>
  <si>
    <t>HomelessServicedIndicator</t>
  </si>
  <si>
    <t>Homeless Unaccompanied Youth Status</t>
  </si>
  <si>
    <t>An indication that homeless youths were unaccompanied by parents or legal guardians.</t>
  </si>
  <si>
    <t>000148</t>
  </si>
  <si>
    <t>HomelessUnaccompaniedYouthStatus</t>
  </si>
  <si>
    <t>Homelessness Status</t>
  </si>
  <si>
    <t>Children and youth who lack a fixed, regular, and adequate nighttime residence. Homeless children and youth include: 1) children and youth who are sharing the housing of other persons due to loss of housing, economic hardship, or a similar reason; are living in motels, hotels, trailer parks, or camping grounds due to the lack of alternative adequate accommodations; are living in emergency or transitional shelters; are abandoned in hospitals; or are awaiting foster care placement; 2) children and youth who have a primary nighttime residence that is a public or private place not designed for or originally used as a regular sleeping accommodation for human beings; or 3) children and youths who are living in cars, parks, public spaces, abandoned buildings, substandard housing, bus or train stations, or similar settings. 4) migratory children who qualify as homeless because the children are living in circumstances described in the above. (See Section 103 of the McKinney Act for a more detailed description of this data element).</t>
  </si>
  <si>
    <t>000149</t>
  </si>
  <si>
    <t>HomelessnessStatus</t>
  </si>
  <si>
    <t>Honors Description</t>
  </si>
  <si>
    <t>A description of the type of academic distinctions earned by or awarded to the person.</t>
  </si>
  <si>
    <t>000150</t>
  </si>
  <si>
    <t>HonorsDescription</t>
  </si>
  <si>
    <t>Hourly Wage</t>
  </si>
  <si>
    <t>Hourly wage associated with the employment position being reported.</t>
  </si>
  <si>
    <t>Early Learning -&gt; EL Staff -&gt; Employment</t>
  </si>
  <si>
    <t>000797</t>
  </si>
  <si>
    <t>HourlyWage</t>
  </si>
  <si>
    <t>Hours Available Per Day</t>
  </si>
  <si>
    <t>The number of hours per day the site or classroom is open for children to attend.</t>
  </si>
  <si>
    <t>000354</t>
  </si>
  <si>
    <t>HoursAvailablePerDay</t>
  </si>
  <si>
    <t>Hours Worked Per Week</t>
  </si>
  <si>
    <t>The number of hours worked per week in employment.</t>
  </si>
  <si>
    <t>000796</t>
  </si>
  <si>
    <t>HoursWorkedPerWeek</t>
  </si>
  <si>
    <t>IDEA Discipline Method for Firearms Incidents</t>
  </si>
  <si>
    <t>The methods used to discipline students who are children with disabilities (IDEA) involved in firearms and other outcomes of firearms incidents.</t>
  </si>
  <si>
    <t>000556</t>
  </si>
  <si>
    <t>IDEADisciplineMethodForFirearmsIncidents</t>
  </si>
  <si>
    <t>IDEA Educational Environment for Early Childhood</t>
  </si>
  <si>
    <t>The program in which children ages 3 through 5 attend and in which these children receive special education and related services.</t>
  </si>
  <si>
    <t>000559</t>
  </si>
  <si>
    <t>IDEAEducationalEnvironmentForEarlyChildhood</t>
  </si>
  <si>
    <t>IDEA Educational Environment for School Age</t>
  </si>
  <si>
    <t>The setting in which children ages 6 through 21, receive special education and related services.</t>
  </si>
  <si>
    <t>000535</t>
  </si>
  <si>
    <t>IDEAEducationalEnvironmentForSchoolAge</t>
  </si>
  <si>
    <t>IDEA IEP Status</t>
  </si>
  <si>
    <t>The status of an individualized services plan for a specified reporting period or on a specified date.</t>
  </si>
  <si>
    <t>Early Learning -&gt; EL Child -&gt; IDEA</t>
  </si>
  <si>
    <t>001501</t>
  </si>
  <si>
    <t>IDEAIEPStatus</t>
  </si>
  <si>
    <t>IDEA Indicator</t>
  </si>
  <si>
    <t>A person having intellectual disability; hearing impairment, including deafness; speech or language impairment; visual impairment, including blindness; serious emotional disturbance (hereafter referred to as emotional disturbance); orthopedic impairment; autism; traumatic brain injury; developmental delay; other health impairment; specific learning disability; deaf-blindness; or multiple disabilities and who, by reason thereof, receive special education and related services under the Individuals with Disabilities Education Act (IDEA) according to an Individualized Education Program (IEP), Individual Family Service Plan (IFSP), or service plan.</t>
  </si>
  <si>
    <t>000151</t>
  </si>
  <si>
    <t>IDEAIndicator</t>
  </si>
  <si>
    <t>IDEA Interim Removal</t>
  </si>
  <si>
    <t>The type of interim removal from current educational setting experienced by children with disabilities (IDEA).</t>
  </si>
  <si>
    <t>000541</t>
  </si>
  <si>
    <t>IDEAInterimRemoval</t>
  </si>
  <si>
    <t>IDEA Interim Removal Reason</t>
  </si>
  <si>
    <t>The reasons why children with disabilities were unilaterally removed from their current educational placement to an interim alternative educational setting.</t>
  </si>
  <si>
    <t>000539</t>
  </si>
  <si>
    <t>IDEAInterimRemovalReason</t>
  </si>
  <si>
    <t>IDEA Part B 619 Potential Eligibility Indicator</t>
  </si>
  <si>
    <t>The determination of whether a child is potentially eligible for Part B 619 services</t>
  </si>
  <si>
    <t>001360</t>
  </si>
  <si>
    <t>IDEAPartB619PotentialEligibilityIndicator</t>
  </si>
  <si>
    <t>IDEA Part C to B Sharing Notification Date</t>
  </si>
  <si>
    <t>The date that notification is provided to the LEA and SEA of an eligible child with an  Individual Family Service Plan (IFSP) of the impending notification to the local education agency. </t>
  </si>
  <si>
    <t>001500</t>
  </si>
  <si>
    <t>IDEAPartCToBSharingNotificationDate</t>
  </si>
  <si>
    <t>IDEA Part C to Part B Date of Transition Conference</t>
  </si>
  <si>
    <t>The date of the transition conference from Part C to Part B 619.</t>
  </si>
  <si>
    <t>001365</t>
  </si>
  <si>
    <t>IDEAPartCToPartBDateOfTransitionConference</t>
  </si>
  <si>
    <t>IDEA Part C to Part B Date of Transition Conference Decline</t>
  </si>
  <si>
    <t>The date the parents declined approval for the transition conference from Part C to Part B 619.</t>
  </si>
  <si>
    <t>001366</t>
  </si>
  <si>
    <t>IDEAPartCToPartBDateOfTransitionConferenceDecline</t>
  </si>
  <si>
    <t>IDEA Part C to Part B Date of Transition Plan Steps or Services</t>
  </si>
  <si>
    <t>The date transition steps and services were added to the Individual Family Service Plan (IFSP).</t>
  </si>
  <si>
    <t>001367</t>
  </si>
  <si>
    <t>IDEAPartCToPartBDateOfTransitionPlanStepsOrServices</t>
  </si>
  <si>
    <t>IDEA Part C to Part B Parent Notification Opt Out Date</t>
  </si>
  <si>
    <t>The date that parents of an eligible child with an Individual Family Service Plan (IFSP) opt out of the impending notification to the local education agency for support of a child's transition from IDEA Part C to IDEA Part B.</t>
  </si>
  <si>
    <t>001364</t>
  </si>
  <si>
    <t>IDEAPartCToPartBParentNotificationOptOutDate</t>
  </si>
  <si>
    <t>IDEA Part C to Part B Parent Notification Opt Out Indicator</t>
  </si>
  <si>
    <t>Indicates that parents of an eligible child with an Individual Family Service Plan (IFSP) have opted out of the impending notification to the local education agency for support of a child's transition from IDEA Part C to IDEA Part B.</t>
  </si>
  <si>
    <t>001363</t>
  </si>
  <si>
    <t>IDEAPartCToPartBParentNotificationOptOutIndicator</t>
  </si>
  <si>
    <t>Identification System for Assessment Form Section</t>
  </si>
  <si>
    <t>A coding scheme that is used for identification of an Assessment Form Section.</t>
  </si>
  <si>
    <t>001190</t>
  </si>
  <si>
    <t>IdentificationSystemForAssessmentFormSection</t>
  </si>
  <si>
    <t>Immunization Date</t>
  </si>
  <si>
    <t>The year, month and day of an immunization.</t>
  </si>
  <si>
    <t>000306</t>
  </si>
  <si>
    <t>ImmunizationDate</t>
  </si>
  <si>
    <t>Immunization Policy</t>
  </si>
  <si>
    <t>An indication of whether a program has an immunization policy that specifically indicates that all children are receiving immunizations.</t>
  </si>
  <si>
    <t>000849</t>
  </si>
  <si>
    <t>ImmunizationionPolicy</t>
  </si>
  <si>
    <t>Immunization Record Flag</t>
  </si>
  <si>
    <t>Indicates whether the school or MEP program has immunization records on file for the student.</t>
  </si>
  <si>
    <t>000438</t>
  </si>
  <si>
    <t>ImmunizationRecordFlag</t>
  </si>
  <si>
    <t>Immunization Type</t>
  </si>
  <si>
    <t>An indication of the type of immunization that an individual has satisfactorily received. (Note: The International Classification of Diseases (ICD) is maintained by the World Health Organization. The ICD is revised periodically to incorporate changes in the medical field, the most updated and detailed list of International Statistical Classification of Diseases and Related Health Problems can be found at http://www.who.int/classifications/apps/icd/icd10online).</t>
  </si>
  <si>
    <t>001248</t>
  </si>
  <si>
    <t>ImmunizationType</t>
  </si>
  <si>
    <t>Incident Behavior</t>
  </si>
  <si>
    <t>Categories of behavior coded for use in describing an incident.</t>
  </si>
  <si>
    <t>000509</t>
  </si>
  <si>
    <t>IncidentBehavior</t>
  </si>
  <si>
    <t>Incident Cost</t>
  </si>
  <si>
    <t>The value of any quantifiable monetary loss directly resulting from the incident. Examples include the value of repairs necessitated by vandalism of a school facility, the value of personnel resources used for repairs or consumed by the incident, the value of stolen items, and the value of time consumed by an incident (e.g., instructional time involved in evacuating a school during a false fire alarm). Cost may be reported by specific monetary amount or range.</t>
  </si>
  <si>
    <t>000505</t>
  </si>
  <si>
    <t>IncidentCost</t>
  </si>
  <si>
    <t>Incident Date</t>
  </si>
  <si>
    <t>The year, month and day on which the incident occurred.</t>
  </si>
  <si>
    <t>000502</t>
  </si>
  <si>
    <t>IncidentDate</t>
  </si>
  <si>
    <t>Incident Description</t>
  </si>
  <si>
    <t>The description for an incident.</t>
  </si>
  <si>
    <t>Text</t>
  </si>
  <si>
    <t>000508</t>
  </si>
  <si>
    <t>IncidentDescription</t>
  </si>
  <si>
    <t>Incident Identifier</t>
  </si>
  <si>
    <t>A locally assigned unique identifier (within the school or school district) to identify each specific incident or occurrence. The same identifier should be used to document the entire incident even if it included multiple offenses and multiple offenders.</t>
  </si>
  <si>
    <t>000501</t>
  </si>
  <si>
    <t>IncidentIdentifier</t>
  </si>
  <si>
    <t>Incident Injury Type</t>
  </si>
  <si>
    <t>An indication of the occurrence of physical injury to participants involved in the incident and, if so, the level of injury sustained.</t>
  </si>
  <si>
    <t>Incident Injury Type can be linked to any person involved in the incident.</t>
  </si>
  <si>
    <t>000510</t>
  </si>
  <si>
    <t>IncidentInjuryType</t>
  </si>
  <si>
    <t>Incident Location</t>
  </si>
  <si>
    <t>Identifies where the incident occurred and whether or not it occurred on campus.</t>
  </si>
  <si>
    <t>000617</t>
  </si>
  <si>
    <t>IncidentLocation</t>
  </si>
  <si>
    <t>Incident Multiple Offense Type</t>
  </si>
  <si>
    <t>An indication of whether the offense was primary or secondary in nature when a single incident included more than one type of offense.</t>
  </si>
  <si>
    <t>001369</t>
  </si>
  <si>
    <t>IncidentMultipleOffenseType</t>
  </si>
  <si>
    <t>Incident Perpetrator Identifier</t>
  </si>
  <si>
    <t>Identifies the perpetrator of the incident by use of a pre-existing unique identifier assigned to a student or staff member by a school or district.</t>
  </si>
  <si>
    <t>001370</t>
  </si>
  <si>
    <t>IncidentPerpetratorIdentifier</t>
  </si>
  <si>
    <t>Incident Perpetrator Injury Type</t>
  </si>
  <si>
    <t>An indication of the occurrence of physical injury to the perpetrator(s) (participants) involved in the incident and‚ if so‚ the level of injury sustained.</t>
  </si>
  <si>
    <t>001371</t>
  </si>
  <si>
    <t>IncidentPerpetratorInjuryType</t>
  </si>
  <si>
    <t>Incident Perpetrator Type</t>
  </si>
  <si>
    <t>Information on the type of individual who committed an incident. A “perpetrator” is an individual involved in an incident as an offender (the person who committed the infraction constituting the incident).</t>
  </si>
  <si>
    <t>001372</t>
  </si>
  <si>
    <t>IncidentPerpetratorType</t>
  </si>
  <si>
    <t>Incident Person Role Type</t>
  </si>
  <si>
    <t>The role or type of participation of a person in a discipline incident.</t>
  </si>
  <si>
    <t>001373</t>
  </si>
  <si>
    <t>IncidentPersonRoleType</t>
  </si>
  <si>
    <t>Incident Regulation Violated Description</t>
  </si>
  <si>
    <t>A description of the rule‚ regulation‚ or standard that was violated when an incident occurred (e.g.‚ the identification of a relevant law‚ conduct standard‚ or acceptable use policy).</t>
  </si>
  <si>
    <t>001374</t>
  </si>
  <si>
    <t>IncidentRegulationViolatedDescription</t>
  </si>
  <si>
    <t>Incident Related to Disability Manifestation</t>
  </si>
  <si>
    <t>An indication whether a student’s behavior (offense) was a manifestation of‚ or related to‚ a disability condition.</t>
  </si>
  <si>
    <t>Under IDEA §300.530(e), a manifestation determination must occur within 10 days of any decision to change the child’s placement because of a violation of a code of student conduct.</t>
  </si>
  <si>
    <t>001375</t>
  </si>
  <si>
    <t>IncidentRelatedToDisabilityManifestation</t>
  </si>
  <si>
    <t>Incident Reported to Law Enforcement Indicator</t>
  </si>
  <si>
    <t>An indication that the school resource officer or any other law enforcement official was notified about the incident‚ regardless of whether official action is taken.</t>
  </si>
  <si>
    <t>001376</t>
  </si>
  <si>
    <t>IncidentReportedToLawEnforcementIndicator</t>
  </si>
  <si>
    <t>Incident Reporter Type</t>
  </si>
  <si>
    <t>Information on the type of person who reported the incident. When known and/or if useful, use a more specific option code (e.g., "Counselor" rather than "Professional Staff").</t>
  </si>
  <si>
    <t>000506</t>
  </si>
  <si>
    <t>IncidentReporterType</t>
  </si>
  <si>
    <t>Incident Time</t>
  </si>
  <si>
    <t>An indication of the time of day the incident took place.</t>
  </si>
  <si>
    <t>000503</t>
  </si>
  <si>
    <t>IncidentTime</t>
  </si>
  <si>
    <t>Incident Time Description Code</t>
  </si>
  <si>
    <t>A code for the description of the time of day that an incident took place.</t>
  </si>
  <si>
    <t>000515</t>
  </si>
  <si>
    <t>IncidentTimeDescriptionCode</t>
  </si>
  <si>
    <t>Incident Victim Identifier</t>
  </si>
  <si>
    <t>Identifies the victim of the incident by use of a pre-existing unique identifier assigned to a student or staff member by a school or district.</t>
  </si>
  <si>
    <t>001377</t>
  </si>
  <si>
    <t>IncidentVictimIdentifier</t>
  </si>
  <si>
    <t>Incident Victim Type</t>
  </si>
  <si>
    <t>Information on the type of individual who was injured or otherwise harmed as a direct result of the incident. A “victim” is the individual who suffers injury or harm that directly results from the incident.</t>
  </si>
  <si>
    <t>001378</t>
  </si>
  <si>
    <t>IncidentVictimType</t>
  </si>
  <si>
    <t>Incident Witness Identifier</t>
  </si>
  <si>
    <t>Identifies the witness of the incident by use of a pre-existing unique identifier assigned to a student or staff member by a school or district. Using this data element permits linkage to descriptive information about the individual in the student or staff database.</t>
  </si>
  <si>
    <t>001379</t>
  </si>
  <si>
    <t>IncidentWitnessIdentifier</t>
  </si>
  <si>
    <t>Incident Witness Type</t>
  </si>
  <si>
    <t>Information on the type of individual who witnessed the incident and can give a firsthand account of an incident that was seen‚ heard‚ or experienced.</t>
  </si>
  <si>
    <t>001380</t>
  </si>
  <si>
    <t>IncidentWitnessType</t>
  </si>
  <si>
    <t>Income Calculation Method</t>
  </si>
  <si>
    <t>The calculation method used by a program to determine total family income.</t>
  </si>
  <si>
    <t>000334</t>
  </si>
  <si>
    <t>IncomeCalculationMethod</t>
  </si>
  <si>
    <t>Increased Learning Time Type</t>
  </si>
  <si>
    <t>The types of increased learning time provided.</t>
  </si>
  <si>
    <t>000164</t>
  </si>
  <si>
    <t>IncreasedLearningTimeType</t>
  </si>
  <si>
    <t>Individualized Program Date</t>
  </si>
  <si>
    <t>The year, month and day on which the status of an individualized program for a student is significantly altered.</t>
  </si>
  <si>
    <t>001232</t>
  </si>
  <si>
    <t>IndividualizedProgramDate</t>
  </si>
  <si>
    <t>Individualized Program Date Type</t>
  </si>
  <si>
    <t>An indication of the significance of a date to an individualized program.</t>
  </si>
  <si>
    <t>001231</t>
  </si>
  <si>
    <t>IndividualizedProgramDateType</t>
  </si>
  <si>
    <t>Individualized Program Inclusion Minutes Per Week</t>
  </si>
  <si>
    <t>The number of minutes per week that a student with disabilities is served in a special education setting separate from his or her non-disabled peers.</t>
  </si>
  <si>
    <t>001234</t>
  </si>
  <si>
    <t>IndividualizedProgramInclusionMinutesPerWeek</t>
  </si>
  <si>
    <t>Individualized Program NonInclusion Minutes Per Week</t>
  </si>
  <si>
    <t>The number of minutes per week that a student with disabilities is served in a regular classroom with his or her non-disabled peers.</t>
  </si>
  <si>
    <t>001233</t>
  </si>
  <si>
    <t>IndividualizedProgramNonInclusionMinutesPerWeek</t>
  </si>
  <si>
    <t>Individualized Program Planned Service Duration</t>
  </si>
  <si>
    <t>The length, in hours, that delivery of the service is planned.</t>
  </si>
  <si>
    <t>001520</t>
  </si>
  <si>
    <t>IndividualizedProgramPlannedServiceDuration</t>
  </si>
  <si>
    <t>Individualized Program Planned Service Frequency</t>
  </si>
  <si>
    <t>The frequency that a service is planned to be provided.</t>
  </si>
  <si>
    <t>001519</t>
  </si>
  <si>
    <t>IndividualizedProgramPlannedServiceFrequency</t>
  </si>
  <si>
    <t>Individualized Program Planned Service Start Date</t>
  </si>
  <si>
    <t>The date the service is planned to begin.</t>
  </si>
  <si>
    <t>As decided on by an IFSP/IEP team, including the parent.</t>
  </si>
  <si>
    <t>001381</t>
  </si>
  <si>
    <t>IndividualizedProgramPlannedServiceStartDate</t>
  </si>
  <si>
    <t>Individualized Program Planned Service Type</t>
  </si>
  <si>
    <t>001383</t>
  </si>
  <si>
    <t>IndividualizedProgramPlannedServiceType</t>
  </si>
  <si>
    <t>Individualized Program Service Plan Date</t>
  </si>
  <si>
    <t>The year, month and day on which the status of the service plan for a child is established or significantly altered.</t>
  </si>
  <si>
    <t>001236</t>
  </si>
  <si>
    <t>IndividualizedProgramServicePlanDate</t>
  </si>
  <si>
    <t>Individualized Program Service Plan Meeting Location</t>
  </si>
  <si>
    <t>The place in which a child's service plan meeting is held.</t>
  </si>
  <si>
    <t>001237</t>
  </si>
  <si>
    <t>IndividualizedProgramServicePlanMeetingLocation</t>
  </si>
  <si>
    <t>Individualized Program Service Plan Meeting Participants</t>
  </si>
  <si>
    <t>The position titles of individuals who attend the service plan meeting.</t>
  </si>
  <si>
    <t>001238</t>
  </si>
  <si>
    <t>IndividualizedProgramServicePlanMeetingParticipants</t>
  </si>
  <si>
    <t>Individualized Program Service Plan Reevaluation Date</t>
  </si>
  <si>
    <t>Date student will be reevaluated for continued placement in a support program(s).</t>
  </si>
  <si>
    <t>001241</t>
  </si>
  <si>
    <t>IndividualizedProgramServicePlanReevaluationDate</t>
  </si>
  <si>
    <t>Individualized Program Service Plan Signature Date</t>
  </si>
  <si>
    <t>The year, month and day on which the service plan document is signed.</t>
  </si>
  <si>
    <t>001240</t>
  </si>
  <si>
    <t>IndividualizedProgramServicePlanSignatureDate</t>
  </si>
  <si>
    <t>Individualized Program Service Plan Signed By</t>
  </si>
  <si>
    <t>The position titles of individuals who sign a written service plan.</t>
  </si>
  <si>
    <t>001239</t>
  </si>
  <si>
    <t>IndividualizedProgramServicePlanSignedBy</t>
  </si>
  <si>
    <t>Individualized Program Transition Plan Type</t>
  </si>
  <si>
    <t>The post-school transition plan for the student recorded on their Individualized Education Program.</t>
  </si>
  <si>
    <t>001235</t>
  </si>
  <si>
    <t>IndividualizedProgramTransitionPlanType</t>
  </si>
  <si>
    <t>Individualized Program Type</t>
  </si>
  <si>
    <t>A designation of the type of program developed for a student.</t>
  </si>
  <si>
    <t>000320</t>
  </si>
  <si>
    <t>IndividualizedProgramType</t>
  </si>
  <si>
    <t>Initial Enrollment Term</t>
  </si>
  <si>
    <t>The first registration term of a person enrolling in credit-granting courses at a postsecondary institution after completing high school (or its equivalent).</t>
  </si>
  <si>
    <t>000165</t>
  </si>
  <si>
    <t>InitialEnrollmentTerm</t>
  </si>
  <si>
    <t>Initial License Date</t>
  </si>
  <si>
    <t>The year, month and day on which a program or center received its initial license.</t>
  </si>
  <si>
    <t>000348</t>
  </si>
  <si>
    <t>InitialLicenseDate</t>
  </si>
  <si>
    <t>Innovative Dollars Spent</t>
  </si>
  <si>
    <t>The total Title V, Part A funds expended by LEAs.</t>
  </si>
  <si>
    <t>000461</t>
  </si>
  <si>
    <t>InnovativeDollarsSpent</t>
  </si>
  <si>
    <t>Innovative Dollars Spent on Strategic Priorities</t>
  </si>
  <si>
    <t>The total amount of Title V, Part A funds expended by LEAs for the four strategic priorities.</t>
  </si>
  <si>
    <t>000462</t>
  </si>
  <si>
    <t>InnovativeDollarsSpentOnStrategicPriorities</t>
  </si>
  <si>
    <t>Innovative Programs Funds Received</t>
  </si>
  <si>
    <t>The total Title V, Part A funds received by LEAs.</t>
  </si>
  <si>
    <t>000464</t>
  </si>
  <si>
    <t>InnovativeProgramsFundsReceived</t>
  </si>
  <si>
    <t>Institution IPEDS UnitID</t>
  </si>
  <si>
    <t>Unique identification number assigned to postsecondary institutions surveyed through the Integrated Postsecondary Education Data System (IPEDS). Also referred to as UNITID or IPEDS ID.</t>
  </si>
  <si>
    <t>Six digits - no decimal place</t>
  </si>
  <si>
    <t>000166</t>
  </si>
  <si>
    <t>IPEDS Identifier</t>
  </si>
  <si>
    <t>IPEDSIdentifier</t>
  </si>
  <si>
    <t>Institution Telephone Number Type</t>
  </si>
  <si>
    <t>The type of communication number listed for an organization.</t>
  </si>
  <si>
    <t>000167</t>
  </si>
  <si>
    <t>InstitutionTelephoneNumberType</t>
  </si>
  <si>
    <t>Institutionally Controlled Housing Status</t>
  </si>
  <si>
    <t>An indication of whether an institution has any residence hall or housing facility located on- or off-campus that is owned or controlled by an institution and used by the institution in direct support of or in a manner related to, the institution's educational purposes.</t>
  </si>
  <si>
    <t>000748</t>
  </si>
  <si>
    <t>InstitutionallyControlledHousingStatus</t>
  </si>
  <si>
    <t>Instruction Credit Type</t>
  </si>
  <si>
    <t>A designation of the type(s) of instruction being delivered by staff whose primary responsibility is instruction. Instruction that is for "credit" can be applied toward the requirements for a postsecondary degree, diploma, certificate or other formal award.</t>
  </si>
  <si>
    <t>Element definition and option set defined in IPEDS; new collection element for the 2012 survey year</t>
  </si>
  <si>
    <t>000741</t>
  </si>
  <si>
    <t>InstructionCreditType</t>
  </si>
  <si>
    <t>Instruction Language</t>
  </si>
  <si>
    <t>The language of instruction, other than English, used in the program or course.</t>
  </si>
  <si>
    <t>000448</t>
  </si>
  <si>
    <t>InstructionLanguage</t>
  </si>
  <si>
    <t>Instructional Activity Hours Attempted</t>
  </si>
  <si>
    <t>The number of credit hours and/or contact hours attempted by a person during a term.</t>
  </si>
  <si>
    <t>000168</t>
  </si>
  <si>
    <t>InstructionalActivityHoursAttempted</t>
  </si>
  <si>
    <t>Instructional Activity Hours Completed</t>
  </si>
  <si>
    <t>The number of credit hours and/or contact hours successfully completed by a person during a term.</t>
  </si>
  <si>
    <t>000362</t>
  </si>
  <si>
    <t>InstructionalActivityHoursCompleted</t>
  </si>
  <si>
    <t>Instructional Activity Hours Type</t>
  </si>
  <si>
    <t>The unit of measure of student instructional activity.</t>
  </si>
  <si>
    <t>000169</t>
  </si>
  <si>
    <t>InstructionalActivityHoursType</t>
  </si>
  <si>
    <t>Instructional Minutes</t>
  </si>
  <si>
    <t>The total number of instruction minutes in a given session, as determined by time in class, time on task (e.g., engaged in a class), or as estimated by a qualified course designer.</t>
  </si>
  <si>
    <t>000499</t>
  </si>
  <si>
    <t>InstructionalMinutes</t>
  </si>
  <si>
    <t>Instructional Recommendation</t>
  </si>
  <si>
    <t>This provides the next steps for instruction for the student based upon the assessment results and student characteristics.</t>
  </si>
  <si>
    <t>000370</t>
  </si>
  <si>
    <t>InstructionalRecommendation</t>
  </si>
  <si>
    <t>Instructional Staff Contract Length</t>
  </si>
  <si>
    <t>The contracted teaching period for faculty.</t>
  </si>
  <si>
    <t>Option set new for IPEDS in 2012 survey year; IPEDS does not include the Less than 9-month code</t>
  </si>
  <si>
    <t>000735</t>
  </si>
  <si>
    <t>InstructionalStaffContractLength</t>
  </si>
  <si>
    <t>Instructional Staff Faculty Tenure Status</t>
  </si>
  <si>
    <t>An indicator of the type of faculty status a person has if, by institutional definition, a staff member has faculty status.</t>
  </si>
  <si>
    <t>000739</t>
  </si>
  <si>
    <t>InstructionalStaffFacultyTenureStatus</t>
  </si>
  <si>
    <t>Instructional Staff Status</t>
  </si>
  <si>
    <t>Staff whose primary function/occupational activity is primarily instruction or instruction combined with research and/or public service. Does not include medical school staff.</t>
  </si>
  <si>
    <t>000732</t>
  </si>
  <si>
    <t>InstructionalStaffStatus</t>
  </si>
  <si>
    <t>Insurance Coverage</t>
  </si>
  <si>
    <t>The nature of insurance covering an person's hospitalization and other health or medical care.</t>
  </si>
  <si>
    <t>000335</t>
  </si>
  <si>
    <t>InsuranceCoverage</t>
  </si>
  <si>
    <t>Integrated Technology Status</t>
  </si>
  <si>
    <t>An indication of the extent to which the district has effectively and fully integrated technology, as defined by the state.</t>
  </si>
  <si>
    <t>000170</t>
  </si>
  <si>
    <t>IntegratedTechnologyStatus</t>
  </si>
  <si>
    <t>Intended Administration Start Date</t>
  </si>
  <si>
    <t>The beginning date of the time period in which the form is intended to be administered.</t>
  </si>
  <si>
    <t>001186</t>
  </si>
  <si>
    <t>IntendedAdministrationStartDate</t>
  </si>
  <si>
    <t>Internet Access</t>
  </si>
  <si>
    <t>The type of internet access available.</t>
  </si>
  <si>
    <t>000587</t>
  </si>
  <si>
    <t>InternetAccess</t>
  </si>
  <si>
    <t>Interscholastic Sport Participants - Female Only</t>
  </si>
  <si>
    <t>The number of female students who participated on an interscholastic team. A student should be counted once for each team she was on.</t>
  </si>
  <si>
    <t>000658</t>
  </si>
  <si>
    <t>InterscholasticSportParticipantsFemaleOnly</t>
  </si>
  <si>
    <t>Interscholastic Sport Participants - Male Only</t>
  </si>
  <si>
    <t>The number of male students who participated on an interscholastic team. A student should be counted once for each team he was on.</t>
  </si>
  <si>
    <t>000657</t>
  </si>
  <si>
    <t>InterscholasticSportParticipantsMaleOnly</t>
  </si>
  <si>
    <t>Interscholastic Sports - Female Only</t>
  </si>
  <si>
    <t>The number of interscholastic sports in which only female students participate. Sports include distinct sports such as football, basketball, soccer but not intramural sports or cheerleading.</t>
  </si>
  <si>
    <t>000654</t>
  </si>
  <si>
    <t>InterscholasticSportsFemaleOnly</t>
  </si>
  <si>
    <t>Interscholastic Sports - Male Only</t>
  </si>
  <si>
    <t>The number of interscholastic sports in which only male students participate. Sports include distinct sports such as football, basketball, soccer but not intramural sports or cheerleading.</t>
  </si>
  <si>
    <t>000653</t>
  </si>
  <si>
    <t>InterscholasticSportsMaleOnly</t>
  </si>
  <si>
    <t>Interscholastic Teams - Female Only</t>
  </si>
  <si>
    <t>The number of interscholastic teams in which only female students participate. Teams include each competitive level team in each sport, such as freshman team, junior varsity team, and varsity team but not intramural sports or cheerleading.</t>
  </si>
  <si>
    <t>000656</t>
  </si>
  <si>
    <t>InterscholasticTeamsFemaleOnly</t>
  </si>
  <si>
    <t>Interscholastic Teams - Male Only</t>
  </si>
  <si>
    <t>The number of interscholastic teams in which only male students participate. Teams include each competitive level team in each sport, such as freshman team, junior varsity team, and varsity team but not intramural sports or cheerleading.</t>
  </si>
  <si>
    <t>000655</t>
  </si>
  <si>
    <t>InterscholasticTeamsMaleOnly</t>
  </si>
  <si>
    <t>IPEDS Occupational Category</t>
  </si>
  <si>
    <t>The Integrated Postsecondary Education Data System (IPEDS) occupational categories used to report employees.</t>
  </si>
  <si>
    <t>IPEDS reporting categories beginning with the 2012 IPEDS survey year.</t>
  </si>
  <si>
    <t>000731</t>
  </si>
  <si>
    <t>IPEDSOccupationalCategory</t>
  </si>
  <si>
    <t>Itinerant Provider</t>
  </si>
  <si>
    <t>An indication of whether a person provides services at more than one site.</t>
  </si>
  <si>
    <t>001384</t>
  </si>
  <si>
    <t>ItinerantProvider</t>
  </si>
  <si>
    <t>Itinerant Teacher</t>
  </si>
  <si>
    <t>An indication of whether a teacher provides instruction in more than one instructional site.</t>
  </si>
  <si>
    <t>000528</t>
  </si>
  <si>
    <t>ItinerantTeacher</t>
  </si>
  <si>
    <t>K12 End of Course Requirement</t>
  </si>
  <si>
    <t>An indication that this course has an end of course examination required by the SEA or LEA.</t>
  </si>
  <si>
    <t>K12 -&gt; K12 Course</t>
  </si>
  <si>
    <t>001386</t>
  </si>
  <si>
    <t>K12EndOfCourseRequirement</t>
  </si>
  <si>
    <t>Kindergarten Daily Length</t>
  </si>
  <si>
    <t>The portion of a day that a kindergarten program is provided to the students it serves.</t>
  </si>
  <si>
    <t>K12 -&gt; LEA -&gt; Programs and Services</t>
  </si>
  <si>
    <t>000491</t>
  </si>
  <si>
    <t>KindergartenDailyLength</t>
  </si>
  <si>
    <t>Kindergarten Program Participation Type</t>
  </si>
  <si>
    <t>The type of Kindergarten program the student is enrolled in.</t>
  </si>
  <si>
    <t>000714</t>
  </si>
  <si>
    <t>KindergartenProgramParticipationType</t>
  </si>
  <si>
    <t>Language Code</t>
  </si>
  <si>
    <t>The code for the specific language or dialect that a person uses to communicate.</t>
  </si>
  <si>
    <t>The CEDS Language Code option set comes from the ISO Z39.53 standard. Discontinued codes from the ISO standard are not included in the CEDS list.</t>
  </si>
  <si>
    <t>000317</t>
  </si>
  <si>
    <t>LanguageCode</t>
  </si>
  <si>
    <t>Language of Session</t>
  </si>
  <si>
    <t>The language in which the professional development session is delivered.</t>
  </si>
  <si>
    <t>001388</t>
  </si>
  <si>
    <t>LanguageOfSession</t>
  </si>
  <si>
    <t>Language Translation Policy</t>
  </si>
  <si>
    <t>Indicates that the organization or class/group has translation services available .</t>
  </si>
  <si>
    <t>001226</t>
  </si>
  <si>
    <t>LanguageTranslationPolicy</t>
  </si>
  <si>
    <t>Language Type</t>
  </si>
  <si>
    <t>An indication of the function and context in which a person uses a language to communicate.</t>
  </si>
  <si>
    <t>000316</t>
  </si>
  <si>
    <t>LanguageType</t>
  </si>
  <si>
    <t>Last Instruction Date</t>
  </si>
  <si>
    <t>The year, month and day of the last day of student instruction (including days or times that students are present for purposes of testing and/or evaluation, but not including whole or part-days whose sole purposes is for distribution of report cards).</t>
  </si>
  <si>
    <t>000498</t>
  </si>
  <si>
    <t>LastInstructionDate</t>
  </si>
  <si>
    <t>Last or Surname</t>
  </si>
  <si>
    <t>The full legal last name borne in common by members of a family.</t>
  </si>
  <si>
    <t>000172</t>
  </si>
  <si>
    <t>Last Name</t>
  </si>
  <si>
    <t>LastOrSurname</t>
  </si>
  <si>
    <t>Last Qualifying Move Date</t>
  </si>
  <si>
    <t>The year, month and day of the last qualifying move of a migrant student.</t>
  </si>
  <si>
    <t>000171</t>
  </si>
  <si>
    <t>LastQualifyingMoveDate</t>
  </si>
  <si>
    <t>Latitude</t>
  </si>
  <si>
    <t>The north or south angular distance from the equator that, when combined with longitude, reflects an estimation of where the school is physically situated.</t>
  </si>
  <si>
    <t>000606</t>
  </si>
  <si>
    <t>Learner Action Date</t>
  </si>
  <si>
    <t>The date on which the action was taken.</t>
  </si>
  <si>
    <t>000937</t>
  </si>
  <si>
    <t>LearnerActionDate</t>
  </si>
  <si>
    <t>Learner Action Time</t>
  </si>
  <si>
    <t>The time to the second or millisecond when the action was taken.</t>
  </si>
  <si>
    <t>HH:MM:SS.sss</t>
  </si>
  <si>
    <t>000936</t>
  </si>
  <si>
    <t>LearnerActionTime</t>
  </si>
  <si>
    <t>Learner Action Type</t>
  </si>
  <si>
    <t>The type of action taken by the learner.</t>
  </si>
  <si>
    <t>000934</t>
  </si>
  <si>
    <t>LearnerActionType</t>
  </si>
  <si>
    <t>Learner Action Value</t>
  </si>
  <si>
    <t>The value representing input by the learner using an online system, such as a value entered in response to an assessment question, or the URL of a learning resource link clicked.</t>
  </si>
  <si>
    <t>000935</t>
  </si>
  <si>
    <t>LearnerActionValue</t>
  </si>
  <si>
    <t>Learner Activity Add To Grade Book Flag</t>
  </si>
  <si>
    <t>Identifies the assignment as one that is graded.</t>
  </si>
  <si>
    <t>000949</t>
  </si>
  <si>
    <t>LearnerActivityAddToGradeBookFlag</t>
  </si>
  <si>
    <t>Learner Activity Creation Date</t>
  </si>
  <si>
    <t>The creation date of the assignment.</t>
  </si>
  <si>
    <t>000943</t>
  </si>
  <si>
    <t>LearnerActivityCreationDate</t>
  </si>
  <si>
    <t>Learner Activity Description</t>
  </si>
  <si>
    <t>The description and context for the assignment described in a way that the learner can understand.</t>
  </si>
  <si>
    <t>000940</t>
  </si>
  <si>
    <t>LearnerActivityDescription</t>
  </si>
  <si>
    <t>Learner Activity Due Date</t>
  </si>
  <si>
    <t>The date assignment is due.</t>
  </si>
  <si>
    <t>000946</t>
  </si>
  <si>
    <t>LearnerActivityDueDate</t>
  </si>
  <si>
    <t>Learner Activity Due Time</t>
  </si>
  <si>
    <t>The time the assignment is due.</t>
  </si>
  <si>
    <t>000947</t>
  </si>
  <si>
    <t>LearnerActivityDueTime</t>
  </si>
  <si>
    <t>Learner Activity Language</t>
  </si>
  <si>
    <t>The default language used for the assignment.</t>
  </si>
  <si>
    <t>(Note: CEDS uses ISO 639.2 for language code/option sets. See http://www.iso.org/iso/iso_catalogue/catalogue_tc/catalogue_detail.htm?csnumber=4767).</t>
  </si>
  <si>
    <t>000938</t>
  </si>
  <si>
    <t>LearnerActivityLanguage</t>
  </si>
  <si>
    <t>Learner Activity Maximum Attempts Allowed</t>
  </si>
  <si>
    <t>The number attempts a student may make on this assignment. Assumed to be unlimited if zero or omitted.</t>
  </si>
  <si>
    <t>000948</t>
  </si>
  <si>
    <t>LearnerActivityMaximumAttemptsAllowed</t>
  </si>
  <si>
    <t>Learner Activity Maximum Time Allowed</t>
  </si>
  <si>
    <t>The time required to complete the assignment.</t>
  </si>
  <si>
    <t>Time allowed is assumed to be unlimited if zero or omitted.</t>
  </si>
  <si>
    <t>000944</t>
  </si>
  <si>
    <t>LearnerActivityMaximumTimeAllowed</t>
  </si>
  <si>
    <t>Learner Activity Maximum Time Allowed Unit</t>
  </si>
  <si>
    <t>The unit of time of the Maximum Time Allowed value.</t>
  </si>
  <si>
    <t>000945</t>
  </si>
  <si>
    <t>LearnerActivityMaximumTimeAllowedUnit</t>
  </si>
  <si>
    <t>Learner Activity Possible Points</t>
  </si>
  <si>
    <t>The number of possible points for an assignment.</t>
  </si>
  <si>
    <t>Numeric - up to two digits after decimal place</t>
  </si>
  <si>
    <t>000952</t>
  </si>
  <si>
    <t>LearnerActivityPossiblePoints</t>
  </si>
  <si>
    <t>Learner Activity Prerequisite</t>
  </si>
  <si>
    <t>The description of the skills or competencies the student must have to engage in assignment.</t>
  </si>
  <si>
    <t>Note: Prerequisites may also be referenced via an associated Learning Goal and Competency Set (prerequisites for individual competencies). For some applications enumeration of the detailed prerequisites will have greater utility than a single descriptive field.</t>
  </si>
  <si>
    <t>000941</t>
  </si>
  <si>
    <t>LearnerActivityPrerequisite</t>
  </si>
  <si>
    <t>Learner Activity Release Date</t>
  </si>
  <si>
    <t>The date the student was informed about an assignment or that an automated system displays the assignment.</t>
  </si>
  <si>
    <t>000950</t>
  </si>
  <si>
    <t>LearnerActivityReleaseDate</t>
  </si>
  <si>
    <t>Learner Activity Rubric URL</t>
  </si>
  <si>
    <t>The Uniform Resource Locator pointing to a rubric that may be used to evaluate learner performance on the assignment.</t>
  </si>
  <si>
    <t>000953</t>
  </si>
  <si>
    <t>LearnerActivityRubricURL</t>
  </si>
  <si>
    <t>Learner Activity Title</t>
  </si>
  <si>
    <t>The title for work assigned to the learner, which can comprise of learning resources, activities, and assessments.</t>
  </si>
  <si>
    <t>000939</t>
  </si>
  <si>
    <t>LearnerActivityTitle</t>
  </si>
  <si>
    <t>Learner Activity Type</t>
  </si>
  <si>
    <t>The type of work assigned to the learner.</t>
  </si>
  <si>
    <t>000942</t>
  </si>
  <si>
    <t>LearnerActivityType</t>
  </si>
  <si>
    <t>Learner Activity Weight</t>
  </si>
  <si>
    <t>The percentage weight of the assignment during the particular course or term.</t>
  </si>
  <si>
    <t>000951</t>
  </si>
  <si>
    <t>LearnerActivityWeight</t>
  </si>
  <si>
    <t>Learning Goal Description</t>
  </si>
  <si>
    <t>A statement that specifies the learning that is intended in a way that both the educators and learners can understand.</t>
  </si>
  <si>
    <t>000903</t>
  </si>
  <si>
    <t>LearningGoalDescription</t>
  </si>
  <si>
    <t>Learning Goal End Date</t>
  </si>
  <si>
    <t>The date on which the Learning Goal expires or has been achieved.</t>
  </si>
  <si>
    <t>001166</t>
  </si>
  <si>
    <t>LearningGoalEndDate</t>
  </si>
  <si>
    <t>Learning Goal Start Date</t>
  </si>
  <si>
    <t>The date on which the Learning Goal becomes active.</t>
  </si>
  <si>
    <t>001165</t>
  </si>
  <si>
    <t>LearningGoalStartDate</t>
  </si>
  <si>
    <t>Learning Goal Success Criteria</t>
  </si>
  <si>
    <t>One or more statements that describes the criteria used by teachers and students to check for attainment of a leaning goal. This criteria gives clear indications as to the degree to which learning is moving through the Zone or Proximal Development toward independent achievement of the learning goal.</t>
  </si>
  <si>
    <t>000902</t>
  </si>
  <si>
    <t>LearningGoalSuccessCriteria</t>
  </si>
  <si>
    <t>Learning Resource Access API Type</t>
  </si>
  <si>
    <t>Indicates that the learning resource is compatible with the referenced accessibility application programming interface (API).</t>
  </si>
  <si>
    <t>Options derive primarily from IMS Global's Access for All (AfA) specification, specifically: apiInteroperable.</t>
  </si>
  <si>
    <t>001389</t>
  </si>
  <si>
    <t>LearningResourceAccessAPIType</t>
  </si>
  <si>
    <t>Learning Resource Access Hazard Type</t>
  </si>
  <si>
    <t>A characteristic of the described learning resource that is physiologically dangerous to some users.</t>
  </si>
  <si>
    <t>001390</t>
  </si>
  <si>
    <t>LearningResourceAccessHazardType</t>
  </si>
  <si>
    <t>Learning Resource Access Mode Type</t>
  </si>
  <si>
    <t>An access mode through which the intellectual content of a described learning resource or adaptation is communicated; if adaptations for the resource are known, the access modes of those adaptations are not included.</t>
  </si>
  <si>
    <t>Options derive primarily from IMS Global's Access for All (AfA) specification, specifically: AccessModeRequired.Type/existingAccessMode.</t>
  </si>
  <si>
    <t>001391</t>
  </si>
  <si>
    <t>LearningResourceAccessModeType</t>
  </si>
  <si>
    <t>Learning Resource Adaptation URL</t>
  </si>
  <si>
    <t>The Uniform Resource Locator of a learning resource that is an adaptation for this resource.</t>
  </si>
  <si>
    <t>001392</t>
  </si>
  <si>
    <t>LearningResourceAdaptationURL</t>
  </si>
  <si>
    <t>Learning Resource Adapted From URL</t>
  </si>
  <si>
    <t>URL identifier of a learning resource for which this resource is an adaptation.</t>
  </si>
  <si>
    <t>001398</t>
  </si>
  <si>
    <t>LearningResourceAdaptedFromURL</t>
  </si>
  <si>
    <t>Learning Resource Assistive Technologies Compatible Indicator</t>
  </si>
  <si>
    <t>Indicates that the learning resource is compatible with assistive technologies.</t>
  </si>
  <si>
    <t>For example, that the resource complies to Web Content Accessibility Guidelines (WCAG) 2.0 checkpoints: 1.1.1, 1.3.1, 1.3.2, 2.4.4, 3.1.1, 3.1.2, 3.3.2, 4.1.1, 4.1.2.</t>
  </si>
  <si>
    <t>001393</t>
  </si>
  <si>
    <t>LearningResourceAssistiveTechnologiesCompatibleIndicator</t>
  </si>
  <si>
    <t>Learning Resource Based On URL</t>
  </si>
  <si>
    <t>A resource that was used in the creation of this resource. This term can be repeated for multiple sources.</t>
  </si>
  <si>
    <t>Changed name from Learning Resource Is Based On URL.</t>
  </si>
  <si>
    <t>Ex: “http://example.com/great-multiplication-intro.html“</t>
  </si>
  <si>
    <t>000922</t>
  </si>
  <si>
    <t>LearningResourceBasedOnURL</t>
  </si>
  <si>
    <t>Learning Resource Book Format Type</t>
  </si>
  <si>
    <t>Specifies the format for a learning resource that is a book. Other options may be considered for inclusion in the option set.</t>
  </si>
  <si>
    <t>001394</t>
  </si>
  <si>
    <t>LearningResourceBookFormatType</t>
  </si>
  <si>
    <t>Learning Resource Competency Alignment Type</t>
  </si>
  <si>
    <t>The alignment relationship between the resource and the competency.</t>
  </si>
  <si>
    <t>A community of SEAs have agreed to use a limited set of Learning Resource Competency Alignment Type options when tagging learning resources in shared resource repositories. Those options are assesses, teaches, and requires.</t>
  </si>
  <si>
    <t>000879</t>
  </si>
  <si>
    <t>LearningResourceCompetencyAlignmentType</t>
  </si>
  <si>
    <t>Learning Resource Concept Keyword</t>
  </si>
  <si>
    <t>The significant topicality of the Learning Resource using free-text keywords and phrases.</t>
  </si>
  <si>
    <t>001146</t>
  </si>
  <si>
    <t>LearningResourceConceptKeyword</t>
  </si>
  <si>
    <t>Learning Resource Control Flexibility Type</t>
  </si>
  <si>
    <t>Identifies a single input method that is sufficient to control the described learning resource.</t>
  </si>
  <si>
    <t>001395</t>
  </si>
  <si>
    <t>LearningResourceControlFlexibilityType</t>
  </si>
  <si>
    <t>Learning Resource Copyright Holder Name</t>
  </si>
  <si>
    <t>The name(s) of the person(s) or organization(s) holding the copyright for the Learning Resource.</t>
  </si>
  <si>
    <t>001144</t>
  </si>
  <si>
    <t>LearningResourceCopyrightHolderName</t>
  </si>
  <si>
    <t>Learning Resource Copyright Year</t>
  </si>
  <si>
    <t>The copyright year for the Learning Resource.</t>
  </si>
  <si>
    <t>001145</t>
  </si>
  <si>
    <t>LearningResourceCopyrightYear</t>
  </si>
  <si>
    <t>Learning Resource Creator</t>
  </si>
  <si>
    <t>The name of individual credited with the creation of the resource.</t>
  </si>
  <si>
    <t>000917</t>
  </si>
  <si>
    <t>LearningResourceCreator</t>
  </si>
  <si>
    <t>Learning Resource Date Created</t>
  </si>
  <si>
    <t>The date on which the resource was created.</t>
  </si>
  <si>
    <t>000916</t>
  </si>
  <si>
    <t>LearningResourceDateCreated</t>
  </si>
  <si>
    <t>Learning Resource Description</t>
  </si>
  <si>
    <t>A short description of the Learning Resource.</t>
  </si>
  <si>
    <t>001143</t>
  </si>
  <si>
    <t>LearningResourceDescription</t>
  </si>
  <si>
    <t>Learning Resource Digital Media Sub Type</t>
  </si>
  <si>
    <t>The media or file subtype of the digital resource being based on the Media Types and Subtypes, formerly known as MIME types, defined by the Internet Assigned Numbers Authority (IANA).</t>
  </si>
  <si>
    <t>(from the list of Media Subtypes registered with the IANA accesible from http://www.iana.org/assignments/media-types, e.g. for "audio/mpg4" the Learning Resource Digital Media Sub Type is "mpg4")</t>
  </si>
  <si>
    <t>001396</t>
  </si>
  <si>
    <t>LearningResourceDigitalMediaSubType</t>
  </si>
  <si>
    <t>Learning Resource Digital Media Type</t>
  </si>
  <si>
    <t>The media or file type of the digital resource being based on the media types defined by the Internet Assigned Numbers Authority (AINA) at http://www.iana.org/assignments/media-types.</t>
  </si>
  <si>
    <t>001397</t>
  </si>
  <si>
    <t>LearningResourceDigitalMediaType</t>
  </si>
  <si>
    <t>Learning Resource Education Level </t>
  </si>
  <si>
    <t>The education level, grade level or primary instructional level at which a Learning Resource is intended.</t>
  </si>
  <si>
    <t>Replaced option set.</t>
  </si>
  <si>
    <t>001246</t>
  </si>
  <si>
    <t>LearningResourceEducationLevel</t>
  </si>
  <si>
    <t>Learning Resource Educational Use</t>
  </si>
  <si>
    <t>The purpose of the work in the context of education.</t>
  </si>
  <si>
    <t>Changes to option set</t>
  </si>
  <si>
    <t>001002</t>
  </si>
  <si>
    <t>LearningResourceEducationalUse</t>
  </si>
  <si>
    <t>Learning Resource Intended End User Role</t>
  </si>
  <si>
    <t>The individual or group for which the resource was produced.</t>
  </si>
  <si>
    <t>000923</t>
  </si>
  <si>
    <t>LearningResourceIntendedEndUserRole</t>
  </si>
  <si>
    <t>Learning Resource Interactivity Type</t>
  </si>
  <si>
    <t>The predominate mode of learning supported by the learning resource. Acceptable values are active, expositive, or mixed.</t>
  </si>
  <si>
    <t>000927</t>
  </si>
  <si>
    <t>LearningResourceInteractivityType</t>
  </si>
  <si>
    <t>Learning Resource Language</t>
  </si>
  <si>
    <t>The primary language of the resource.</t>
  </si>
  <si>
    <t>Updated usage note.</t>
  </si>
  <si>
    <t>(Note: CEDS uses ISO 639.2 for language code/option sets. See http://www.iso.org/iso/iso_catalogue/catalogue_tc/catalogue_detail.htm?csnumber=4767).Note: For accessible resources LRMI uses language codes from the IETF BCP 47 standard which also refers to ISO 639. (Equivalent of the AfA languageOfAdaptation property.)</t>
  </si>
  <si>
    <t>000919</t>
  </si>
  <si>
    <t>LearningResourceLanguage</t>
  </si>
  <si>
    <t>Learning Resource Media Feature Type</t>
  </si>
  <si>
    <t>Accessible content features included with the learning resource.</t>
  </si>
  <si>
    <t>Options derive primarily from IMS Global's Access for All (AfA) specification, specifically: AdaptationTypeRequired.Type/adaptationRequest.</t>
  </si>
  <si>
    <t>001399</t>
  </si>
  <si>
    <t>LearningResourceMediaFeatureType</t>
  </si>
  <si>
    <t>Learning Resource Media Type</t>
  </si>
  <si>
    <t>The type of media which is being described.</t>
  </si>
  <si>
    <t>Replaced by Learning Resource Digital Media Type and Learning Resource Physical Media Type</t>
  </si>
  <si>
    <t>000920</t>
  </si>
  <si>
    <t>LearningResourceMediaType</t>
  </si>
  <si>
    <t>Learning Resource Peer Rating Sample Size</t>
  </si>
  <si>
    <t>The sample size of a peer rating value. Only used when the Peer Rating Value is collected in aggregate as an average of multiple atomic/individual ratings.</t>
  </si>
  <si>
    <t>001400</t>
  </si>
  <si>
    <t>LearningResourcePeerRatingSampleSize</t>
  </si>
  <si>
    <t>Learning Resource Peer Rating Value</t>
  </si>
  <si>
    <t>An individual score, rating or level assigned to a Learning Resource by a person within the boundaries set by a Peer Rating System that may be aggregated to derive an overall score for the learning resource.</t>
  </si>
  <si>
    <t>001148</t>
  </si>
  <si>
    <t>LearningResourcePeerRatingValue</t>
  </si>
  <si>
    <t>Learning Resource Physical Media Type</t>
  </si>
  <si>
    <t>A type of physical media on which the Learning Resource is delivered or available.</t>
  </si>
  <si>
    <t>001401</t>
  </si>
  <si>
    <t>LearningResourcePhysicalMediaType</t>
  </si>
  <si>
    <t>Learning Resource Published Date</t>
  </si>
  <si>
    <t>The published date of an educational resource, such as instructional media, an assessment form, or section of an assessment form.</t>
  </si>
  <si>
    <t>001184</t>
  </si>
  <si>
    <t>LearningResourcePublishedDate</t>
  </si>
  <si>
    <t>Learning Resource Publisher Name</t>
  </si>
  <si>
    <t>The name of the organization credited with publishing the resource.</t>
  </si>
  <si>
    <t>000918</t>
  </si>
  <si>
    <t>LearningResourcePublisherName</t>
  </si>
  <si>
    <t>Learning Resource Subject Code</t>
  </si>
  <si>
    <t>The code used to identify the organization of subject matter and related learning experiences addressed by the learning resource.</t>
  </si>
  <si>
    <t>Whenever applicable use: "SCED" - School Codes for the Exchange of Data (SCED) two digit subject codes</t>
  </si>
  <si>
    <t>000914</t>
  </si>
  <si>
    <t>LearningResourceSubjectCode</t>
  </si>
  <si>
    <t>Learning Resource Subject Code System</t>
  </si>
  <si>
    <t>The system that is used to identify the organization of subject matter and related learning experiences addressed by the learning resource.</t>
  </si>
  <si>
    <t>Whenever applicable use: "SCED" - School Codes for the Exchange of Data (SCED) subject</t>
  </si>
  <si>
    <t>000915</t>
  </si>
  <si>
    <t>LearningResourceSubjectCodeSystem</t>
  </si>
  <si>
    <t>Learning Resource Subject Name</t>
  </si>
  <si>
    <t>The descriptive name for the subject of the content for the learning resource.</t>
  </si>
  <si>
    <t>000913</t>
  </si>
  <si>
    <t>LearningResourceSubjectName</t>
  </si>
  <si>
    <t>Learning Resource Text Complexity System</t>
  </si>
  <si>
    <t>The scaling system used to specify the text complexity of an Learning Resource</t>
  </si>
  <si>
    <t>000930</t>
  </si>
  <si>
    <t>LearningResourceTextComplexitySystem</t>
  </si>
  <si>
    <t>Learning Resource Text Complexity Value</t>
  </si>
  <si>
    <t>The complexity of the text using the scaling system defined by Text Complexity System, e.g. Lexile(tm).</t>
  </si>
  <si>
    <t>000929</t>
  </si>
  <si>
    <t>LearningResourceTextComplexityValue</t>
  </si>
  <si>
    <t>Learning Resource Time Required</t>
  </si>
  <si>
    <t>The approximate or typical time it takes to work with or through this learning resource for the typical intended target audience.</t>
  </si>
  <si>
    <t>Hours and Minutes (HH:MM)</t>
  </si>
  <si>
    <t>Name changed from Learning Resource Minutes Required.</t>
  </si>
  <si>
    <t>000924</t>
  </si>
  <si>
    <t>LearningResourceTimeRequired</t>
  </si>
  <si>
    <t>Learning Resource Title</t>
  </si>
  <si>
    <t>The title of the resource.</t>
  </si>
  <si>
    <t>000912</t>
  </si>
  <si>
    <t>LearningResourceTitle</t>
  </si>
  <si>
    <t>Learning Resource Type</t>
  </si>
  <si>
    <t>The predominate type or kind characterizing the learning resource.</t>
  </si>
  <si>
    <t>A community of SEAs have agreed to use a limited set of Learning Resource Type options when tagging learning resources in shared resource repositories. The options defined for this element align with those common tagging specifications.</t>
  </si>
  <si>
    <t>000928</t>
  </si>
  <si>
    <t>LearningResourceType</t>
  </si>
  <si>
    <t>Learning Resource Typical Age Range Maximum</t>
  </si>
  <si>
    <t>The maximum for the typical range of ages of the content’s intended end user.</t>
  </si>
  <si>
    <t>000926</t>
  </si>
  <si>
    <t>LearningResourceTypicalAgeRangeMaximum</t>
  </si>
  <si>
    <t>Learning Resource Typical Age Range Minimum</t>
  </si>
  <si>
    <t>The minimum for the typical range of ages of the content’s intended end user.</t>
  </si>
  <si>
    <t>000925</t>
  </si>
  <si>
    <t>LearningResourceTypicalAgeRangeMinimum</t>
  </si>
  <si>
    <t>Learning Resource URL</t>
  </si>
  <si>
    <t>The Uniform Resource Locator where the resource may be accessed, or a proxy for the resource, such as an information page for a commercially available resource.</t>
  </si>
  <si>
    <t>000911</t>
  </si>
  <si>
    <t>LearningResourceURL</t>
  </si>
  <si>
    <t>Learning Resource Use Rights URL</t>
  </si>
  <si>
    <t>The URL where the owner specifies permissions for using the resource.</t>
  </si>
  <si>
    <t>Ex: “http://creativecommons.org/licenses/by/3.0/“</t>
  </si>
  <si>
    <t>000921</t>
  </si>
  <si>
    <t>LearningResourceUseRightsURL</t>
  </si>
  <si>
    <t>Learning Resource Version</t>
  </si>
  <si>
    <t>Defines the version of the learning resource as defined by the publisher.</t>
  </si>
  <si>
    <t>001216</t>
  </si>
  <si>
    <t>LearningResourceVersion</t>
  </si>
  <si>
    <t>Learning Standard Document Creator</t>
  </si>
  <si>
    <t>The person or organization chiefly responsible for the intellectual content of the standards document.</t>
  </si>
  <si>
    <t>000696</t>
  </si>
  <si>
    <t>LearningStandardDocumentCreator</t>
  </si>
  <si>
    <t>Learning Standard Document Description</t>
  </si>
  <si>
    <t>A textual description of the scope and contents of the Learning Standards Document.</t>
  </si>
  <si>
    <t>000697</t>
  </si>
  <si>
    <t>LearningStandardDocumentDescription</t>
  </si>
  <si>
    <t>Learning Standard Document Identifier URI</t>
  </si>
  <si>
    <t>An unambiguous reference to the standards document using a network-resolvable URI.</t>
  </si>
  <si>
    <t>000693</t>
  </si>
  <si>
    <t>LearningStandardDocumentIdentifierURI</t>
  </si>
  <si>
    <t>Learning Standard Document Jurisdiction</t>
  </si>
  <si>
    <t>A legal, quasi-legal, organizational or institutional domain of the entity mandating the use of the statement--e.g., California.</t>
  </si>
  <si>
    <t>000699</t>
  </si>
  <si>
    <t>LearningStandardDocumentJurisdiction</t>
  </si>
  <si>
    <t>Learning Standard Document Language</t>
  </si>
  <si>
    <t>The default language of the text used for the content in the learning standard document.</t>
  </si>
  <si>
    <t>000880</t>
  </si>
  <si>
    <t>LearningStandardDocumentLanguage</t>
  </si>
  <si>
    <t>Learning Standard Document License</t>
  </si>
  <si>
    <t>A legal document giving official permission to do something with the standards document.</t>
  </si>
  <si>
    <t>000882</t>
  </si>
  <si>
    <t>LearningStandardDocumentLicense</t>
  </si>
  <si>
    <t>Learning Standard Document Publication Status</t>
  </si>
  <si>
    <t>The publication status of the document.</t>
  </si>
  <si>
    <t>000698</t>
  </si>
  <si>
    <t>LearningStandardDocumentPublicationStatus</t>
  </si>
  <si>
    <t>Learning Standard Document Publisher</t>
  </si>
  <si>
    <t>The entity responsible for making the learning standards document available.</t>
  </si>
  <si>
    <t>000884</t>
  </si>
  <si>
    <t>LearningStandardDocumentPublisher</t>
  </si>
  <si>
    <t>Learning Standard Document Rights</t>
  </si>
  <si>
    <t>The information about rights held in and over the resource.</t>
  </si>
  <si>
    <t>000885</t>
  </si>
  <si>
    <t>LearningStandardDocumentRights</t>
  </si>
  <si>
    <t>Learning Standard Document Rights Holder</t>
  </si>
  <si>
    <t>The person or organization owning or managing rights over the learning standards document.</t>
  </si>
  <si>
    <t>000886</t>
  </si>
  <si>
    <t>LearningStandardDocumentRightsHolder</t>
  </si>
  <si>
    <t>Learning Standard Document Subject</t>
  </si>
  <si>
    <t>The topic or academic subject of the Learning Standard Document.</t>
  </si>
  <si>
    <t>000702</t>
  </si>
  <si>
    <t>LearningStandardDocumentSubject</t>
  </si>
  <si>
    <t>Learning Standard Document Title</t>
  </si>
  <si>
    <t>The name of the standards document.</t>
  </si>
  <si>
    <t>000694</t>
  </si>
  <si>
    <t>LearningStandardDocumentTitle</t>
  </si>
  <si>
    <t>Learning Standard Document Valid End Date</t>
  </si>
  <si>
    <t>The year, month and day the standards document was deprecated/replaced by the jurisdiction in which it was intended to apply.</t>
  </si>
  <si>
    <t>000701</t>
  </si>
  <si>
    <t>LearningStandardDocumentValidEndDate</t>
  </si>
  <si>
    <t>Learning Standard Document Valid Start Date</t>
  </si>
  <si>
    <t>The year, month and day the standards document was adopted by the jurisdiction in which it was intended to apply.</t>
  </si>
  <si>
    <t>000700</t>
  </si>
  <si>
    <t>LearningStandardDocumentValidStartDate</t>
  </si>
  <si>
    <t>Learning Standard Document Version</t>
  </si>
  <si>
    <t>Defines the revision of the document as a version number or date.</t>
  </si>
  <si>
    <t>000695</t>
  </si>
  <si>
    <t>LearningStandardDocumentVersion</t>
  </si>
  <si>
    <t>Learning Standard Item Association Connection Citation</t>
  </si>
  <si>
    <t>Any citation appropriate to evidence the connection between nodes</t>
  </si>
  <si>
    <t>Learning Standards -&gt; Learning Standard Item -&gt; Learning Standard Item Association</t>
  </si>
  <si>
    <t>001402</t>
  </si>
  <si>
    <t>LearningStandardItemAssociationConnectionCitation</t>
  </si>
  <si>
    <t>Learning Standard Item Association Destination Node Name</t>
  </si>
  <si>
    <t>Name of the destination node when the Learning Standard Item Association is used as a connector in a learning map.</t>
  </si>
  <si>
    <t>001403</t>
  </si>
  <si>
    <t>LearningStandardItemAssociationDestinationNodeName</t>
  </si>
  <si>
    <t>Learning Standard Item Association Destination Node URI</t>
  </si>
  <si>
    <t>URI of the destination node when the Learning Standard Item Association is used as a connector in a learning map.</t>
  </si>
  <si>
    <t>001404</t>
  </si>
  <si>
    <t>LearningStandardItemAssociationDestinationNodeURI</t>
  </si>
  <si>
    <t>Learning Standard Item Association Identifier</t>
  </si>
  <si>
    <t>A URI that establishes uniqueness of an association.</t>
  </si>
  <si>
    <t>000871</t>
  </si>
  <si>
    <t>LearningStandardItemAssociationIdentifier</t>
  </si>
  <si>
    <t>Learning Standard Item Association Origin Node Name</t>
  </si>
  <si>
    <t>Name of the origin node when the Learning Standard Item Association is used as a connector in a learning map.</t>
  </si>
  <si>
    <t>001405</t>
  </si>
  <si>
    <t>LearningStandardItemAssociationOriginNodeName</t>
  </si>
  <si>
    <t>Learning Standard Item Association Origin Node URI</t>
  </si>
  <si>
    <t>URI of the origin node when the Learning Standard Item Association is used as a connector in a learning map.</t>
  </si>
  <si>
    <t>001406</t>
  </si>
  <si>
    <t>LearningStandardItemAssociationOriginNodeURI</t>
  </si>
  <si>
    <t>Learning Standard Item Association Type</t>
  </si>
  <si>
    <t>Defines the nature of the association between a Learning Standard Item and an associated data object such as a Learning Resource, an Assessment Item, or even another Learning Standard Item.</t>
  </si>
  <si>
    <t>The Learning Standard Item Association entity defines metadata relationships between a Learning Standard Item and other objects or relationships between Learning Standard Items not otherwise defined in the normal taxonomy of the framework such as for competency-based pathways, relationships between different versions of the same learning standard, and relationships to resources.</t>
  </si>
  <si>
    <t>For example, "Prerequisite" may indicate that the Associated Learning Standard Item is a Prerequisite of this Learning Standards Item. Another association may specify that a Learning Resource "Teaches" the specified Learning Standard Item, or is aligned to the "Reading Level" specified as part of the Learning Standard Item.</t>
  </si>
  <si>
    <t>000869</t>
  </si>
  <si>
    <t>LearningStandardItemAssociationType</t>
  </si>
  <si>
    <t>Learning Standard Item Association Weight</t>
  </si>
  <si>
    <t>Indicates the relative significance this connection has for the destination node in a learning map.</t>
  </si>
  <si>
    <t>Numeric - up to 3 digits after decimal place</t>
  </si>
  <si>
    <t>This element is used to support learning maps and may be used in two ways 1) use a 1.000 to flag incoming nodes as important prerequisites/predecessors and 0.000 to indicate those with less significance, or 2) to indicate a levels of significance for the connection as a decimal between 0.000 and 1.000.</t>
  </si>
  <si>
    <t>001407</t>
  </si>
  <si>
    <t>LearningStandardItemAssociationWeight</t>
  </si>
  <si>
    <t>Learning Standard Item Blooms Taxonomy Domain</t>
  </si>
  <si>
    <t>Classification of the Learning Standard Item using Bloom's Taxonomy Domains. </t>
  </si>
  <si>
    <t>000875</t>
  </si>
  <si>
    <t>LearningStandardItemBloomsTaxonomyDomain</t>
  </si>
  <si>
    <t>Learning Standard Item Code</t>
  </si>
  <si>
    <t>A human-referenceable code designated by the publisher to identify the item in the hierarchy of learning standard items.</t>
  </si>
  <si>
    <t>For example: "M.1.N.3" The code is usually not globally unique and usually has embedded meaning such as a number that represents a grade/level and letters that represent content strands.</t>
  </si>
  <si>
    <t>000692</t>
  </si>
  <si>
    <t>Competency Item Code</t>
  </si>
  <si>
    <t>LearningStandardItemCode</t>
  </si>
  <si>
    <t>Learning Standard Item Concept Keyword</t>
  </si>
  <si>
    <t>The significant topicality of the learning standard using free-text keywords and phrases.</t>
  </si>
  <si>
    <t>000887</t>
  </si>
  <si>
    <t>LearningStandardItemConceptKeyword</t>
  </si>
  <si>
    <t>Learning Standard Item Concept Term</t>
  </si>
  <si>
    <t>The topicality of the achievement standard, e.g. "Pythagorean Theorem" "Trigonometric functions" "Forces and energy" "Scientific method" "Oral history" etc.</t>
  </si>
  <si>
    <t>000888</t>
  </si>
  <si>
    <t>LearningStandardItemConceptTerm</t>
  </si>
  <si>
    <t>Learning Standard Item Current Version Indicator</t>
  </si>
  <si>
    <t>Indicates that this is the most current version of the Learning Standard Item.</t>
  </si>
  <si>
    <t>This element supports version histories at the statement level. If corrections have been made to individual items/statements that are not part of a new Learning Standard Document, the elements 'Learning Standard Item Previous Version Identifier' and 'Learning Standard Item Current Version Indicator' provide a reference to historical versions of the current statement. In such uses the 'Learning Standard Item Code' could be the same for multiple versions of a statement and Learning Standard Item URL could resolve to the most current version of the statement.</t>
  </si>
  <si>
    <t>001525</t>
  </si>
  <si>
    <t>LearningStandardItemCurrentVersionIndicator</t>
  </si>
  <si>
    <t>Learning Standard Item Education Level</t>
  </si>
  <si>
    <t>The education level, grade level or primary instructional level at which a Learning Standard Item is intended.</t>
  </si>
  <si>
    <t>More than one Learning Standard Grade Level may be associated with one Learning Standard Item.</t>
  </si>
  <si>
    <t>000725</t>
  </si>
  <si>
    <t>LearningStandardItemEducationLevel</t>
  </si>
  <si>
    <t>Learning Standard Item Identifier</t>
  </si>
  <si>
    <t>The globally unique identifier (GUID) issued by the publisher of the competency framework that uniquely identifies the item in the hierarchy of learning standard items using a RFC 4122 compliant 32-character hexadecimal string, such as 21EC2020-3AEA-1069-A2DD-08002B30309D.</t>
  </si>
  <si>
    <t>Alphanumeric - 36 characters</t>
  </si>
  <si>
    <t>000689</t>
  </si>
  <si>
    <t>Competency Item Identifier</t>
  </si>
  <si>
    <t>LearningStandardItemIdentifier</t>
  </si>
  <si>
    <t>Learning Standard Item Language</t>
  </si>
  <si>
    <t>The default language of the text used for the content in the learning standard statement.</t>
  </si>
  <si>
    <t>000881</t>
  </si>
  <si>
    <t>LearningStandardItemLanguage</t>
  </si>
  <si>
    <t>Learning Standard Item License</t>
  </si>
  <si>
    <t>The full text or URL reference to a legal document giving official permission to do something with the standards statement.</t>
  </si>
  <si>
    <t>000883</t>
  </si>
  <si>
    <t>LearningStandardItemLicense</t>
  </si>
  <si>
    <t>Learning Standard Item Multiple Intelligence</t>
  </si>
  <si>
    <t>Classification of the Learning Standard Item using intelligences defined for Howard Earl Gardner's Theory of Multiple Intelligences.</t>
  </si>
  <si>
    <t>000876</t>
  </si>
  <si>
    <t>LearningStandardItemMultipleIntelligence</t>
  </si>
  <si>
    <t>Learning Standard Item Node Accessibility Profile</t>
  </si>
  <si>
    <t>When the Learning Standard Item is used as a node in a learning map, this element supports alternative pathways based on a learner's accessibility profile. The type selected indicates which accessibility profile the node is designed to address.</t>
  </si>
  <si>
    <t>Learning Standards -&gt; Learning Standard Item</t>
  </si>
  <si>
    <t>001408</t>
  </si>
  <si>
    <t>LearningStandardItemNodeAccessibilityProfile</t>
  </si>
  <si>
    <t>Learning Standard Item Node Name</t>
  </si>
  <si>
    <t>The name or label displayed on the node when this learning standard item is used in a learning map.</t>
  </si>
  <si>
    <t>001409</t>
  </si>
  <si>
    <t>LearningStandardItemNodeName</t>
  </si>
  <si>
    <t>Learning Standard Item Notes</t>
  </si>
  <si>
    <t>Information about the derivation of a Learning Standard Item Statement.</t>
  </si>
  <si>
    <t>001249</t>
  </si>
  <si>
    <t>LearningStandardItemNotes</t>
  </si>
  <si>
    <t>Learning Standard Item Parent Code</t>
  </si>
  <si>
    <t>A human-referenceable code designated by the publisher to identify the parent item in the hierarchy of learning standard items.</t>
  </si>
  <si>
    <t>000873</t>
  </si>
  <si>
    <t>LearningStandardItemParentCode</t>
  </si>
  <si>
    <t>Learning Standard Item Parent Identifier</t>
  </si>
  <si>
    <t>The globally unique identifier (GUID) issued by the publisher of the competency framework that uniquely identifies the parent item in the hierarchy of learning standard items using a RFC 4122 compliant 32-character hexadecimal string, such as 21EC2020-3AEA-1069-A2DD-08002B30309D.</t>
  </si>
  <si>
    <t>000872</t>
  </si>
  <si>
    <t>LearningStandardItemParentIdentifier</t>
  </si>
  <si>
    <t>Learning Standard Item Parent URL</t>
  </si>
  <si>
    <t>A network-resolvable Uniform Resource Locator (URL) pointing to the authoritative reference for the hierarchal parent of the learning standard item.</t>
  </si>
  <si>
    <t>001094</t>
  </si>
  <si>
    <t>LearningStandardItemParentURL</t>
  </si>
  <si>
    <t>Learning Standard Item Prerequisite Identifier</t>
  </si>
  <si>
    <t>The unique identifier of a prerequisite Learning Standard Item, a competency needed prior to learning this one. (Some items may have no prerequisites others may have one or more prerequisites. This should only be used to represent the immediate predecessors in a competency-based pathway, i.e. not prerequisites of prerequisites.)</t>
  </si>
  <si>
    <t>Use the entity Learning Standard Item Association instead of this data element for flexibility in use cases that require multiple types of associations, including prerequisite and version relationships between learning standard items. Learning Standard Item Association also supports associating other entities, such as Learning Resources, to learning standard items.</t>
  </si>
  <si>
    <t>000715</t>
  </si>
  <si>
    <t>LearningStandardItemPrerequisiteIdentifier</t>
  </si>
  <si>
    <t>Learning Standard Item Previous Version Identifier</t>
  </si>
  <si>
    <t>The unique identifier of the previous version of the Learning Standard Item if the statement was modified.</t>
  </si>
  <si>
    <t>Alphanumeric - 36 characters in length</t>
  </si>
  <si>
    <t>001524</t>
  </si>
  <si>
    <t>LearningStandardItemPreviousVersionIdentifier</t>
  </si>
  <si>
    <t>Learning Standard Item Statement</t>
  </si>
  <si>
    <t>The text of the statement. The textual content that either describes a specific competency or describes a less granular group of competencies within the taxonomy of the standards document.</t>
  </si>
  <si>
    <t>Note: This element is designed to support statements from various learning standards frameworks. The Head Start Child Outcomes Framework includes statements for Domains, Elements, and Indicators. Examples from the K-12 Common Core State Standards are the domain: “Geometry", the cluster: “Understand and apply the Pythagorean Theorem,” and standard: “Apply the Pythagorean Theorem to determine unknown side lengths in right triangles in real-world and mathematical problems in two and three dimensions.”</t>
  </si>
  <si>
    <t>000690</t>
  </si>
  <si>
    <t>Competency Item Statement</t>
  </si>
  <si>
    <t>LearningStandardItemStatement</t>
  </si>
  <si>
    <t>Learning Standard Item Testability Type</t>
  </si>
  <si>
    <t>Indicates if the competency described in the Learning Standard Item Statement can be tested using one or more assessment items.</t>
  </si>
  <si>
    <t>001411</t>
  </si>
  <si>
    <t>LearningStandardItemTestabilityType</t>
  </si>
  <si>
    <t>Learning Standard Item Text Complexity Maximum Value</t>
  </si>
  <si>
    <t>The maximum value in the range of text complexity applicable to a language learning standard using the scaling system defined by Text Complexity System, e.g. Lexile(tm).</t>
  </si>
  <si>
    <t>001155</t>
  </si>
  <si>
    <t>LearningStandardItemTextComplexityMaximumValue</t>
  </si>
  <si>
    <t>Learning Standard Item Text Complexity Minimum Value</t>
  </si>
  <si>
    <t>The minimum value in the range of text complexity applicable to a language learning standard using the scaling system defined by Text Complexity System, e.g. Lexile(tm).</t>
  </si>
  <si>
    <t>001154</t>
  </si>
  <si>
    <t>LearningStandardItemTextComplexityMinimumValue</t>
  </si>
  <si>
    <t>Learning Standard Item Text Complexity System</t>
  </si>
  <si>
    <t>The scaling system used to specify the text complexity of an learning standard item.</t>
  </si>
  <si>
    <t>000910</t>
  </si>
  <si>
    <t>LearningStandardItemTextComplexitySystem</t>
  </si>
  <si>
    <t>Learning Standard Item Type</t>
  </si>
  <si>
    <t>The textual label identifying the class of the statement as designated by the promulgating body—e.g., "Standard," "Benchmark," "Strand," or "Topic." or "Level 1, Level 2,..."</t>
  </si>
  <si>
    <t>000691</t>
  </si>
  <si>
    <t>Competency Item Type</t>
  </si>
  <si>
    <t>LearningStandardItemType</t>
  </si>
  <si>
    <t>Learning Standard Item Typical Age Range</t>
  </si>
  <si>
    <t>The typical range of ages for the content’s intended end user.</t>
  </si>
  <si>
    <t>E.g. "7-9"</t>
  </si>
  <si>
    <t>000870</t>
  </si>
  <si>
    <t>LearningStandardItemTypicalAgeRange</t>
  </si>
  <si>
    <t>Learning Standard Item URL</t>
  </si>
  <si>
    <t>A network-resolvable Uniform Resource Locator (URL) pointing to the authoritative reference for the learning standard item.</t>
  </si>
  <si>
    <t>000874</t>
  </si>
  <si>
    <t>LearningStandardItemUrl</t>
  </si>
  <si>
    <t>Learning Standard Item Valid End Date</t>
  </si>
  <si>
    <t>The year, month and day the standards item was deprecated/replaced by the jurisdiction in which it was intended to apply.</t>
  </si>
  <si>
    <t>When not specified the entity is assumed contain the most current version of the specified learnig standard item.</t>
  </si>
  <si>
    <t>001511</t>
  </si>
  <si>
    <t>LearningStandardItemValidEndDate</t>
  </si>
  <si>
    <t>Learning Standard Item Valid Start Date</t>
  </si>
  <si>
    <t>The year, month and day the standards item was adopted by the jurisdiction in which it was intended to apply.</t>
  </si>
  <si>
    <t>001512</t>
  </si>
  <si>
    <t>LearningStandardItemValidStartDate</t>
  </si>
  <si>
    <t>Learning Standard Item Version</t>
  </si>
  <si>
    <t>A label assigned by the publisher indicating the version of the learning standard statement.</t>
  </si>
  <si>
    <t>001250</t>
  </si>
  <si>
    <t>LearningStandardItemVersion</t>
  </si>
  <si>
    <t>Leave Event Type</t>
  </si>
  <si>
    <t>The type of the leave event.</t>
  </si>
  <si>
    <t>K12 -&gt; K12 Staff -&gt; Attendance</t>
  </si>
  <si>
    <t>000624</t>
  </si>
  <si>
    <t>LeaveEventType</t>
  </si>
  <si>
    <t>Level of Institution</t>
  </si>
  <si>
    <t>A classification of whether a postsecondary institution's highest level of offering is a program of 4-years or higher (4 year), 2-but-less-than 4-years (2 year), or less than 2-years.</t>
  </si>
  <si>
    <t>000178</t>
  </si>
  <si>
    <t>LevelOfInstitution</t>
  </si>
  <si>
    <t>Level of Specialization in Early Learning</t>
  </si>
  <si>
    <t>The extent to which a person concentrates upon a particular subject matter area during his or her period of study at an educational institution.</t>
  </si>
  <si>
    <t>000341</t>
  </si>
  <si>
    <t>LevelOfSpecializationInEarlyLearning</t>
  </si>
  <si>
    <t>License Exempt</t>
  </si>
  <si>
    <t>The program or center is legally exempt from licensing.</t>
  </si>
  <si>
    <t>000350</t>
  </si>
  <si>
    <t>LicenseExempt</t>
  </si>
  <si>
    <t>Limited English Proficiency - Postsecondary</t>
  </si>
  <si>
    <t>The term "individual with limited English proficiency" means a secondary school student, an adult, or an out-of-school youth, who has limited ability in speaking, reading, writing, or understanding the English language AND whose native language is a language other than English; OR who lives in a family or community environment in which a language other than English is the dominant language.</t>
  </si>
  <si>
    <t>000179</t>
  </si>
  <si>
    <t>LEP - Postsecondary</t>
  </si>
  <si>
    <t>LEPPostsecondary</t>
  </si>
  <si>
    <t>Limited English Proficiency Entry Date</t>
  </si>
  <si>
    <t>The year, month and day a student classified as limited English proficient entered the LEP program.</t>
  </si>
  <si>
    <t>K12 -&gt; K12 Student -&gt; Limited English Proficiency</t>
  </si>
  <si>
    <t>001247</t>
  </si>
  <si>
    <t>LEP Entry Date</t>
  </si>
  <si>
    <t>LimitedEnglishProficiencyEntryDate</t>
  </si>
  <si>
    <t>Limited English Proficiency Exit Date</t>
  </si>
  <si>
    <t>The year, month and day a student classified as limited English proficient exited the LEP program.</t>
  </si>
  <si>
    <t>000570</t>
  </si>
  <si>
    <t>LEP Exit Date</t>
  </si>
  <si>
    <t>LEPExitDate</t>
  </si>
  <si>
    <t>Limited English Proficiency Status</t>
  </si>
  <si>
    <t>Used to indicate persons (A) who are ages 3 through 21; (B) who are enrolled or preparing to enroll in an elementary school or a secondary school; (C ) (who are I, ii, or iii) (i) who were not born in the United States or whose native languages are languages other than English; (ii) (who are I and II) (I) who are a Native American or Alaska Native, or a native resident of the outlying areas; and (II) who come from an environment where languages other than English have a significant impact on their level of language proficiency; or (iii) who are migratory, whose native languages are languages other than English, and who come from an environment where languages other than English are dominant; and (D) whose difficulties in speaking, reading, writing, or understanding the English language may be sufficient to deny the individuals (who are denied I or ii or iii) (i) the ability to meet the state's proficient level of achievement on state assessments described in section 1111(b)(3); (ii) the ability to successfully achieve in classrooms where the language of instruction is English; or (iii) the opportunity to participate fully in society.</t>
  </si>
  <si>
    <t>000180</t>
  </si>
  <si>
    <t>LEP Status</t>
  </si>
  <si>
    <t>LEPStatus</t>
  </si>
  <si>
    <t>Literacy Assessment Administered Type</t>
  </si>
  <si>
    <t>The type of literacy test administered.</t>
  </si>
  <si>
    <t>000466</t>
  </si>
  <si>
    <t>LiteracyAssessmentAdministeredType</t>
  </si>
  <si>
    <t>Literacy Goal Met Status</t>
  </si>
  <si>
    <t>The participant showed "significant learning gains" on measures of reading, the definition of which is determined at the State level.</t>
  </si>
  <si>
    <t>000467</t>
  </si>
  <si>
    <t>LiteracyGoalMetStatus</t>
  </si>
  <si>
    <t>Literacy Post Test Status</t>
  </si>
  <si>
    <t>The participant completed a literacy post-test.</t>
  </si>
  <si>
    <t>000468</t>
  </si>
  <si>
    <t>LiteracyPostTestStatus</t>
  </si>
  <si>
    <t>Literacy Pre Test Status</t>
  </si>
  <si>
    <t>The participant completed a literacy pre-test.</t>
  </si>
  <si>
    <t>000469</t>
  </si>
  <si>
    <t>LiteracyPreTestStatus</t>
  </si>
  <si>
    <t>Local Education Agency Funds Transfer Type</t>
  </si>
  <si>
    <t>An indication of the type of transfer for an LEAs that transferred funds from an eligible program to another eligible program.</t>
  </si>
  <si>
    <t>000451</t>
  </si>
  <si>
    <t>LEA Funds Transfer Type</t>
  </si>
  <si>
    <t>LEAFundsTransferType</t>
  </si>
  <si>
    <t>Local Education Agency Identification System</t>
  </si>
  <si>
    <t>A coding scheme that is used for identification and record-keeping purposes by schools, social services, or other agencies to refer to a local education agency.</t>
  </si>
  <si>
    <t>001072</t>
  </si>
  <si>
    <t>LEA Identification System</t>
  </si>
  <si>
    <t>LEAIdentificationSystem</t>
  </si>
  <si>
    <t>Local Education Agency Identifier</t>
  </si>
  <si>
    <t>A unique number or alphanumeric code assigned to a local education agency by a school system, a state, or other agency or entity.</t>
  </si>
  <si>
    <t>001068</t>
  </si>
  <si>
    <t>LEA Identifier</t>
  </si>
  <si>
    <t>LocalEducationAgencyIdentifier</t>
  </si>
  <si>
    <t>Local Education Agency Improvement Status</t>
  </si>
  <si>
    <t>An indication of the improvement stage for AYP of the local education agency (LEA).</t>
  </si>
  <si>
    <t>000173</t>
  </si>
  <si>
    <t>LEA Improvement Status</t>
  </si>
  <si>
    <t>LEAImprovementStatus</t>
  </si>
  <si>
    <t>Local Education Agency Operational Status</t>
  </si>
  <si>
    <t>The classification of the operational condition of a local education agency (LEA) at the start of the school year.</t>
  </si>
  <si>
    <t>K12 -&gt; LEA -&gt; Directory</t>
  </si>
  <si>
    <t>000174</t>
  </si>
  <si>
    <t>LEA Operational Status</t>
  </si>
  <si>
    <t>LEAOperationalStatus</t>
  </si>
  <si>
    <t>Local Education Agency Supervisory Union Identification Number</t>
  </si>
  <si>
    <t>The three-digit unique identifier assigned to the supervisory union by the state.</t>
  </si>
  <si>
    <t>Alphanumeric - 3 characters maximum</t>
  </si>
  <si>
    <t>000175</t>
  </si>
  <si>
    <t>LEA Supervisory Union Identification Number</t>
  </si>
  <si>
    <t>LEASupervisoryUnionIdentificationNumber</t>
  </si>
  <si>
    <t>Local Education Agency Transferability of Funds</t>
  </si>
  <si>
    <t>LEA notified the State that they were transferring funds under the LEA Transferability authority of Section 6123(b).</t>
  </si>
  <si>
    <t>000446</t>
  </si>
  <si>
    <t>LEA Transferability of Funds</t>
  </si>
  <si>
    <t>LEATransferabilityOfFunds</t>
  </si>
  <si>
    <t>Local Education Agency Type</t>
  </si>
  <si>
    <t>The classification of education agencies within the geographic boundaries of a state according to the level of administrative and operational control.</t>
  </si>
  <si>
    <t>000537</t>
  </si>
  <si>
    <t>LocalEducationAgencyType</t>
  </si>
  <si>
    <t>Longitude</t>
  </si>
  <si>
    <t>The east or west angular distance from the prime meridian that, when combined with latitude, reflects an estimation of where the school is physically situated.</t>
  </si>
  <si>
    <t>000607</t>
  </si>
  <si>
    <t>Low-income Status</t>
  </si>
  <si>
    <t>A person who receives or is a member of a family who receives a total family income in the 6 months prior to enrollment of 70 percent of the income standard for a family of that size or that does not exceed the poverty line, or the person is receiving or is a member of a family who is receiving cash assistance payments from Federal, State, or local agencies or food stamps, or the person can be designated as homeless under the McKinney Act.</t>
  </si>
  <si>
    <t>000775</t>
  </si>
  <si>
    <t>LowIncomeStatus</t>
  </si>
  <si>
    <t>Magnet or Special Program Emphasis School</t>
  </si>
  <si>
    <t>A school that has been designed: 1) to attract students of different racial/ethnic backgrounds for the purpose of reducing, preventing, or eliminating racial isolation; and/or 2)to provide an academic or social focus on a particular theme (e.g., science/math, performing arts, gifted/talented, career academy or foreign language).</t>
  </si>
  <si>
    <t>000181</t>
  </si>
  <si>
    <t>MagnetOrSpecialProgramEmphasisSchool</t>
  </si>
  <si>
    <t>Marking Period Name</t>
  </si>
  <si>
    <t>The name or description of the marking period (e.g., fall, first marking period).</t>
  </si>
  <si>
    <t>K12 -&gt; Course Section -&gt; Enrollment -&gt; Student Class Section Mark</t>
  </si>
  <si>
    <t>000182</t>
  </si>
  <si>
    <t>MarkingPeriodName</t>
  </si>
  <si>
    <t>Medical Alert Indicator</t>
  </si>
  <si>
    <t>Alert indicator for a medical/health condition.</t>
  </si>
  <si>
    <t>K12 -&gt; K12 Student -&gt; Health</t>
  </si>
  <si>
    <t>000439</t>
  </si>
  <si>
    <t>MedicalAlertIndicator</t>
  </si>
  <si>
    <t>Medical School Staff Status</t>
  </si>
  <si>
    <t>Staff employed by or employees working in the medical school component of a postsecondary institution or in a free standing medical school. Does not include staff employed by or employees working strictly in a hospital associated with a medical school or those who work in health or allied health schools or departments such as dentistry, veterinary medicine, nursing or dental hygiene.</t>
  </si>
  <si>
    <t>000733</t>
  </si>
  <si>
    <t>MedicalSchoolStaffStatus</t>
  </si>
  <si>
    <t>Method of Service Delivery</t>
  </si>
  <si>
    <t>The method by which the services will be provided.</t>
  </si>
  <si>
    <t>Early Learning -&gt; EL Child -&gt; Individualized Program</t>
  </si>
  <si>
    <t>001510</t>
  </si>
  <si>
    <t>MethodOfServiceDelivery</t>
  </si>
  <si>
    <t>Mid Term Mark</t>
  </si>
  <si>
    <t>Indicator of student performance at the mid-point of the marking period.</t>
  </si>
  <si>
    <t>Alphanumeric - 15</t>
  </si>
  <si>
    <t>000183</t>
  </si>
  <si>
    <t>MidTermMark</t>
  </si>
  <si>
    <t>Middle Name</t>
  </si>
  <si>
    <t>A full legal middle name given to a person at birth, baptism, or through legal change.</t>
  </si>
  <si>
    <t>000184</t>
  </si>
  <si>
    <t>MiddleName</t>
  </si>
  <si>
    <t>Migrant Education Program Continuation of Services Status</t>
  </si>
  <si>
    <t>An indication that migrant children are receiving instructional or support services under the continuation of services authority ESEA Title III Section 1304(e)(2)-(3).</t>
  </si>
  <si>
    <t>000563</t>
  </si>
  <si>
    <t>MEP Continuation of Services Status</t>
  </si>
  <si>
    <t>MEPContinuationOfServicesStatus</t>
  </si>
  <si>
    <t>Migrant Education Program Eligibility Expiration Date</t>
  </si>
  <si>
    <t>The year, month, and day on which the child is no longer eligible for the Migrant Education Program. This date should initially be a date equal to 36 months from the Qualifying Arrival Date to indicate the end of MEP eligibility or the student reaches 22 years of age, whichever comes first.</t>
  </si>
  <si>
    <t>000430</t>
  </si>
  <si>
    <t>MEP Eligibility Expiration Date</t>
  </si>
  <si>
    <t>MigrantEducationProgramEligibilityExpirationDate</t>
  </si>
  <si>
    <t>Migrant Education Program Enrollment Type</t>
  </si>
  <si>
    <t>The type of school/migrant education project in which instruction and/or support services are provided.</t>
  </si>
  <si>
    <t>000437</t>
  </si>
  <si>
    <t>MEP Enrollment Type</t>
  </si>
  <si>
    <t>MigrantEducationProgramEnrollmentType</t>
  </si>
  <si>
    <t>Migrant Education Program Participation Status</t>
  </si>
  <si>
    <t>An indicator of whether the student is served by a Migrant Education Program (MEP).</t>
  </si>
  <si>
    <t>000185</t>
  </si>
  <si>
    <t>MEP Participation Status</t>
  </si>
  <si>
    <t>MigrantEducationProgramParticipationStatus</t>
  </si>
  <si>
    <t>Migrant Education Program Personnel Indicator</t>
  </si>
  <si>
    <t>An indication that a staff member's salary is paid by the Title I, Part C Migrant Education Program (MEP) of ESEA as amended.</t>
  </si>
  <si>
    <t>000543</t>
  </si>
  <si>
    <t>MEP Personnel Indicator</t>
  </si>
  <si>
    <t>MEPPersonnelIndicator</t>
  </si>
  <si>
    <t>Migrant Education Program Project Based</t>
  </si>
  <si>
    <t>Indicates the type of MEP project based on the location where the MEP services are held.</t>
  </si>
  <si>
    <t>000440</t>
  </si>
  <si>
    <t>MEP Project Based</t>
  </si>
  <si>
    <t>MigrantEducationProgramProjectBased</t>
  </si>
  <si>
    <t>Migrant Education Program Project Type</t>
  </si>
  <si>
    <t>Type of project funded in whole or in part by MEP funds.</t>
  </si>
  <si>
    <t>000463</t>
  </si>
  <si>
    <t>MEP Project Type</t>
  </si>
  <si>
    <t>MigrantEducationProgramProjectType</t>
  </si>
  <si>
    <t>Migrant Education Program Services Type</t>
  </si>
  <si>
    <t>The type of services received by participating migrant students in the migrant education program (MEP).</t>
  </si>
  <si>
    <t>000186</t>
  </si>
  <si>
    <t>MEP Services Type</t>
  </si>
  <si>
    <t>MigrantEducationProgramServicesType</t>
  </si>
  <si>
    <t>Migrant Education Program Session Type</t>
  </si>
  <si>
    <t>The time of year that a Migrant Education Program operates.</t>
  </si>
  <si>
    <t>000187</t>
  </si>
  <si>
    <t>MEP Session Type</t>
  </si>
  <si>
    <t>MigrantEducationProgramSessionType</t>
  </si>
  <si>
    <t>Migrant Education Program Staff Category</t>
  </si>
  <si>
    <t>Titles of employment, official status, or rank of staff working in the Migrant Education Program (MEP).</t>
  </si>
  <si>
    <t>Funded by Title I-C.</t>
  </si>
  <si>
    <t>000188</t>
  </si>
  <si>
    <t>MEP Staff Category</t>
  </si>
  <si>
    <t>MigrantEducationProgramStaffCategory</t>
  </si>
  <si>
    <t>Migrant Prioritized for Services</t>
  </si>
  <si>
    <t>An indication that a migratory child 1) is failing to meet, or most at risk of failing to meet, the state's challenging academic content standards and student academic achievement standards; and 2) has experienced interruptions in their education during the regular school year.</t>
  </si>
  <si>
    <t>000562</t>
  </si>
  <si>
    <t>MigrantPrioritizedForServices</t>
  </si>
  <si>
    <t>Migrant Status</t>
  </si>
  <si>
    <t>Persons who are, or whose parents or spouses are, migratory agricultural workers, including migratory dairy workers, or migratory fishers, and who, in the preceding 36 months, in order to obtain, or accompany such parents or spouses, in order to obtain, temporary or seasonal employment in agricultural or fishing work (A) have moved from one LEA to another; (B) in a state that comprises a single LEA, have moved from one administrative area to another within such LEA; or (C) reside in an LEA of more than 15,000 square miles, and migrate a distance of 20 miles or more to a temporary residence to engage in a fishing activity.</t>
  </si>
  <si>
    <t>000189</t>
  </si>
  <si>
    <t>MigrantStatus</t>
  </si>
  <si>
    <t>Migrant Student Qualifying Arrival Date</t>
  </si>
  <si>
    <t>The qualifying arrival date (QAD) is the month, date, and year that the child completed a move with his or her parent to enable the parent to find qualifying employment. In some cases, the child and worker may not always move together, in which case the QAD would be the date that the child joins the worker who has already moved, or the date the worker joins the child who has already moved. The QAD is the date the child's eligibility for the Migrant Education Program begins.</t>
  </si>
  <si>
    <t>000432</t>
  </si>
  <si>
    <t>MigrantStudentQualifyingArrivalDate</t>
  </si>
  <si>
    <t>Military Enlistment After Exit</t>
  </si>
  <si>
    <t>An individual who is a member of the uniformed armed forces of the United States as reported through FEDES after exiting secondary, postsecondary, or adult education or workforce programs.</t>
  </si>
  <si>
    <t>Information on military enlistment is collected as a part of the FEDES program which facilitates periodic matches with the Department of Defense Manpower Information Center. While the unemployment insurance data cannot be used to indicate that an individual is not employed, the DOD Enlistment data can suggest "not enlisted when there is no match." These data are included in FEDES matches and may need to be "unduplicated" from employment counts.</t>
  </si>
  <si>
    <t>001412</t>
  </si>
  <si>
    <t>MilitaryEnlistmentAfterExit</t>
  </si>
  <si>
    <t>Minutes Per Day</t>
  </si>
  <si>
    <t>The number of minutes in the day in which the school is normally in session.</t>
  </si>
  <si>
    <t>000500</t>
  </si>
  <si>
    <t>MinutesPerDay</t>
  </si>
  <si>
    <t>Monitoring Visit End Date</t>
  </si>
  <si>
    <t>The date that monitoring visit ended.</t>
  </si>
  <si>
    <t>Early Learning -&gt; EL Organization -&gt; Monitoring</t>
  </si>
  <si>
    <t>001332</t>
  </si>
  <si>
    <t>MonitoringVisitEndDate</t>
  </si>
  <si>
    <t>Monitoring Visit Start Date</t>
  </si>
  <si>
    <t>The date that monitoring visit began.</t>
  </si>
  <si>
    <t>001331</t>
  </si>
  <si>
    <t>MonitoringVisitStartDate</t>
  </si>
  <si>
    <t>Mother's or Maternal Guardian Education</t>
  </si>
  <si>
    <t>The highest level of education attained by a person's mother or maternal guardian</t>
  </si>
  <si>
    <t>001229</t>
  </si>
  <si>
    <t>MothersOrMaternalGuardianEducation</t>
  </si>
  <si>
    <t>Multiple Birth Indicator</t>
  </si>
  <si>
    <t>An indication that the person is a twin, triplet, etc.</t>
  </si>
  <si>
    <t>000431</t>
  </si>
  <si>
    <t>MultipleBirthIndicator</t>
  </si>
  <si>
    <t>NAEP Aspects of Reading</t>
  </si>
  <si>
    <t>Aspects of reading defined by the National Assessment of Educational Progress (NAEP 2005b Framework).</t>
  </si>
  <si>
    <t>001122</t>
  </si>
  <si>
    <t>NAEPAspectsOfReading</t>
  </si>
  <si>
    <t>NAEP Mathematical Complexity Level</t>
  </si>
  <si>
    <t>Complexity levels defined by the National Assessment of Educational Progress (NAEP 2005a Framework).</t>
  </si>
  <si>
    <t>001088</t>
  </si>
  <si>
    <t>NAEPMathematicalComplexityLevel</t>
  </si>
  <si>
    <t>Name of Institution</t>
  </si>
  <si>
    <t>The full legally accepted name of the institution.</t>
  </si>
  <si>
    <t>000191</t>
  </si>
  <si>
    <t>NameOfInstitution</t>
  </si>
  <si>
    <t>Name of Professional Credential or License</t>
  </si>
  <si>
    <t>The name of the license/credential awarded by a given profession.</t>
  </si>
  <si>
    <t>001058</t>
  </si>
  <si>
    <t>NameOfProfessionalCredentialLicense</t>
  </si>
  <si>
    <t>National Collegiate Athletic Association Eligibility</t>
  </si>
  <si>
    <t>An indication that the course is approved for determining NCAA eligibility.</t>
  </si>
  <si>
    <t>001413</t>
  </si>
  <si>
    <t>NCAA Eligibility</t>
  </si>
  <si>
    <t>NCAAEligibility</t>
  </si>
  <si>
    <t>Native Hawaiian or Other Pacific Islander</t>
  </si>
  <si>
    <t>A person having origins in any of the original peoples of Hawaii, Guam, Samoa, or other Pacific Islands.</t>
  </si>
  <si>
    <t>000192</t>
  </si>
  <si>
    <t>NativeHawaiianOrOtherPacificIslander</t>
  </si>
  <si>
    <t>NCES College Course Map Code</t>
  </si>
  <si>
    <t>A taxonomy system for coding postsecondary courses in NCES research studies.</t>
  </si>
  <si>
    <t>See http://nces.ed.gov/pubs2012/2012162rev.pdf</t>
  </si>
  <si>
    <t>001414</t>
  </si>
  <si>
    <t>NCESCollegeCourseMapCode</t>
  </si>
  <si>
    <t>Neglected or Delinquent Academic Achievement Indicator</t>
  </si>
  <si>
    <t>Student was served by Title I, Part D, Subpart 1 of ESEA as amended for at least 90 consecutive days during the reporting period who took both a pre- and post-test.</t>
  </si>
  <si>
    <t>K12 -&gt; K12 Student -&gt; Neglected or Delinquent</t>
  </si>
  <si>
    <t>The elements "Neglected or Delinquent Academic Achievement Indicator " and "Neglected or Delinquent Academic Outcome Indicator" are different, although similarly worded. EDFacts guidance: The Neglected or Delinquent Academic Achievement indicator should only be used for Subpart 1; the Neglected or Delinquent Academic Outcome Indicator Academic Outcome Indicator should be used for subpart 2.</t>
  </si>
  <si>
    <t>000635</t>
  </si>
  <si>
    <t>NeglectedOrDelinquentAcademicAchievementIndicator</t>
  </si>
  <si>
    <t>Neglected or Delinquent Academic Outcome Indicator</t>
  </si>
  <si>
    <t>Student was served by Title I, Part D, Subpart 2 of ESEA as amended for at least 90 consecutive days during the reporting period who took both a pre- and post-test.</t>
  </si>
  <si>
    <t>000636</t>
  </si>
  <si>
    <t>NeglectedOrDelinquentAcademicOutcomeIndicator</t>
  </si>
  <si>
    <t>Neglected or Delinquent Obtained Employment</t>
  </si>
  <si>
    <t>An indication that a Neglected or Delinquent student obtained employment.</t>
  </si>
  <si>
    <t>000484</t>
  </si>
  <si>
    <t>NeglectedOrDelinquentObtainedEmployment</t>
  </si>
  <si>
    <t>Neglected or Delinquent Program Type</t>
  </si>
  <si>
    <t>The type of program under ESEA Title I, Part D, Subpart 1 (state programs) or Subpart 2 (LEA).</t>
  </si>
  <si>
    <t>000194</t>
  </si>
  <si>
    <t>NeglectedOrDelinquentProgramType</t>
  </si>
  <si>
    <t>Neglected or Delinquent Status</t>
  </si>
  <si>
    <t>An indication that the student is participating in programs for neglected or delinquent students (N or D) under Title I, Part D, Subpart 1 (state agencies) of ESEA as amended by NCLB.</t>
  </si>
  <si>
    <t>000193</t>
  </si>
  <si>
    <t>NeglectedOrDelinquentStatus</t>
  </si>
  <si>
    <t>Nonpromotion Reason</t>
  </si>
  <si>
    <t>The primary reason as to why a staff member determined that a student should not be promoted (or be demoted).</t>
  </si>
  <si>
    <t>000531</t>
  </si>
  <si>
    <t>NonpromotionReason</t>
  </si>
  <si>
    <t>Normal Length of Time for Completion</t>
  </si>
  <si>
    <t>The amount of time necessary for a person to complete all requirements for a degree or certificate according to the institution's catalog. This is typically 4 years (8 semesters or trimesters, or 12 quarters, excluding summer terms) for a bachelor's degree in a standard term-based institution; 2 years (4 semesters or trimesters, or 6 quarters, excluding summer terms) for an associate's degree in a standard term-based institution; and the various scheduled times for certificate programs.</t>
  </si>
  <si>
    <t>000197</t>
  </si>
  <si>
    <t>NormalLengthOfTimeForCompletion</t>
  </si>
  <si>
    <t>Normal Length of Time for Completion Units</t>
  </si>
  <si>
    <t>The unit of measurement for length of time for completion.</t>
  </si>
  <si>
    <t>000198</t>
  </si>
  <si>
    <t>NormalLengthOfTimeForCompletionUnits</t>
  </si>
  <si>
    <t>Number of Business-related Postsecondary Credit Hours</t>
  </si>
  <si>
    <t>The number of college course credit hours an individual has successfully completed that are related to business.</t>
  </si>
  <si>
    <t>000817</t>
  </si>
  <si>
    <t>NumberOfBusiness-relatedPostsecondaryCreditHours</t>
  </si>
  <si>
    <t>Number of Classrooms</t>
  </si>
  <si>
    <t>The total number of classrooms for a program, facility, location, or other educational environment.</t>
  </si>
  <si>
    <t>000844</t>
  </si>
  <si>
    <t>NumberOfClassrooms</t>
  </si>
  <si>
    <t>Number of Credits Attempted</t>
  </si>
  <si>
    <t>The number of credits that a student can earn for enrolling in and completing a given course.</t>
  </si>
  <si>
    <t>000199</t>
  </si>
  <si>
    <t>NumberOfCreditsAttempted</t>
  </si>
  <si>
    <t>Number of Credits Earned</t>
  </si>
  <si>
    <t>The number of credits an individual earns by the successful completion of a course.</t>
  </si>
  <si>
    <t>000200</t>
  </si>
  <si>
    <t>NumberOfCreditsEarned</t>
  </si>
  <si>
    <t>Number of Days Absent</t>
  </si>
  <si>
    <t>The number of days a person is absent when school is in session during a given reporting period.</t>
  </si>
  <si>
    <t>000201</t>
  </si>
  <si>
    <t>NumberOfDaysAbsent</t>
  </si>
  <si>
    <t>Number of Days for Title III Subgrants</t>
  </si>
  <si>
    <t>Average number of days for States receiving Title III funds to make subgrants to subgrantees beginning from July 1 of each year, except under conditions where funds are being withheld.</t>
  </si>
  <si>
    <t>000457</t>
  </si>
  <si>
    <t>NumberOfDaysForTitleIIISubgrants</t>
  </si>
  <si>
    <t>Number of Days in Attendance</t>
  </si>
  <si>
    <t>The number of days a person is present when school is in session during a given reporting period.</t>
  </si>
  <si>
    <t>Note: This applies to an enrollment period record. Separate records using this element definition could capture attendance for regular enrollment, an out-of-school program or other program requiring attendance records. CEDS now supports the detailed attendance events to capture attendance status on any given day, class period, or session. CEDS generally doesn't include elements for counts when it has the unit level elements to calculate the count. However, this element has been retained to support the intended use cases, recognizing that the rules for attendance vary based on location.</t>
  </si>
  <si>
    <t>000202</t>
  </si>
  <si>
    <t>NumberOfDaysInAttendance</t>
  </si>
  <si>
    <t>Number of Dependents</t>
  </si>
  <si>
    <t>The number of children or other dependents who live with the student and receive more than half their support from them.</t>
  </si>
  <si>
    <t>001415</t>
  </si>
  <si>
    <t>NumberOfDependents</t>
  </si>
  <si>
    <t>Number of Early Learning Fatalities</t>
  </si>
  <si>
    <t>Number of child fatalities at the program in the past year, as defined by the State</t>
  </si>
  <si>
    <t>000835</t>
  </si>
  <si>
    <t>NumberOfEarlyLearningFatalities</t>
  </si>
  <si>
    <t>Number of Early Learning Injuries</t>
  </si>
  <si>
    <t>Number of child injuries at the program in the past year, as defined by the State.</t>
  </si>
  <si>
    <t>000836</t>
  </si>
  <si>
    <t>NumberOfEarlyLearningInjuries</t>
  </si>
  <si>
    <t>Number of Early Learning Program Monitoring Visits</t>
  </si>
  <si>
    <t>Total number of monitoring visits the program received in the past year.</t>
  </si>
  <si>
    <t>000839</t>
  </si>
  <si>
    <t>NumberOfEarlyLearningProgramMonitoringVisits</t>
  </si>
  <si>
    <t>Number of Immigrant Program Subgrants</t>
  </si>
  <si>
    <t>The number of immigrant program [3114(d)(1)] subgrants.</t>
  </si>
  <si>
    <t>000470</t>
  </si>
  <si>
    <t>NumberOfImmigrantProgramSubgrants</t>
  </si>
  <si>
    <t>Number of People in Family</t>
  </si>
  <si>
    <t>Total number of persons in immediate family. Family means for the purposes of the regulations in this part all persons: (i) Living in the same household who are: (A) Supported by the income of the parent(s) or guardian(s) of the child enrolling or participating in the program; or (B) Related to the child by blood, marriage, or adoption; or (ii) Related to the child enrolling or participating in the program as parents or siblings, by blood, marriage, or adoption.</t>
  </si>
  <si>
    <t>000330</t>
  </si>
  <si>
    <t>NumberOfPeopleInFamily</t>
  </si>
  <si>
    <t>Number of People in Household</t>
  </si>
  <si>
    <t>Total number of persons residing in the same household.</t>
  </si>
  <si>
    <t>000331</t>
  </si>
  <si>
    <t>NumberOfPeopleInHousehold</t>
  </si>
  <si>
    <t>Number of Quality Rating and Improvement System Levels</t>
  </si>
  <si>
    <t>Number of quality levels in the Quality Rating and Improvement System (QRIS).</t>
  </si>
  <si>
    <t>Early Learning -&gt; EL Organization -&gt; QRIS Rating</t>
  </si>
  <si>
    <t>000843</t>
  </si>
  <si>
    <t>Number of QRIS Levels</t>
  </si>
  <si>
    <t>NumberOfQRISLevels</t>
  </si>
  <si>
    <t>Number of School-age Education Postsecondary Credit Hours</t>
  </si>
  <si>
    <t>The number of college course credit hours an individual has successfully completed that are related to K-12 education, parks and recreation, and juvenile justice.</t>
  </si>
  <si>
    <t>000816</t>
  </si>
  <si>
    <t>NumberOfSchool-ageEducationPostsecondaryCreditHours</t>
  </si>
  <si>
    <t>Office of Postsecondary Education Identifier</t>
  </si>
  <si>
    <t>Identification number used by the U.S. Department of Education's Office of Postsecondary Education (OPE) to identify schools that have Program Participation Agreements (PPA) so that its students are eligible to participate in Federal Student Financial Assistance programs under Title IV regulations. This is a 6-digit number followed by a 2-digit suffix used to identify branches, additional locations, and other entities that are part of the eligible institution.</t>
  </si>
  <si>
    <t>Eight digits - no decimal place</t>
  </si>
  <si>
    <t>000203</t>
  </si>
  <si>
    <t>OPEID</t>
  </si>
  <si>
    <t>Ongoing Health Screening Policy</t>
  </si>
  <si>
    <t>An indication of whether a program requires that all children are receiving ongoing health screenings.</t>
  </si>
  <si>
    <t>000847</t>
  </si>
  <si>
    <t>OngoingHealthScreeningPolicy</t>
  </si>
  <si>
    <t>Operation Date</t>
  </si>
  <si>
    <t>The year, month and day on which a program or center began operation.</t>
  </si>
  <si>
    <t>000351</t>
  </si>
  <si>
    <t>OperationDate</t>
  </si>
  <si>
    <t>Operational Status Effective Date</t>
  </si>
  <si>
    <t>The effective date for a change in operational status.</t>
  </si>
  <si>
    <t>000534</t>
  </si>
  <si>
    <t>OperationalStatusEffectiveDate</t>
  </si>
  <si>
    <t>Oral Defense Completed Indicator</t>
  </si>
  <si>
    <t>An indication of the individual's completion of an oral defense. The requirement to conduct an oral defense by doctoral individuals may vary across institutions, programs, or fields of study.</t>
  </si>
  <si>
    <t>001416</t>
  </si>
  <si>
    <t>OralDefenseCompletedIndicator</t>
  </si>
  <si>
    <t>Oral Defense Date</t>
  </si>
  <si>
    <t>The date on which the individual gave an oral defense.</t>
  </si>
  <si>
    <t>001417</t>
  </si>
  <si>
    <t>OralDefenseDate</t>
  </si>
  <si>
    <t>Organization Identification System</t>
  </si>
  <si>
    <t>A coding scheme that is used for identification and record-keeping purposes by schools, social services, or other agencies to refer to an organization.</t>
  </si>
  <si>
    <t>000827</t>
  </si>
  <si>
    <t>OrganizationIdentificationSystem</t>
  </si>
  <si>
    <t>Organization Identifier</t>
  </si>
  <si>
    <t>A unique number or alphanumeric code assigned to an organization by a school, school system, a state, or other agency or entity.</t>
  </si>
  <si>
    <t>000826</t>
  </si>
  <si>
    <t>OrganizationIdentifier</t>
  </si>
  <si>
    <t>Organization Monitoring Notifications</t>
  </si>
  <si>
    <t>Whether the organization received notification about monitoring</t>
  </si>
  <si>
    <t>001330</t>
  </si>
  <si>
    <t>OrganizationMonitoringNotifications</t>
  </si>
  <si>
    <t>Organization Name</t>
  </si>
  <si>
    <t>The name of a non-person entity such as an organization, institution, agency or business.</t>
  </si>
  <si>
    <t>000204</t>
  </si>
  <si>
    <t>OrganizationName</t>
  </si>
  <si>
    <t>Organization Operational Status</t>
  </si>
  <si>
    <t>The current status of the organization's operations, exclusive of scheduled breaks, holidays, or other temporary interruptions.</t>
  </si>
  <si>
    <t>001418</t>
  </si>
  <si>
    <t>OrganizationOperationalStatus</t>
  </si>
  <si>
    <t>Organization Seeking Accreditation Date</t>
  </si>
  <si>
    <t>The date in which accreditation process was started (but not officially approved or denied)</t>
  </si>
  <si>
    <t>001419</t>
  </si>
  <si>
    <t>OrganizationSeekingAccreditationDate</t>
  </si>
  <si>
    <t>Organization Type</t>
  </si>
  <si>
    <t>The type of educational organization or entity.</t>
  </si>
  <si>
    <t>Added new options.</t>
  </si>
  <si>
    <t>This element is used in data models that are normalize the organization and identifies the primary role that the organization.</t>
  </si>
  <si>
    <t>001156</t>
  </si>
  <si>
    <t>OrganizationType</t>
  </si>
  <si>
    <t>Organization Type of Monitoring</t>
  </si>
  <si>
    <t>The type of monitoring on the organization.</t>
  </si>
  <si>
    <t>001334</t>
  </si>
  <si>
    <t>OrganizationTypeOfMonitoring</t>
  </si>
  <si>
    <t>Original Course Identifier</t>
  </si>
  <si>
    <t>The course identifier as it was listed when the credit was earned (e.g. before a system conversion) to show consistency between present transcripts and older ones.</t>
  </si>
  <si>
    <t>001420</t>
  </si>
  <si>
    <t>OriginalCourseIdentifier</t>
  </si>
  <si>
    <t>Other First Name</t>
  </si>
  <si>
    <t>A first name given to a person.</t>
  </si>
  <si>
    <t>Other First Name may be repeatable and used with Other Name Type.</t>
  </si>
  <si>
    <t>001514</t>
  </si>
  <si>
    <t>OtherFirstName</t>
  </si>
  <si>
    <t>Other Last Name</t>
  </si>
  <si>
    <t>A last name given to a person.</t>
  </si>
  <si>
    <t>Other Last Name may be repeatable and used with Other Name Type.</t>
  </si>
  <si>
    <t>001513</t>
  </si>
  <si>
    <t>OtherLastName</t>
  </si>
  <si>
    <t>Other Middle Name</t>
  </si>
  <si>
    <t>A middle name given to a person.</t>
  </si>
  <si>
    <t>Other Middle Name may be repeatable and used with Other Name Type.</t>
  </si>
  <si>
    <t>001515</t>
  </si>
  <si>
    <t>OtherMiddleName</t>
  </si>
  <si>
    <t>Other Name</t>
  </si>
  <si>
    <t>Previous, alternate or other names or aliases associated with the person.</t>
  </si>
  <si>
    <t>000206</t>
  </si>
  <si>
    <t>OtherName</t>
  </si>
  <si>
    <t>Other Name Type</t>
  </si>
  <si>
    <t>The types of previous, alternate or other names for a person.</t>
  </si>
  <si>
    <t>000634</t>
  </si>
  <si>
    <t>OtherNameType</t>
  </si>
  <si>
    <t>Other Race Indicator</t>
  </si>
  <si>
    <t>Race other than American Indian, Black, Asian, White, Native Pacific Islander</t>
  </si>
  <si>
    <t>This element only applies to Early Learning (Head Start). For non-ED early learning programs only.</t>
  </si>
  <si>
    <t>001421</t>
  </si>
  <si>
    <t>OtherRaceIndicator</t>
  </si>
  <si>
    <t>Other Student Expenses</t>
  </si>
  <si>
    <t>The amount of money (estimated by the financial aid office) needed by a person to cover expenses such as laundry, transportation, and entertainment.</t>
  </si>
  <si>
    <t>000752</t>
  </si>
  <si>
    <t>OtherStudentExpenses</t>
  </si>
  <si>
    <t>Override School Course Number</t>
  </si>
  <si>
    <t>An indication of the way an academic course was identified at an educational institution.</t>
  </si>
  <si>
    <t>001422</t>
  </si>
  <si>
    <t>OverrideSchoolCourseNumber</t>
  </si>
  <si>
    <t>Paraprofessional Qualification Status</t>
  </si>
  <si>
    <t>An indication of whether paraprofessionals are classified as qualified for their assignment according to state definition.</t>
  </si>
  <si>
    <t>000207</t>
  </si>
  <si>
    <t>ParaprofessionalQualificationStatus</t>
  </si>
  <si>
    <t>Parent Communication Method</t>
  </si>
  <si>
    <t>The types of communication methods with parents.</t>
  </si>
  <si>
    <t>000857</t>
  </si>
  <si>
    <t>ParentCommunicationMethod</t>
  </si>
  <si>
    <t>Part-Time Employee Benefits</t>
  </si>
  <si>
    <t>The benefits offered by a program/facility/employer for part-time staff.</t>
  </si>
  <si>
    <t>000867</t>
  </si>
  <si>
    <t>PartTimeEmployeeBenefits</t>
  </si>
  <si>
    <t>Participation in School Food Service Programs</t>
  </si>
  <si>
    <t>An indication of a student's participation in free, reduced price, full price breakfast, lunch, snack, supper, and milk programs.</t>
  </si>
  <si>
    <t>000325</t>
  </si>
  <si>
    <t>ParticipationInSchoolFoodServicePrograms</t>
  </si>
  <si>
    <t>Participation Status for Math</t>
  </si>
  <si>
    <t>An indication of whether the school or district met the 95 percent participation requirement in the mathematics assessment in accordance with state definition for the purposes of determining AYP.</t>
  </si>
  <si>
    <t>000208</t>
  </si>
  <si>
    <t>ParticipationStatusForMath</t>
  </si>
  <si>
    <t>Participation Status for Reading and Language Arts</t>
  </si>
  <si>
    <t>An indication of whether the school or district met the 95 percent participation requirement on the reading/language arts assessment in accordance with state definition for the purposes of determining AYP.</t>
  </si>
  <si>
    <t>000209</t>
  </si>
  <si>
    <t>ParticipationStatusForReadingAndLanguageArts</t>
  </si>
  <si>
    <t>Peer Rating Date</t>
  </si>
  <si>
    <t>The date on which the Peer Rating was entered.</t>
  </si>
  <si>
    <t>001167</t>
  </si>
  <si>
    <t>PeerRatingDate</t>
  </si>
  <si>
    <t>Peer Rating System Maximum Value</t>
  </si>
  <si>
    <t>The maximum value allowed by the Peer Rating System.</t>
  </si>
  <si>
    <t>001149</t>
  </si>
  <si>
    <t>PeerRatingSystemMaximumValue</t>
  </si>
  <si>
    <t>Peer Rating System Minimum Value</t>
  </si>
  <si>
    <t>The minimum value allowed by the Peer Rating System.</t>
  </si>
  <si>
    <t>001150</t>
  </si>
  <si>
    <t>PeerRatingSystemMinimumValue</t>
  </si>
  <si>
    <t>Peer Rating System Name</t>
  </si>
  <si>
    <t>The name of the scaling system used to specify the Peer Rating.</t>
  </si>
  <si>
    <t>001147</t>
  </si>
  <si>
    <t>PeerRatingSystemName</t>
  </si>
  <si>
    <t>Peer Rating System Optimum Value</t>
  </si>
  <si>
    <t>The optimum value allowed by the Peer Rating System. The optimum or best rating may be the maximum value, the minimum value, or something in between.</t>
  </si>
  <si>
    <t>001151</t>
  </si>
  <si>
    <t>PeerRatingSystemOptimumValue</t>
  </si>
  <si>
    <t>Performance Level Descriptive Feedback</t>
  </si>
  <si>
    <t>Diagnostic statements or other feedback to the student or teacher specific to the performance level.</t>
  </si>
  <si>
    <t>001065</t>
  </si>
  <si>
    <t>PerformanceLevelDescriptiveFeedback</t>
  </si>
  <si>
    <t>Perkins Limited English Proficiency Status</t>
  </si>
  <si>
    <t>An indication that students have Limited English Proficiency according to the definition in the Carl D. Perkins Career and Technical Education Act of 2006, which is "a secondary student, an adult, or an out-of-school youth, who has limited ability in speaking, reading, writing, or understanding English language, and (a) whose native language is a language other than English, or (b) who lives in a family or community environment in which a language other than English is the dominant language.</t>
  </si>
  <si>
    <t>000581</t>
  </si>
  <si>
    <t>Perkins LEP Status</t>
  </si>
  <si>
    <t>PerkinsLEPStatus</t>
  </si>
  <si>
    <t>Persistently Dangerous Status</t>
  </si>
  <si>
    <t>An indication of whether the school is identified as persistently dangerous in accordance with state definition.</t>
  </si>
  <si>
    <t>000210</t>
  </si>
  <si>
    <t>PersistentlyDangerousStatus</t>
  </si>
  <si>
    <t>Persistently Lowest Achieving School Status</t>
  </si>
  <si>
    <t>An indication of whether the school is identified by the state as persistently lowest-achieving.</t>
  </si>
  <si>
    <t>000211</t>
  </si>
  <si>
    <t>PersistentlyLowestAchievingSchoolStatus</t>
  </si>
  <si>
    <t>Person Employed in Multiple Jobs Count</t>
  </si>
  <si>
    <t>The number of jobs held by a person during the reference period.</t>
  </si>
  <si>
    <t>Name changed from Person Employed in Multiple Jobs.</t>
  </si>
  <si>
    <t>Workforce Notes: The data sources represent employment during a three month period. Students found employed may have multiple jobs during a reference period with no indication of their sequence. The option set provides a set of numeric ranges for these instances. Many states report these numbers, some as indications of employment stability. Note that it may be desirable to collect these data over time, in a longitudinal sense, to measure things related to persistence, change, and growth in employment.</t>
  </si>
  <si>
    <t>000991</t>
  </si>
  <si>
    <t>PersonEmployedInMultipleJobsCount</t>
  </si>
  <si>
    <t>Person Relationship to Learner Contact Priority Number</t>
  </si>
  <si>
    <t>The numeric order in the preferred sequence and priority for contacting a person related to the learner.</t>
  </si>
  <si>
    <t>001423</t>
  </si>
  <si>
    <t>PersonRelationshipToLearnerContactPriorityNumber</t>
  </si>
  <si>
    <t>Person Relationship to Learner Contact Restrictions Description</t>
  </si>
  <si>
    <t>Restrictions for student and/or teacher contact with the individual (e.g., the student may not be picked up by the individual)</t>
  </si>
  <si>
    <t>001424</t>
  </si>
  <si>
    <t>PersonRelationshipToLearnerContactRestrictionsDescription</t>
  </si>
  <si>
    <t>Person Relationship to Learner Lives With Indicator</t>
  </si>
  <si>
    <t>Indicates whether or not the learner lives with the related person.</t>
  </si>
  <si>
    <t>001425</t>
  </si>
  <si>
    <t>PersonRelationshipToLearnerLivesWithIndicator</t>
  </si>
  <si>
    <t>Person Relationship to Learner Type</t>
  </si>
  <si>
    <t>The nature of the person's relationship to a learner. The learner may be an Early Learning Child, K12 Student, Postsecondary Student, or an adult learner in a workforce education program.</t>
  </si>
  <si>
    <t>000425</t>
  </si>
  <si>
    <t>PersonRelationshipToLearnerType</t>
  </si>
  <si>
    <t>Personal Information Verification</t>
  </si>
  <si>
    <t>The evidence by which a persons name, address, date of birth, etc. is confirmed.</t>
  </si>
  <si>
    <t>000618</t>
  </si>
  <si>
    <t>PersonalInformationVerification</t>
  </si>
  <si>
    <t>Personal Title or Prefix</t>
  </si>
  <si>
    <t>An appellation, if any, used to denote rank, placement, or status (e.g., Mr., Ms., Reverend, Sister, Dr., Colonel).</t>
  </si>
  <si>
    <t>000212</t>
  </si>
  <si>
    <t>Prefix</t>
  </si>
  <si>
    <t>PersonalTitleOrPrefix</t>
  </si>
  <si>
    <t>Personnel Policy Type</t>
  </si>
  <si>
    <t>Policies related to personnel in the organization.</t>
  </si>
  <si>
    <t>000842</t>
  </si>
  <si>
    <t>PersonnelPolicyType</t>
  </si>
  <si>
    <t>Position Title</t>
  </si>
  <si>
    <t>The descriptive name of a person's position.</t>
  </si>
  <si>
    <t>000213</t>
  </si>
  <si>
    <t>PositionTitle</t>
  </si>
  <si>
    <t>Postsecondary Applicant</t>
  </si>
  <si>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 Include early decision, early action, and students who began studies during summer in this cohort.</t>
  </si>
  <si>
    <t>CDS definition/instructions; first part matches IPEDS</t>
  </si>
  <si>
    <t>000755</t>
  </si>
  <si>
    <t>PostsecondaryApplicant</t>
  </si>
  <si>
    <t>Postsecondary Course Level</t>
  </si>
  <si>
    <t>The level of work which is reflected in the credits associated with the academic course being described or the level of the typical student taking the academic course.</t>
  </si>
  <si>
    <t>000215</t>
  </si>
  <si>
    <t>PostsecondaryCourseLevel</t>
  </si>
  <si>
    <t>Postsecondary Course Title</t>
  </si>
  <si>
    <t>The name or title of the course taken by a student at an academic institution.</t>
  </si>
  <si>
    <t>000068</t>
  </si>
  <si>
    <t>PostsecondaryCourseTitle</t>
  </si>
  <si>
    <t>Postsecondary Enrollment Action</t>
  </si>
  <si>
    <t>The action taken with respect to postsecondary enrollment by the student who graduated from the school, LEA or state in the past two years.</t>
  </si>
  <si>
    <t>000586</t>
  </si>
  <si>
    <t>PostsecondaryEnrollmentAction</t>
  </si>
  <si>
    <t>Postsecondary Enrollment Status</t>
  </si>
  <si>
    <t>An indication of the student's enrollment status for a particular term as defined by the institution</t>
  </si>
  <si>
    <t>000096</t>
  </si>
  <si>
    <t>PostsecondaryEnrollmentStatus</t>
  </si>
  <si>
    <t>Postsecondary Enrollment Type</t>
  </si>
  <si>
    <t>An indicator of the enrollment type associated with the enrollment award level of a person at the beginning of a term.</t>
  </si>
  <si>
    <t>000095</t>
  </si>
  <si>
    <t>PostsecondaryEnrollmentType</t>
  </si>
  <si>
    <t>Postsecondary Entering Student Indicator</t>
  </si>
  <si>
    <t>The initial enrollment of an individual in credit bearing courses or developmental/remedial courses at an institution after completing high school or a high school equivalency program (e.g. GED, Adult High School Diploma).</t>
  </si>
  <si>
    <t>An individual can only be an entering student once at an institution at the undergraduate level.</t>
  </si>
  <si>
    <t>001426</t>
  </si>
  <si>
    <t>PostsecondaryEnteringStudentIndicator</t>
  </si>
  <si>
    <t>Postsecondary Student Entering Term</t>
  </si>
  <si>
    <t>The term and year of the initial enrollment of an individual in credit bearing courses or developmental/remedial courses at an institution after completing high school or a high school equivalency program (e.g., GED, Adult High School Diploma).</t>
  </si>
  <si>
    <t>001427</t>
  </si>
  <si>
    <t>PostsecondaryStudentEnteringTerm</t>
  </si>
  <si>
    <t>Postsecondary Student Housing On-Campus</t>
  </si>
  <si>
    <t>The student resides in a residence hall or housing facility owned or controlled by an institution within the same reasonably contiguous geographic area and used by the institution in direct support of or in a manner related to, the institution's educational purposes.</t>
  </si>
  <si>
    <t>IPEDS Definition</t>
  </si>
  <si>
    <t>000760</t>
  </si>
  <si>
    <t>PostsecondaryStudentHousingOnCampus</t>
  </si>
  <si>
    <t>Pre and Post Test Indicator</t>
  </si>
  <si>
    <t>An indication of whether students took both a pre-test and a post-test to measure academic improvement.</t>
  </si>
  <si>
    <t>000571</t>
  </si>
  <si>
    <t>PreAndPostTestIndicator</t>
  </si>
  <si>
    <t>Predominant Calendar System</t>
  </si>
  <si>
    <t>The method by which an institution structures most of its courses for the academic year.</t>
  </si>
  <si>
    <t>Definition and code set in IPEDS</t>
  </si>
  <si>
    <t>000729</t>
  </si>
  <si>
    <t>PredominantCalendarSystem</t>
  </si>
  <si>
    <t>Prekindergarten Daily Length</t>
  </si>
  <si>
    <t>The portion of a day that a pre-kindergarten program is provided to the students it serves.</t>
  </si>
  <si>
    <t>000490</t>
  </si>
  <si>
    <t>PrekindergartenDailyLength</t>
  </si>
  <si>
    <t>Prekindergarten Eligibility</t>
  </si>
  <si>
    <t>The groups of students for whom pre-kindergarten programs are available.</t>
  </si>
  <si>
    <t>000216</t>
  </si>
  <si>
    <t>PrekindergartenEligibility</t>
  </si>
  <si>
    <t>Prekindergarten Eligible Ages for Non-IDEA Students</t>
  </si>
  <si>
    <t>The ages of children not served under IDEA to whom the LEA's pre-kindergarten services are available.</t>
  </si>
  <si>
    <t>000217</t>
  </si>
  <si>
    <t>PrekindergartenEligibleAgesForNonIDEAStudents</t>
  </si>
  <si>
    <t>Present Attendance Category</t>
  </si>
  <si>
    <t>The category that describes how the student spends his or her time when attending an instructional program approved by the state and/or school.</t>
  </si>
  <si>
    <t>000600</t>
  </si>
  <si>
    <t>PresentAttendanceCategory</t>
  </si>
  <si>
    <t>Price of Attendance</t>
  </si>
  <si>
    <t>The total amount institutions estimate that undergraduate-level full-time, first-time degree-seeking students will pay to attend before financial aid is considered. This price includes tuition and fees, books and supplies, room and board, and certain other designated expenses such as transportation. These estimates are the average amounts used by the financial aid office to determine a student’s financial aid.</t>
  </si>
  <si>
    <t>000753</t>
  </si>
  <si>
    <t>PriceOfAttendance</t>
  </si>
  <si>
    <t>Primary Assignment Indicator</t>
  </si>
  <si>
    <t>An indication of whether the assignment is this the staff member's primary assignment.</t>
  </si>
  <si>
    <t>000525</t>
  </si>
  <si>
    <t>PrimaryAssignmentIndicator</t>
  </si>
  <si>
    <t>Primary Contact Indicator</t>
  </si>
  <si>
    <t>Indicates that a person is a primary contact within the specified context, such as a primary parental contact specified in Person Relationship to Learner or a primary administrative contact for an organization.</t>
  </si>
  <si>
    <t>001428</t>
  </si>
  <si>
    <t>PrimaryContactIndicator</t>
  </si>
  <si>
    <t>Primary Disability Type</t>
  </si>
  <si>
    <t>The major or overriding disability condition that best describes a person's impairment.</t>
  </si>
  <si>
    <t>000218</t>
  </si>
  <si>
    <t>PrimaryDisabilityType</t>
  </si>
  <si>
    <t>Primary Telephone Number Indicator</t>
  </si>
  <si>
    <t>An indication that the telephone number should be used as the principal number for a person or organization.</t>
  </si>
  <si>
    <t>000219</t>
  </si>
  <si>
    <t>PrimaryTelephoneNumberIndicator</t>
  </si>
  <si>
    <t>Prior Early Childhood Experience</t>
  </si>
  <si>
    <t>Type(s) of prior experience (if any) in an early childhood program.</t>
  </si>
  <si>
    <t>000319</t>
  </si>
  <si>
    <t>PriorEarlyChildhoodExperience</t>
  </si>
  <si>
    <t>Prior to Secondary Course Identifier</t>
  </si>
  <si>
    <t>The five-digit SCED code and name of the course. The first two-digits of the code represent the Prior to Secondary Course Subject Area. Courses within a Subject Area are distinguished by a three-digit code. The codes carry no meaning within themselves. These identifiers are fairly general but provide enough specificity to identify the course's topic and to distinguish it from other courses in that subject area.</t>
  </si>
  <si>
    <t>000090</t>
  </si>
  <si>
    <t>PriorToSecondaryCourseIdentifier</t>
  </si>
  <si>
    <t>Prior to Secondary Course Subject Area</t>
  </si>
  <si>
    <t>A classification of related courses or units of courses provided for students of elementary and middle school levels. The two character code is used as the first two digits of the School Codes for Exchanged of Data that uniquely identify any course.</t>
  </si>
  <si>
    <t>001159</t>
  </si>
  <si>
    <t>PriorToSecondaryCourseSubjectArea</t>
  </si>
  <si>
    <t>Professional Association Membership Status</t>
  </si>
  <si>
    <t>An indication of whether the person is a member of a professional organization or association.</t>
  </si>
  <si>
    <t>000807</t>
  </si>
  <si>
    <t>ProfessionalAssociationMembershipStatus</t>
  </si>
  <si>
    <t>Professional Association Name</t>
  </si>
  <si>
    <t>The name of a professional association or organization.</t>
  </si>
  <si>
    <t>000808</t>
  </si>
  <si>
    <t>ProfessionalAssociationName</t>
  </si>
  <si>
    <t>Professional Certificate or License Number</t>
  </si>
  <si>
    <t>The number issued by the credentialing/licensing agency.</t>
  </si>
  <si>
    <t>Early Learning -&gt; EL Staff -&gt; Credential</t>
  </si>
  <si>
    <t>001429</t>
  </si>
  <si>
    <t>ProfessionalCertificateOrLicenseNumber</t>
  </si>
  <si>
    <t>Professional Development Activity Approval Code</t>
  </si>
  <si>
    <t>A code given to an event by approval organization.</t>
  </si>
  <si>
    <t>001432</t>
  </si>
  <si>
    <t>ProfessionalDevelopmentActivityApprovalCode</t>
  </si>
  <si>
    <t>Professional Development Activity Approved For</t>
  </si>
  <si>
    <t>Reference may be made to state or national content standards covered in the course.</t>
  </si>
  <si>
    <t>001433</t>
  </si>
  <si>
    <t>ProfessionalDevelopmentActivityApprovedFor</t>
  </si>
  <si>
    <t>Professional Development Activity Code</t>
  </si>
  <si>
    <t>A code assigned to an professional development activity by the organization offering the activity that is unique to the non-variable activity details.</t>
  </si>
  <si>
    <t>001434</t>
  </si>
  <si>
    <t>ProfessionalDevelopmentActivityCode</t>
  </si>
  <si>
    <t>Professional Development Activity Cost</t>
  </si>
  <si>
    <t>The cost for an attendee to participate in a professional development activity.</t>
  </si>
  <si>
    <t>001435</t>
  </si>
  <si>
    <t>ProfessionalDevelopmentActivityCost</t>
  </si>
  <si>
    <t>Professional Development Activity Credit Type</t>
  </si>
  <si>
    <t>The type of credit awarded.</t>
  </si>
  <si>
    <t>001436</t>
  </si>
  <si>
    <t>ProfessionalDevelopmentActivityCreditType</t>
  </si>
  <si>
    <t>Professional Development Activity Credits</t>
  </si>
  <si>
    <t>The number of credits a professional development activity provides.</t>
  </si>
  <si>
    <t>001437</t>
  </si>
  <si>
    <t>ProfessionalDevelopmentActivityCredits</t>
  </si>
  <si>
    <t>Professional Development Activity Description</t>
  </si>
  <si>
    <t>A description of the content covered in the professional development activity.</t>
  </si>
  <si>
    <t>001438</t>
  </si>
  <si>
    <t>ProfessionalDevelopmentActivityDescription</t>
  </si>
  <si>
    <t>Professional Development Activity Education Levels Addressed</t>
  </si>
  <si>
    <t>An age group or education level to which the professional development activity's content pertains.</t>
  </si>
  <si>
    <t>Early Learning -&gt; EL Staff -&gt; Professional Development Event</t>
  </si>
  <si>
    <t>Multiple options may be selected.</t>
  </si>
  <si>
    <t>001279</t>
  </si>
  <si>
    <t>ProfessionalDevelopmentActivityEducationLevelsAddressed</t>
  </si>
  <si>
    <t>Professional Development Activity Expiration Date</t>
  </si>
  <si>
    <t>The year, month, and day on which any certificate awarded as part of a professional development activity expires.</t>
  </si>
  <si>
    <t>001451</t>
  </si>
  <si>
    <t>ProfessionalDevelopmentActivityExpirationDate</t>
  </si>
  <si>
    <t>Professional Development Activity Identifier</t>
  </si>
  <si>
    <t>A unique number or alphanumeric code assigned to the Professional Development Activity as assigned by the organization offering the training.</t>
  </si>
  <si>
    <t>Early Learning -&gt; EL Staff -&gt; Professional Development Activity</t>
  </si>
  <si>
    <t>Changed name from Professional Development Training Identifier.</t>
  </si>
  <si>
    <t>000809</t>
  </si>
  <si>
    <t>ProfessionalDevelopmentActivityIdentifier</t>
  </si>
  <si>
    <t>Professional Development Activity Level</t>
  </si>
  <si>
    <t>An indicator of the level of a professional development activity on the beginner to advanced continuum.</t>
  </si>
  <si>
    <t>001439</t>
  </si>
  <si>
    <t>ProfessionalDevelopmentActivityLevel</t>
  </si>
  <si>
    <t>Professional Development Activity Objective</t>
  </si>
  <si>
    <t>The expected outcomes of a participant in an activity.</t>
  </si>
  <si>
    <t>001440</t>
  </si>
  <si>
    <t>ProfessionalDevelopmentActivityObjective</t>
  </si>
  <si>
    <t>Professional Development Activity Target Audience</t>
  </si>
  <si>
    <t>A categorization of the audience for which the professional development activity is intended.</t>
  </si>
  <si>
    <t>001492</t>
  </si>
  <si>
    <t>ProfessionalDevelopmentActivityTargetAudience</t>
  </si>
  <si>
    <t>Professional Development Activity Title</t>
  </si>
  <si>
    <t>The title of an activity designed for the purpose of developing someone professionally.</t>
  </si>
  <si>
    <t>Changed name from Professional Development Training Title. Updated definition.</t>
  </si>
  <si>
    <t>000810</t>
  </si>
  <si>
    <t>ProfessionalDevelopmentActivityTitle</t>
  </si>
  <si>
    <t>Professional Development Activity Type</t>
  </si>
  <si>
    <t>The indication of the type of profesional development activity.</t>
  </si>
  <si>
    <t>The type of event should be determined based on the content of the event, not the delivery method.</t>
  </si>
  <si>
    <t>001442</t>
  </si>
  <si>
    <t>ProfessionalDevelopmentActivityType</t>
  </si>
  <si>
    <t>Professional Development Audience Type</t>
  </si>
  <si>
    <t>The type of audience for the professional development activity.</t>
  </si>
  <si>
    <t>001430</t>
  </si>
  <si>
    <t>ProfessionalDevelopmentAudienceType</t>
  </si>
  <si>
    <t>Professional Development Delivery Method</t>
  </si>
  <si>
    <t>The method by which a session is delivered</t>
  </si>
  <si>
    <t>001431</t>
  </si>
  <si>
    <t>ProfessionalDevelopmentDeliveryMethod</t>
  </si>
  <si>
    <t>Professional Development Financial Support Type</t>
  </si>
  <si>
    <t>The type of financial assistance received in support of non-credit professional development activities.</t>
  </si>
  <si>
    <t>000812</t>
  </si>
  <si>
    <t>ProfessionalDevelopmentFinancialSupportType</t>
  </si>
  <si>
    <t>Professional Development Funding Source</t>
  </si>
  <si>
    <t>The primary source of funding for a professional development session.</t>
  </si>
  <si>
    <t>001443</t>
  </si>
  <si>
    <t>ProfessionalDevelopmentFundingSource</t>
  </si>
  <si>
    <t>Professional Development Instructional Delivery Mode</t>
  </si>
  <si>
    <t>The primary setting or medium of professional development delivery.</t>
  </si>
  <si>
    <t>001458</t>
  </si>
  <si>
    <t>ProfessionalDevelopmentInstructionalDeliveryMode</t>
  </si>
  <si>
    <t>Professional Development Instructor Identifier</t>
  </si>
  <si>
    <t>Identifies an instructor of a professional development session.</t>
  </si>
  <si>
    <t>001444</t>
  </si>
  <si>
    <t>ProfessionalDevelopmentInstructorIdentifier</t>
  </si>
  <si>
    <t>Professional Development Publish Activity Indicator</t>
  </si>
  <si>
    <t>An indicator of whether the professional development activity should be published.</t>
  </si>
  <si>
    <t>001445</t>
  </si>
  <si>
    <t>ProfessionalDevelopmentPublishActivityIndicator</t>
  </si>
  <si>
    <t>Professional Development Scholarship Status</t>
  </si>
  <si>
    <t>An indication of whether a scholarship was received for the person to participate in the professional development.</t>
  </si>
  <si>
    <t>000811</t>
  </si>
  <si>
    <t>ProfessionalDevelopmentScholarshipStatus</t>
  </si>
  <si>
    <t>Professional Development Session Capacity</t>
  </si>
  <si>
    <t>The total number of participants that can be accommodated by a professional development session.</t>
  </si>
  <si>
    <t>001446</t>
  </si>
  <si>
    <t>ProfessionalDevelopmentSessionCapacity</t>
  </si>
  <si>
    <t>Professional Development Session End Date</t>
  </si>
  <si>
    <t>The year, month and day a professional development session ends.</t>
  </si>
  <si>
    <t>001447</t>
  </si>
  <si>
    <t>ProfessionalDevelopmentSessionEndDate</t>
  </si>
  <si>
    <t>Professional Development Session End Time</t>
  </si>
  <si>
    <t>The time at which a professional development session ends.</t>
  </si>
  <si>
    <t>HH:MM</t>
  </si>
  <si>
    <t>001448</t>
  </si>
  <si>
    <t>ProfessionalDevelopmentSessionEndTime</t>
  </si>
  <si>
    <t>Professional Development Session Evaluation Method</t>
  </si>
  <si>
    <t>The method used to evaluate a professional development session.</t>
  </si>
  <si>
    <t>001449</t>
  </si>
  <si>
    <t>ProfessionalDevelopmentSessionEvaluationMethod</t>
  </si>
  <si>
    <t>Professional Development Session Evaluation Score</t>
  </si>
  <si>
    <t>The score or rating used to determine if a professional development session was successful.</t>
  </si>
  <si>
    <t>001450</t>
  </si>
  <si>
    <t>ProfessionalDevelopmentSessionEvaluationScore</t>
  </si>
  <si>
    <t>Professional Development Session Identifier</t>
  </si>
  <si>
    <t>The unique, non-duplicated, identification number assigned by the registry data system for a session of a particular professional development activity.</t>
  </si>
  <si>
    <t>001452</t>
  </si>
  <si>
    <t>ProfessionalDevelopmentSessionIdentifier</t>
  </si>
  <si>
    <t>Professional Development Session Location Name</t>
  </si>
  <si>
    <t>The name of a location where a professional development session will be held.</t>
  </si>
  <si>
    <t>001454</t>
  </si>
  <si>
    <t>ProfessionalDevelopmentSessionLocationName</t>
  </si>
  <si>
    <t>Professional Development Session Start Date</t>
  </si>
  <si>
    <t>The year, month, and day a professional development session begins.</t>
  </si>
  <si>
    <t>001455</t>
  </si>
  <si>
    <t>ProfessionalDevelopmentSessionStartDate</t>
  </si>
  <si>
    <t>Professional Development Session Start Time</t>
  </si>
  <si>
    <t>The time at which a professional development session begins.</t>
  </si>
  <si>
    <t>001456</t>
  </si>
  <si>
    <t>ProfessionalDevelopmentSessionStartTime</t>
  </si>
  <si>
    <t>Professional Development Session Status</t>
  </si>
  <si>
    <t>The current status of a professional development session</t>
  </si>
  <si>
    <t>001457</t>
  </si>
  <si>
    <t>ProfessionalDevelopmentSessionStatus</t>
  </si>
  <si>
    <t>Professional Educational Job Classification</t>
  </si>
  <si>
    <t>A general job classification that describes staff that performs duties requiring a high degree of knowledge and skills generally acquired through at least a baccalaureate degree (or its equivalent obtained through special study and/or experience) including skills in the field of education, educational psychology, educational social work, or an education therapy field.</t>
  </si>
  <si>
    <t>000220</t>
  </si>
  <si>
    <t>ProfessionalEducationalJobClassification</t>
  </si>
  <si>
    <t>Professional or Technical Credential Conferred</t>
  </si>
  <si>
    <t>An indicator of the category of credential conferred by a state occupational licensing entity or industry organization for competency in a specific area measured by a set of pre-established standards.</t>
  </si>
  <si>
    <t>000783</t>
  </si>
  <si>
    <t>ProfessionalOrTechnicalCredentialConferred</t>
  </si>
  <si>
    <t>Proficiency Status</t>
  </si>
  <si>
    <t>An indication of whether a student's scores were proficient.</t>
  </si>
  <si>
    <t>000573</t>
  </si>
  <si>
    <t>ProficiencyStatus</t>
  </si>
  <si>
    <t>Proficiency Target Status for Math</t>
  </si>
  <si>
    <t>An indication of whether the school or district met the math proficiency target in accordance with state definition for the purposes of determining AYP.</t>
  </si>
  <si>
    <t>000221</t>
  </si>
  <si>
    <t>ProficiencyTargetStatusForMath</t>
  </si>
  <si>
    <t>Proficiency Target Status for Reading and Language Arts</t>
  </si>
  <si>
    <t>An indication of whether the school or district met the reading/language arts proficiency target in accordance with state definition for the purposes of determining AYP.</t>
  </si>
  <si>
    <t>000553</t>
  </si>
  <si>
    <t>ProficiencyTargetStatusForReadingAndLanguageArts</t>
  </si>
  <si>
    <t>Program Collects Parental Feedback</t>
  </si>
  <si>
    <t>An indication of whether the program collects feedback from parents that informs program content and/or administration.</t>
  </si>
  <si>
    <t>000854</t>
  </si>
  <si>
    <t>ProgramCollectsParentalFeedback</t>
  </si>
  <si>
    <t>Program Follows Salary Scale</t>
  </si>
  <si>
    <t>An indication of whether a program has a salary scale that is followed for practitioners</t>
  </si>
  <si>
    <t>Early Learning -&gt; EL Organization -&gt; Compensation</t>
  </si>
  <si>
    <t>000863</t>
  </si>
  <si>
    <t>ProgramFollowsSalaryScale</t>
  </si>
  <si>
    <t>Program Gifted Eligibility Criteria</t>
  </si>
  <si>
    <t>State/local code used to determine a student's eligibility for Gifted/Talented program.</t>
  </si>
  <si>
    <t>001244</t>
  </si>
  <si>
    <t>ProgramGiftedEligibilityCriteria</t>
  </si>
  <si>
    <t>Program Heath Safety Checklist Use Status</t>
  </si>
  <si>
    <t>An indication of whether a program uses a health or safety checklist or documentation.</t>
  </si>
  <si>
    <t>K12 -&gt; K12 Student -&gt; CTE</t>
  </si>
  <si>
    <t>000851</t>
  </si>
  <si>
    <t>ProgramHeathSafetyChecklistUseStatus</t>
  </si>
  <si>
    <t>Program Identifier</t>
  </si>
  <si>
    <t>A unique number or alphanumeric code assigned to a program by a school, school system, a state, or other agency or entity.</t>
  </si>
  <si>
    <t>000625</t>
  </si>
  <si>
    <t>ProgramIdentifier</t>
  </si>
  <si>
    <t>Program in Multiple Purpose Facility</t>
  </si>
  <si>
    <t>An institution/facility/program that serves more than one programming purpose. For example, the same facility may run both a juvenile correction program and a juvenile detention program.</t>
  </si>
  <si>
    <t>000485</t>
  </si>
  <si>
    <t>ProgramInMultiplePurposeFacility</t>
  </si>
  <si>
    <t>Program Length Hours</t>
  </si>
  <si>
    <t>The normal length in credit/contact hours of a person's program as published in the institution's catalogue, website, or other official documents.</t>
  </si>
  <si>
    <t>000223</t>
  </si>
  <si>
    <t>ProgramLengthHours</t>
  </si>
  <si>
    <t>Program Length Hours Type</t>
  </si>
  <si>
    <t>The type of hours (credit or contact) by which the normal length of a program of study is measured.</t>
  </si>
  <si>
    <t>000224</t>
  </si>
  <si>
    <t>ProgramLengthHoursType</t>
  </si>
  <si>
    <t>Program Name</t>
  </si>
  <si>
    <t>The name of the program of instruction, training, services or benefits available through federal, state, or local agencies.</t>
  </si>
  <si>
    <t>000626</t>
  </si>
  <si>
    <t>ProgramName</t>
  </si>
  <si>
    <t>Program Participation Exit Date</t>
  </si>
  <si>
    <t>The year, month and day on which the person ceased to participate in a program.</t>
  </si>
  <si>
    <t>000591</t>
  </si>
  <si>
    <t>ProgramParticipationExitDate</t>
  </si>
  <si>
    <t>Program Participation Start Date</t>
  </si>
  <si>
    <t>The year, month and day on which the person began to participate in a program.</t>
  </si>
  <si>
    <t>000590</t>
  </si>
  <si>
    <t>ProgramParticipationStartDate</t>
  </si>
  <si>
    <t>Program Participation Status</t>
  </si>
  <si>
    <t>The current status of the student's program participation.</t>
  </si>
  <si>
    <t>K12 -&gt; K12 Student -&gt; Program</t>
  </si>
  <si>
    <t>001243</t>
  </si>
  <si>
    <t>ProgramParticipationStatus</t>
  </si>
  <si>
    <t>Program Provides Parent Education</t>
  </si>
  <si>
    <t>An indication of whether the program provides parent training/education/workshops.</t>
  </si>
  <si>
    <t>000856</t>
  </si>
  <si>
    <t>ProgramProvidesParentEducation</t>
  </si>
  <si>
    <t>Program Provides Parent Involvement Opportunity</t>
  </si>
  <si>
    <t>An indication of whether the program provides opportunities to parents to be involved with their children's activities.</t>
  </si>
  <si>
    <t>000855</t>
  </si>
  <si>
    <t>ProgramProvidesParentInvolvementOpportunity</t>
  </si>
  <si>
    <t>Program Provides Translated Materials</t>
  </si>
  <si>
    <t>An indication of whether a program translates written materials into the individual's home or parent's language.</t>
  </si>
  <si>
    <t>Early Learning -&gt; EL Organization -&gt; Cultural and Linguistic Diversity</t>
  </si>
  <si>
    <t>000845</t>
  </si>
  <si>
    <t>ProgramProvidesTranslatedMaterials</t>
  </si>
  <si>
    <t>Program Provides Written Handbook</t>
  </si>
  <si>
    <t>An indication of whether the program provides each parent with a written handbook.</t>
  </si>
  <si>
    <t>000853</t>
  </si>
  <si>
    <t>ProgramProvidesWrittenHandbook</t>
  </si>
  <si>
    <t>Program Sponsor Type</t>
  </si>
  <si>
    <t>A type of organization providing funds for a particular educational or service program or activity or for an individual's participation in the program or activity.</t>
  </si>
  <si>
    <t>Updated definition. Additions to Option Set.</t>
  </si>
  <si>
    <t>000716</t>
  </si>
  <si>
    <t>ProgramSponsorType</t>
  </si>
  <si>
    <t>Program Transition Planning Policy</t>
  </si>
  <si>
    <t>An indication of whether a program has a transition planning policy (to center, to classroom, to school).</t>
  </si>
  <si>
    <t>000859</t>
  </si>
  <si>
    <t>ProgramTransitionPlanningPolicy</t>
  </si>
  <si>
    <t>Program Type</t>
  </si>
  <si>
    <t>The system outlining instructional or non-instructional activities and procedures designed to accomplish a predetermined educational objective or set of objectives or to provide support services to a person and/or the community.</t>
  </si>
  <si>
    <t>Updated definition. Added option for targeted intervention.</t>
  </si>
  <si>
    <t>000225</t>
  </si>
  <si>
    <t>ProgramType</t>
  </si>
  <si>
    <t>Progress Level</t>
  </si>
  <si>
    <t>The amount of progress shown in academic subjects.</t>
  </si>
  <si>
    <t>000561</t>
  </si>
  <si>
    <t>ProgressLevel</t>
  </si>
  <si>
    <t>Projected Graduation Date</t>
  </si>
  <si>
    <t>The year and month the student is projected to graduate.</t>
  </si>
  <si>
    <t>000226</t>
  </si>
  <si>
    <t>ProjectedGraduationDate</t>
  </si>
  <si>
    <t>Promotion Reason</t>
  </si>
  <si>
    <t>The nature of the student's promotion or progress at the end of a given school term.</t>
  </si>
  <si>
    <t>000530</t>
  </si>
  <si>
    <t>PromotionReason</t>
  </si>
  <si>
    <t>Proof of Residency Type</t>
  </si>
  <si>
    <t>An accepted form of proof of residency in the district/county/other locality.</t>
  </si>
  <si>
    <t>Changed name from Proof of Residency.</t>
  </si>
  <si>
    <t>000305</t>
  </si>
  <si>
    <t>ProofOfResidencyType</t>
  </si>
  <si>
    <t>Proxy Contact Hours</t>
  </si>
  <si>
    <t>The number of instructional hours completed by an adult enrolled in a distance learning program.</t>
  </si>
  <si>
    <t>Numeric - up to 1 digit after decimal place</t>
  </si>
  <si>
    <t>000790</t>
  </si>
  <si>
    <t>ProxyContactHours</t>
  </si>
  <si>
    <t>Public Assistance Status</t>
  </si>
  <si>
    <t>A person who receives financial assistance from Federal, State, or local government agencies, including Temporary Assistance for Needy Families or equivalent.</t>
  </si>
  <si>
    <t>000777</t>
  </si>
  <si>
    <t>PublicAssistanceStatus</t>
  </si>
  <si>
    <t>Public School Choice Funds Spent</t>
  </si>
  <si>
    <t>The dollar amount spent on transportation for public school choice during the school year under Title I of ESEA as amended, Part A, Section 1116.</t>
  </si>
  <si>
    <t>000568</t>
  </si>
  <si>
    <t>PublicSchoolChoiceFundsSpent</t>
  </si>
  <si>
    <t>Public School Choice Implementation Status</t>
  </si>
  <si>
    <t>An indication of whether the LEA was able to implement the provisions for public school choice under Title I, Part A, Section 1116 of ESEA as amended.</t>
  </si>
  <si>
    <t>000227</t>
  </si>
  <si>
    <t>PublicSchoolChoiceImplementationStatus</t>
  </si>
  <si>
    <t>Public School Residence Status</t>
  </si>
  <si>
    <t>An indication of the location of a persons legal residence relative to (within or outside) the boundaries of the public school attended and its administrative unit.</t>
  </si>
  <si>
    <t>000532</t>
  </si>
  <si>
    <t>PublicSchoolResidenceStatus</t>
  </si>
  <si>
    <t>Purpose of Monitoring Visit</t>
  </si>
  <si>
    <t>The purpose for the monitoring visit.</t>
  </si>
  <si>
    <t>001333</t>
  </si>
  <si>
    <t>PurposeOfMonitoringVisit</t>
  </si>
  <si>
    <t>Qualifying Move From City</t>
  </si>
  <si>
    <t>The name of the city in which the child resided prior to the qualifying move.</t>
  </si>
  <si>
    <t>000433</t>
  </si>
  <si>
    <t>QualifyingMoveFromCity</t>
  </si>
  <si>
    <t>Qualifying Move From Country</t>
  </si>
  <si>
    <t>The abbreviation code for a country (other than the US) area in which the child resided prior to the qualifying move.</t>
  </si>
  <si>
    <t>000434</t>
  </si>
  <si>
    <t>QualifyingMoveFromCountry</t>
  </si>
  <si>
    <t>Qualifying Move From State</t>
  </si>
  <si>
    <t>The postal abbreviation code for a state (within the United States) or outlying area in which the child resided prior to the qualifying move.</t>
  </si>
  <si>
    <t>000435</t>
  </si>
  <si>
    <t>QualifyingMoveFromState</t>
  </si>
  <si>
    <t>Quality Initiative Maximum Score</t>
  </si>
  <si>
    <t>The maximum score option for the QRIS or other quality initiative.</t>
  </si>
  <si>
    <t>Early Learning -&gt; EL Organization -&gt; Quality</t>
  </si>
  <si>
    <t>001460</t>
  </si>
  <si>
    <t>QualityInitiativeMaximumScore</t>
  </si>
  <si>
    <t>Quality Initiative Minimum Score</t>
  </si>
  <si>
    <t>The minimum score option for the QRIS or other quality initiative.</t>
  </si>
  <si>
    <t>001461</t>
  </si>
  <si>
    <t>QualityInitiativeMinimumScore</t>
  </si>
  <si>
    <t>Quality Initiative Participation End Date</t>
  </si>
  <si>
    <t>The quality initiative end date.</t>
  </si>
  <si>
    <t>001464</t>
  </si>
  <si>
    <t>QualityInitiativeParticipationEndDate</t>
  </si>
  <si>
    <t>Quality Initiative Participation Indicator</t>
  </si>
  <si>
    <t>Site participates in a quality improvement initiative component other than QRIS.</t>
  </si>
  <si>
    <t>001463</t>
  </si>
  <si>
    <t>QualityInitiativeParticipationIndicator</t>
  </si>
  <si>
    <t>Quality Initiative Participation Start Date</t>
  </si>
  <si>
    <t>The quality initiative start date.</t>
  </si>
  <si>
    <t>001465</t>
  </si>
  <si>
    <t>QualityInitiativeParticipationStartDate</t>
  </si>
  <si>
    <t>Quality Initiative Score Level</t>
  </si>
  <si>
    <t>The score, rating or level received by a program for its Quality Rating and Improvement System (QRIS) or other quality initiative.</t>
  </si>
  <si>
    <t>001462</t>
  </si>
  <si>
    <t>QualityInitiativeScoreLevel</t>
  </si>
  <si>
    <t>Quality Rating and Improvement System Award Date</t>
  </si>
  <si>
    <t>Date Quality Rating and Improvement System score, level or rating was awarded.</t>
  </si>
  <si>
    <t>000830</t>
  </si>
  <si>
    <t>QRIS Award Date</t>
  </si>
  <si>
    <t>QRISAwardDate</t>
  </si>
  <si>
    <t>Quality Rating and Improvement System Expiration Date</t>
  </si>
  <si>
    <t>Date Quality Rating and Improvement System score, level or rating expires.</t>
  </si>
  <si>
    <t>000831</t>
  </si>
  <si>
    <t>QRIS Expiration Date</t>
  </si>
  <si>
    <t>QRISExpirationDate</t>
  </si>
  <si>
    <t>Quality Rating and Improvement System Participation</t>
  </si>
  <si>
    <t>Program site participates in a Quality Rating and Improvement System (QRIS).</t>
  </si>
  <si>
    <t>Early Learning -&gt; Quality</t>
  </si>
  <si>
    <t>000357</t>
  </si>
  <si>
    <t>QRIS Participation</t>
  </si>
  <si>
    <t>QRISParticipation</t>
  </si>
  <si>
    <t>Quality Rating and Improvement System Score</t>
  </si>
  <si>
    <t>The score, rating or level received by a program for its Quality Rating and Improvement System (QRIS).</t>
  </si>
  <si>
    <t>000358</t>
  </si>
  <si>
    <t>QRIS Score</t>
  </si>
  <si>
    <t>QRISScore</t>
  </si>
  <si>
    <t>Quarterly Earnings</t>
  </si>
  <si>
    <t>The quarterly amount paid to individuals found employed during the reference period.</t>
  </si>
  <si>
    <t>Name changed from Quarterly Employment Record Earnings. Updated definition.</t>
  </si>
  <si>
    <t>Workforce Notes: Quarterly earnings are the sum of all the reported earnings for each individual for all jobs held during the reference quarter. "Reference" quarter is the period of employment defined by the agency for its purposes either for students who are enrolled or after they exit. The amount is expressed as a numeric dollar amount. Note that it may be desirable to collect these data over time, in a longitudinal sense, to measure things related to persistence and growth in employment.</t>
  </si>
  <si>
    <t>000989</t>
  </si>
  <si>
    <t>QuarterlyEarnings</t>
  </si>
  <si>
    <t>Reason for Declined Services</t>
  </si>
  <si>
    <t>The reason given for declining the recommended services.</t>
  </si>
  <si>
    <t>001488</t>
  </si>
  <si>
    <t>ReasonForDeclinedServices</t>
  </si>
  <si>
    <t>Reason for Delay of Transition Conference</t>
  </si>
  <si>
    <t>The reasons for the delay of a transition conference.</t>
  </si>
  <si>
    <t>001521</t>
  </si>
  <si>
    <t>ReasonForDelayOfTransitionConference</t>
  </si>
  <si>
    <t>Reason Not Tested</t>
  </si>
  <si>
    <t>The primary reason a student is not tested.</t>
  </si>
  <si>
    <t>000228</t>
  </si>
  <si>
    <t>ReasonNotTested</t>
  </si>
  <si>
    <t>Receiving Location of Instruction</t>
  </si>
  <si>
    <t>The type of location at which instruction or service takes place.</t>
  </si>
  <si>
    <t>000524</t>
  </si>
  <si>
    <t>ReceivingLocationOfInstruction</t>
  </si>
  <si>
    <t>Recognition for Participation or Performance in an Activity</t>
  </si>
  <si>
    <t>The nature of recognition given to the student for accomplishments in a co-curricular, or extra-curricular activity.</t>
  </si>
  <si>
    <t>000229</t>
  </si>
  <si>
    <t>RecognitionForParticipationOrPerformanceInAnActivity</t>
  </si>
  <si>
    <t>Reconstituted Status</t>
  </si>
  <si>
    <t>An indication that the school was restructured, transformed or otherwise changed as a consequence of the state’s accountability system under ESEA or as a result of School Improvement Grants (SIG).</t>
  </si>
  <si>
    <t>Corrected typo in option set definition.</t>
  </si>
  <si>
    <t>000230</t>
  </si>
  <si>
    <t>ReconstitutedStatus</t>
  </si>
  <si>
    <t>Referral Date</t>
  </si>
  <si>
    <t>The date of referral.</t>
  </si>
  <si>
    <t>Early Learning -&gt; EL Child -&gt; Referral</t>
  </si>
  <si>
    <t>001481</t>
  </si>
  <si>
    <t>ReferralDate</t>
  </si>
  <si>
    <t>Referral Outcome</t>
  </si>
  <si>
    <t>The outcome of the referral.</t>
  </si>
  <si>
    <t>001482</t>
  </si>
  <si>
    <t>ReferralOutcome</t>
  </si>
  <si>
    <t>Referral Policy</t>
  </si>
  <si>
    <t>An indication of whether the program has a policy for referrals for all children requiring them.</t>
  </si>
  <si>
    <t>000850</t>
  </si>
  <si>
    <t>ReferralPolicy</t>
  </si>
  <si>
    <t>Referral Reason</t>
  </si>
  <si>
    <t>The reason for the referral.</t>
  </si>
  <si>
    <t>001483</t>
  </si>
  <si>
    <t>ReferralReason</t>
  </si>
  <si>
    <t>Referral Source</t>
  </si>
  <si>
    <t>The program or organization making the initial referral.</t>
  </si>
  <si>
    <t>001484</t>
  </si>
  <si>
    <t>ReferralSource</t>
  </si>
  <si>
    <t>Referral Type</t>
  </si>
  <si>
    <t>The type of referral.</t>
  </si>
  <si>
    <t>001485</t>
  </si>
  <si>
    <t>ReferralType</t>
  </si>
  <si>
    <t>Referred To</t>
  </si>
  <si>
    <t>The program or organization to which the child/family was referred.</t>
  </si>
  <si>
    <t>001486</t>
  </si>
  <si>
    <t>ReferredTo</t>
  </si>
  <si>
    <t>Related Learning Standards</t>
  </si>
  <si>
    <t>An indication of the state or local standard(s) addressed in the Class Section.</t>
  </si>
  <si>
    <t>000231</t>
  </si>
  <si>
    <t>RelatedLearningStandards</t>
  </si>
  <si>
    <t>Related to Zero Tolerance Policy</t>
  </si>
  <si>
    <t>An indication of whether or not any of the disciplinary actions taken against a student were imposed as a consequence of state or local zero tolerance policies.</t>
  </si>
  <si>
    <t>000512</t>
  </si>
  <si>
    <t>RelatedToZeroTolerancePolicy</t>
  </si>
  <si>
    <t>Reporter Identifier</t>
  </si>
  <si>
    <t>Identifies the reporter of the incident using a pre-existing unique student identifier or unique staff identifier, when the reporter is a student or staff member.</t>
  </si>
  <si>
    <t>000507</t>
  </si>
  <si>
    <t>ReporterIdentifier</t>
  </si>
  <si>
    <t>Required Immunization</t>
  </si>
  <si>
    <t>An indication that an immunization is specifically required by an organization or governing body.</t>
  </si>
  <si>
    <t>000307</t>
  </si>
  <si>
    <t>RequiredImmunization</t>
  </si>
  <si>
    <t>Required Student Fees</t>
  </si>
  <si>
    <t>Fixed sum charged to persons for items not covered by tuition and required of such a large proportion of all students that the student who does not pay the charge is the exception.</t>
  </si>
  <si>
    <t>000747</t>
  </si>
  <si>
    <t>RequiredStudentFees</t>
  </si>
  <si>
    <t>Required Training Clock Hours</t>
  </si>
  <si>
    <t>Number of clock hours of training required for providers to meet requirements of the state.</t>
  </si>
  <si>
    <t>000804</t>
  </si>
  <si>
    <t>RequiredTrainingClockHours</t>
  </si>
  <si>
    <t>Responsible District Identifier</t>
  </si>
  <si>
    <t>The district responsible for specific educational services and/or instruction of the student.</t>
  </si>
  <si>
    <t>000637</t>
  </si>
  <si>
    <t>ResponsibleDistrictIdentifier</t>
  </si>
  <si>
    <t>Responsible District Type</t>
  </si>
  <si>
    <t>The type of responsibility the district has for the student.</t>
  </si>
  <si>
    <t>000594</t>
  </si>
  <si>
    <t>ResponsibleDistrictType</t>
  </si>
  <si>
    <t>Responsible Organization Identifier</t>
  </si>
  <si>
    <t>Identifies an organization responsible for specific educational services and/or instruction based on a type of responsibility specified in the Responsible Organization Type.</t>
  </si>
  <si>
    <t>K12 -&gt; Organization</t>
  </si>
  <si>
    <t>This may be used to specify responsisbility when the organization is not a school (Responsible School) or school district (Responsible District).</t>
  </si>
  <si>
    <t>001466</t>
  </si>
  <si>
    <t>ResponsibleOrganizationIdentifier</t>
  </si>
  <si>
    <t>Responsible Organization Name</t>
  </si>
  <si>
    <t>The name of a non-person entity such as an organization, institution, agency or business responsible for the institution/site.</t>
  </si>
  <si>
    <t>000631</t>
  </si>
  <si>
    <t>ResponsibleOrganizationName</t>
  </si>
  <si>
    <t>Responsible Organization Type</t>
  </si>
  <si>
    <t>001467</t>
  </si>
  <si>
    <t>ResponsibleOrganizationType</t>
  </si>
  <si>
    <t>Responsible School Identifier</t>
  </si>
  <si>
    <t>The school responsible for specific education services and/or instruction of the student.</t>
  </si>
  <si>
    <t>000638</t>
  </si>
  <si>
    <t>ResponsibleSchoolIdentifier</t>
  </si>
  <si>
    <t>Responsible School Type</t>
  </si>
  <si>
    <t>The type of services/instruction the school is responsible for providing to the student.</t>
  </si>
  <si>
    <t>000595</t>
  </si>
  <si>
    <t>ResponsibleSchoolType</t>
  </si>
  <si>
    <t>Restructuring Action</t>
  </si>
  <si>
    <t>The types of actions being implemented in Title I schools as a result of the school being in an improvement status of restructuring – year 2 (implementation year).</t>
  </si>
  <si>
    <t>000232</t>
  </si>
  <si>
    <t>RestructuringAction</t>
  </si>
  <si>
    <t>Room Charges</t>
  </si>
  <si>
    <t>The charges for an academic year for rooming accommodations for a typical student sharing a room with one other student.</t>
  </si>
  <si>
    <t>000749</t>
  </si>
  <si>
    <t>RoomCharges</t>
  </si>
  <si>
    <t>Rubric Criterion Category</t>
  </si>
  <si>
    <t>A textual label for category by which Rubric Criterion may be grouped.</t>
  </si>
  <si>
    <t>001469</t>
  </si>
  <si>
    <t>RubricCriterionCategory</t>
  </si>
  <si>
    <t>Rubric Criterion Description</t>
  </si>
  <si>
    <t>Text describing a criterion that must be met to demonstrate quality for a product, process, or performance task.</t>
  </si>
  <si>
    <t>001470</t>
  </si>
  <si>
    <t>RubricCriterionDescription</t>
  </si>
  <si>
    <t>Rubric Criterion Level Description</t>
  </si>
  <si>
    <t>Text describing one or more benchmarks that must be met to achieve a degree of achievement on a product, process, or performance task.</t>
  </si>
  <si>
    <t>001471</t>
  </si>
  <si>
    <t>RubricCriterionLevelDescription</t>
  </si>
  <si>
    <t>Rubric Criterion Level Feedback</t>
  </si>
  <si>
    <t>Pre-defined feedback text to be relayed to the person or organization being evaluated. This may include guidance and suggestions for improvement or development.</t>
  </si>
  <si>
    <t>001472</t>
  </si>
  <si>
    <t>RubricCriterionLevelFeedback</t>
  </si>
  <si>
    <t>Rubric Criterion Level Position</t>
  </si>
  <si>
    <t>A numeric value representing the level's position in the list of levels defined for the Rubric Criterion.</t>
  </si>
  <si>
    <t>001473</t>
  </si>
  <si>
    <t>RubricCriterionLevelPosition</t>
  </si>
  <si>
    <t>Rubric Criterion Level Quality Label</t>
  </si>
  <si>
    <t>A qualitative description of this degree of achievement used for column headers or row labels in tabular rubrics.</t>
  </si>
  <si>
    <t>001474</t>
  </si>
  <si>
    <t>RubricCriterionLevelQualityLabel</t>
  </si>
  <si>
    <t>Rubric Criterion Level Score</t>
  </si>
  <si>
    <t>The points awarded for achieving this level.</t>
  </si>
  <si>
    <t>001475</t>
  </si>
  <si>
    <t>RubricCriterionLevelScore</t>
  </si>
  <si>
    <t>Rubric Criterion Position</t>
  </si>
  <si>
    <t>A numeric value representing this criterion's position in the criteria list for this rubric.</t>
  </si>
  <si>
    <t>001476</t>
  </si>
  <si>
    <t>RubricCriterionPosition</t>
  </si>
  <si>
    <t>Rubric Criterion Title</t>
  </si>
  <si>
    <t>The title of the rubric criterion.</t>
  </si>
  <si>
    <t>001477</t>
  </si>
  <si>
    <t>RubricCriterionTitle</t>
  </si>
  <si>
    <t>Rubric Criterion Weight</t>
  </si>
  <si>
    <t>A numeric weight assigned to this Rubric Criterion, used for scored rubrics.</t>
  </si>
  <si>
    <t>001478</t>
  </si>
  <si>
    <t>RubricCriterionWeight</t>
  </si>
  <si>
    <t>Rubric Description</t>
  </si>
  <si>
    <t>Text describing the intended use of the rubric.</t>
  </si>
  <si>
    <t>001479</t>
  </si>
  <si>
    <t>RubricDescription</t>
  </si>
  <si>
    <t>Rural Education Achievement Program Alternative Funding Status</t>
  </si>
  <si>
    <t>An indication that the local education agency (LEA) notified the state of the LEA's intention to use REAP-Flex Alternative Uses of Funding Authority during the school year as specified in the Title VI, Section 6211 of ESEA as amended.</t>
  </si>
  <si>
    <t>000560</t>
  </si>
  <si>
    <t>REAP Alternative Funding Status</t>
  </si>
  <si>
    <t>REAPAlternativeFundingStatus</t>
  </si>
  <si>
    <t>Rural Residency Status</t>
  </si>
  <si>
    <t>A person who resides in a place with a population of less than 2,500 that is not near any metropolitan area with a population greater than 50,000, or in a city with adjacent areas of high density.</t>
  </si>
  <si>
    <t>000778</t>
  </si>
  <si>
    <t>RuralResidencyStatus</t>
  </si>
  <si>
    <t>Safe and Drug Free Baseline</t>
  </si>
  <si>
    <t>The baseline of the performance indicator of student behavior under the Safe and Drug-Free Schools and Communities Act.</t>
  </si>
  <si>
    <t>K12 -&gt; LEA -&gt; Safe and Drug Free Program</t>
  </si>
  <si>
    <t>000477</t>
  </si>
  <si>
    <t>SafeAndDrugFreeBaseline</t>
  </si>
  <si>
    <t>Safe and Drug Free Baseline Year</t>
  </si>
  <si>
    <t>The academic year the baseline was established.</t>
  </si>
  <si>
    <t>000478</t>
  </si>
  <si>
    <t>SafeAndDrugFreeBaselineYear</t>
  </si>
  <si>
    <t>Safe and Drug Free Collection Frequency</t>
  </si>
  <si>
    <t>The frequency of data collection for performance indicator under the Safe and Drug-Free Schools and Communities Act.</t>
  </si>
  <si>
    <t>000473</t>
  </si>
  <si>
    <t>SafeAndDrugFreeCollectionFrequency</t>
  </si>
  <si>
    <t>Safe and Drug Free Indicator Name</t>
  </si>
  <si>
    <t>The name of the performance indicator for student behaviors under the Safe and Drug-Free Schools and Communities Act.</t>
  </si>
  <si>
    <t>000471</t>
  </si>
  <si>
    <t>SafeAndDrugFreeIndicatorName</t>
  </si>
  <si>
    <t>Safe and Drug Free Instrument</t>
  </si>
  <si>
    <t>The instrument or data source for reported performance indicator of student behavior under the Safe and Drug-Free Schools and Communities Act.</t>
  </si>
  <si>
    <t>000472</t>
  </si>
  <si>
    <t>SafeAndDrugFreeInstrument</t>
  </si>
  <si>
    <t>Safe and Drug Free Performance</t>
  </si>
  <si>
    <t>Actual performance for the given indicator of student behavior under the Safe and Drug-Free Schools and Communities Act</t>
  </si>
  <si>
    <t>000476</t>
  </si>
  <si>
    <t>SafeAndDrugFreePerformance</t>
  </si>
  <si>
    <t>Safe and Drug Free Target</t>
  </si>
  <si>
    <t>The targeted performance for the given indicator of student behavior under the Safe and Drug-Free Schools and Communities Act.</t>
  </si>
  <si>
    <t>000475</t>
  </si>
  <si>
    <t>SafeAndDrugFreeTarget</t>
  </si>
  <si>
    <t>Safe and Drug Free Year Most Recent Collection</t>
  </si>
  <si>
    <t>The academic year of the most recent collection of the performance indicator under the Sage and Drug-Free Schools and Communities Act.</t>
  </si>
  <si>
    <t>000474</t>
  </si>
  <si>
    <t>SafeAndDrugFreeYearMostRecentCollection</t>
  </si>
  <si>
    <t>Salary For Teaching Assignment Only Indicator</t>
  </si>
  <si>
    <t>Indicator to determine whether the teacher's base salary includes pay for teaching assignments alone.</t>
  </si>
  <si>
    <t>000234</t>
  </si>
  <si>
    <t>SalaryForTeachingAssignmentOnlyIndicator</t>
  </si>
  <si>
    <t>School Choice Applied for Transfer Status</t>
  </si>
  <si>
    <t>An indication that a student applied to transfer in the current year (regardless of whether the student transferred), OR previously applied and transferred under the public school choice provisions and continue to attend the transfer school in the current year.</t>
  </si>
  <si>
    <t>K12 -&gt; K12 Student -&gt; Title I</t>
  </si>
  <si>
    <t>000235</t>
  </si>
  <si>
    <t>SchoolChoiceAppliedForTransferStatus</t>
  </si>
  <si>
    <t>School Choice Eligible for Transfer Status</t>
  </si>
  <si>
    <t>An indication the student is eligible to transfer for the current school year under the public school choice provisions or who applied and transferred in the current school year under the public school choice provisions or previously applied and transferred under the public school choice provisions and continue to attend the transfer school in the current year.</t>
  </si>
  <si>
    <t>Which students should be reported?</t>
  </si>
  <si>
    <t>000236</t>
  </si>
  <si>
    <t>SchoolChoiceEligibleForTransferStatus</t>
  </si>
  <si>
    <t>School Choice Transfer Status</t>
  </si>
  <si>
    <t>An indication of whether an eligible student transferred to the school under the provisions for public school choice in accordance with Title I, Part A, Section 1116 of ESEA as amended.</t>
  </si>
  <si>
    <t>000237</t>
  </si>
  <si>
    <t>SchoolChoiceTransferStatus</t>
  </si>
  <si>
    <t>School Codes for the Exchange of Data Course Code</t>
  </si>
  <si>
    <t>The five-digit SCED code. The first two-digits of the code represent the Course Subject Area and the next three digits identify the course number. These identifiers are fairly general but provide enough specificity to identify the course's topic and to distinguish it from other courses in that subject area.</t>
  </si>
  <si>
    <t>See http://ceds.ed.gov/ScedCourseCodes.aspx</t>
  </si>
  <si>
    <t>Alphanumeric - exactly five digits in length</t>
  </si>
  <si>
    <t>See http://www.nces.ed.gov/programs/handbook/elementinfo.asp?elementid=14106.</t>
  </si>
  <si>
    <t>001517</t>
  </si>
  <si>
    <t>SCED Course Code</t>
  </si>
  <si>
    <t>SCEDCourseCode</t>
  </si>
  <si>
    <t>School Codes for the Exchange of Data Course Level</t>
  </si>
  <si>
    <t>The course's level of rigor.</t>
  </si>
  <si>
    <t>Alphanumeric - exactly one character in length</t>
  </si>
  <si>
    <t>001516</t>
  </si>
  <si>
    <t>SCED Course Level</t>
  </si>
  <si>
    <t>SCEDCourseLevel</t>
  </si>
  <si>
    <t>School Codes for the Exchange of Data Course Subject Area</t>
  </si>
  <si>
    <t>The intended major subject area of the education course.</t>
  </si>
  <si>
    <t>Alphaumeric - exactly two digits in length</t>
  </si>
  <si>
    <t>This is a compilation of Secondary Course Subject Area and Prior to Secondary Course Subject Area. This version merges SCED and pSCED.</t>
  </si>
  <si>
    <t>001518</t>
  </si>
  <si>
    <t>SCED Course Subject Area</t>
  </si>
  <si>
    <t>SCEDCourseSubjectArea</t>
  </si>
  <si>
    <t>School Codes for the Exchange of Data Grade Span</t>
  </si>
  <si>
    <t>The grade span for which the course is appropriate.</t>
  </si>
  <si>
    <t>Alphanumeric - exactly four characters in length</t>
  </si>
  <si>
    <t>The span is represented by a four-character code with no decimals. Each grade level from 1 through 12 is represented by a two-digit code, ranging from 01 to 12; kindergarten is represented by the letters KG and prekindergarten by the letters PK.</t>
  </si>
  <si>
    <t>001480</t>
  </si>
  <si>
    <t>SCED Grade Span</t>
  </si>
  <si>
    <t>SCEDGradeSpan</t>
  </si>
  <si>
    <t>School Codes for the Exchange of Data Sequence of Course</t>
  </si>
  <si>
    <t>Where a specific course lies when it is part of a consecutive sequence of courses. This element should be interpreted as "part 'n' of 'm' parts.</t>
  </si>
  <si>
    <t>Name changed from Sequence of Course.</t>
  </si>
  <si>
    <t>For example: if a school offers 4 years of Theater, Theater 3 within this school would be indicated in the sequence elements as 3 4, denoting the 3rd part of a 4-part sequence of courses.</t>
  </si>
  <si>
    <t>000250</t>
  </si>
  <si>
    <t>SCED Sequence of Course</t>
  </si>
  <si>
    <t>SCEDSequenceOfCourse</t>
  </si>
  <si>
    <t>School Identification System</t>
  </si>
  <si>
    <t>001073</t>
  </si>
  <si>
    <t>SchoolIdentificationSystem</t>
  </si>
  <si>
    <t>School Identifier</t>
  </si>
  <si>
    <t>001069</t>
  </si>
  <si>
    <t>SchoolIdentifier</t>
  </si>
  <si>
    <t>School Improvement Allocation</t>
  </si>
  <si>
    <t>The amount of Section 1003(a) and 1003(g) allocations to LEAs and Schools.</t>
  </si>
  <si>
    <t>000480</t>
  </si>
  <si>
    <t>SchoolImprovementAllocation</t>
  </si>
  <si>
    <t>School Improvement Exit Date</t>
  </si>
  <si>
    <t>Date the school exited school improvement status.</t>
  </si>
  <si>
    <t>000481</t>
  </si>
  <si>
    <t>SchoolImprovementExitDate</t>
  </si>
  <si>
    <t>School Improvement Funds Status</t>
  </si>
  <si>
    <t>An indication of whether the school received funds under Section 1003 of ESEA, as amended.</t>
  </si>
  <si>
    <t>000238</t>
  </si>
  <si>
    <t>SchoolImprovementFundsStatus</t>
  </si>
  <si>
    <t>School Improvement Grant Intervention Type</t>
  </si>
  <si>
    <t>The type of intervention used by the school under the School Improvement Grant (SIG).</t>
  </si>
  <si>
    <t>000239</t>
  </si>
  <si>
    <t>SchoolImprovementGrantInterventionType</t>
  </si>
  <si>
    <t>School Improvement Reserved Funds Percentage</t>
  </si>
  <si>
    <t>An indication of the percentage of the Title I, Part A allocation that the SEA reserved in accordance with Section 1003(a) of ESEA and §200.100(a) of ED's regulations governing the reservation of funds for school improvement under Section 1003(a) of ESEA.</t>
  </si>
  <si>
    <t>000479</t>
  </si>
  <si>
    <t>SchoolImprovementReservedFundsPercentage</t>
  </si>
  <si>
    <t>School Improvement Status</t>
  </si>
  <si>
    <t>An indication of the improvement stage of the school.</t>
  </si>
  <si>
    <t>000240</t>
  </si>
  <si>
    <t>SchoolImprovementStatus</t>
  </si>
  <si>
    <t>School Level</t>
  </si>
  <si>
    <t>An indication of the level of the education institution.</t>
  </si>
  <si>
    <t>000241</t>
  </si>
  <si>
    <t>SchoolLevel</t>
  </si>
  <si>
    <t>School Operational Status</t>
  </si>
  <si>
    <t>The current status of the school operations, exclusive of scheduled breaks, holidays, or other temporary interruptions.</t>
  </si>
  <si>
    <t>000533</t>
  </si>
  <si>
    <t>SchoolOperationalStatus</t>
  </si>
  <si>
    <t>School Type</t>
  </si>
  <si>
    <t>The type of education institution as classified by its primary focus.</t>
  </si>
  <si>
    <t>000242</t>
  </si>
  <si>
    <t>SchoolType</t>
  </si>
  <si>
    <t>School Year</t>
  </si>
  <si>
    <t>The year for a reported school session.</t>
  </si>
  <si>
    <t>For academic years that span a calendar year this is the four digit year-end. E.g. 2013 for 2012-2013</t>
  </si>
  <si>
    <t>000243</t>
  </si>
  <si>
    <t>SchoolYear</t>
  </si>
  <si>
    <t>School Year Minutes</t>
  </si>
  <si>
    <t>The number of minutes that all students were required to be at school and any additional learning time (e.g., before or after school, weekend school, summer school) for which all students had the opportunity to participate.</t>
  </si>
  <si>
    <t>000244</t>
  </si>
  <si>
    <t>SchoolYearMinutes</t>
  </si>
  <si>
    <t>Secondary Course Identifier</t>
  </si>
  <si>
    <t>The five-digit SCED code and name of the course. The first two-digits of the code represent the Secondary Course Subject Area. These identifiers are fairly general but provide enough specificity to identify the course's topic and to distinguish it from other courses in that subject area.</t>
  </si>
  <si>
    <t>There are 1378 Codes: http://www.nces.ed.gov/programs/handbook/elementinfo.asp?elementid=14106</t>
  </si>
  <si>
    <t>000246</t>
  </si>
  <si>
    <t>SecondaryCourseIdentifier</t>
  </si>
  <si>
    <t>Secondary Course Level</t>
  </si>
  <si>
    <t>The secondary course's level of rigor.</t>
  </si>
  <si>
    <t>000247</t>
  </si>
  <si>
    <t>SecondaryCourseLevel</t>
  </si>
  <si>
    <t>Secondary Course Subject Area</t>
  </si>
  <si>
    <t>The intended major subject area of the secondary education course.</t>
  </si>
  <si>
    <t>000248</t>
  </si>
  <si>
    <t>SecondaryCourseSubjectArea</t>
  </si>
  <si>
    <t>Secondary Incident Behavior</t>
  </si>
  <si>
    <t>Supplemental information about an incident when the primary offense is more serious in nature than alcohol or drug, etc. offenses.</t>
  </si>
  <si>
    <t>000627</t>
  </si>
  <si>
    <t>SecondaryIncidentBehavior</t>
  </si>
  <si>
    <t>Section 504 Status</t>
  </si>
  <si>
    <t>Individuals with disabilities who are being provided with related aids and services under Section 504 of the Rehabilitation Act of 1973, as amended.</t>
  </si>
  <si>
    <t>000249</t>
  </si>
  <si>
    <t>Section504Status</t>
  </si>
  <si>
    <t>Serves Children with Special Needs</t>
  </si>
  <si>
    <t>An indication of whether a class or group serves children with special needs.</t>
  </si>
  <si>
    <t>000822</t>
  </si>
  <si>
    <t>ServesChildrenWithSpecialNeeds</t>
  </si>
  <si>
    <t>Service Entry Date</t>
  </si>
  <si>
    <t>The year, month and day on which a person begins to receive early intervention, special education or other services.</t>
  </si>
  <si>
    <t>000326</t>
  </si>
  <si>
    <t>ServiceEntryDate</t>
  </si>
  <si>
    <t>Service Exit Date</t>
  </si>
  <si>
    <t>The year, month and day on which a person stops receiving early intervention or special education services.</t>
  </si>
  <si>
    <t>000327</t>
  </si>
  <si>
    <t>ServiceExitDate</t>
  </si>
  <si>
    <t>Service Option Variation</t>
  </si>
  <si>
    <t>Nature of early childhood program, class or group in which a person is enrolled.</t>
  </si>
  <si>
    <t>000353</t>
  </si>
  <si>
    <t>ServiceOptionVariation</t>
  </si>
  <si>
    <t>Session Attendance Term Indicator</t>
  </si>
  <si>
    <t>Indicates that the session is an attendance term.</t>
  </si>
  <si>
    <t>001274</t>
  </si>
  <si>
    <t>SessionAttendanceTermIndicator</t>
  </si>
  <si>
    <t>Session Begin Date</t>
  </si>
  <si>
    <t>The year, month and day on which a session begins.</t>
  </si>
  <si>
    <t>000251</t>
  </si>
  <si>
    <t>SessionBeginDate</t>
  </si>
  <si>
    <t>Session Code</t>
  </si>
  <si>
    <t>A local code given to the session, usually for a session that represents a term within the school year such as a marking term.</t>
  </si>
  <si>
    <t>001270</t>
  </si>
  <si>
    <t>SessionCode</t>
  </si>
  <si>
    <t>Session Description</t>
  </si>
  <si>
    <t>A short description of the Session.</t>
  </si>
  <si>
    <t>001271</t>
  </si>
  <si>
    <t>SessionDescription</t>
  </si>
  <si>
    <t>Session Designator</t>
  </si>
  <si>
    <t>The academic session for which the data are recorded and applicable.</t>
  </si>
  <si>
    <t>000252</t>
  </si>
  <si>
    <t>SessionDesignator</t>
  </si>
  <si>
    <t>Session End Date</t>
  </si>
  <si>
    <t>The year, month and day on which a session ends.</t>
  </si>
  <si>
    <t>000253</t>
  </si>
  <si>
    <t>SessionEndDate</t>
  </si>
  <si>
    <t>Session End Time</t>
  </si>
  <si>
    <t>Time at which the organization concludes the session</t>
  </si>
  <si>
    <t>000986</t>
  </si>
  <si>
    <t>SessionEndTime</t>
  </si>
  <si>
    <t>Session Marking Term Indicator</t>
  </si>
  <si>
    <t>Indicates that the session is a marking term.</t>
  </si>
  <si>
    <t>001272</t>
  </si>
  <si>
    <t>SessionMarkingTermIndicator</t>
  </si>
  <si>
    <t>Session Scheduling Term Indicator</t>
  </si>
  <si>
    <t>Indicates that the session is a scheduling term.</t>
  </si>
  <si>
    <t>001273</t>
  </si>
  <si>
    <t>SessionSchedulingTermIndicator</t>
  </si>
  <si>
    <t>Session Start Time</t>
  </si>
  <si>
    <t>Time at which the organization begins the session.</t>
  </si>
  <si>
    <t>000985</t>
  </si>
  <si>
    <t>SessionStartTime</t>
  </si>
  <si>
    <t>Session Type</t>
  </si>
  <si>
    <t>A prescribed span of time when an education institution is open, instruction is provided, and students are under the direction and guidance of teachers and/or education institution administration. A session may be interrupted by one or more vacations.</t>
  </si>
  <si>
    <t>000254</t>
  </si>
  <si>
    <t>SessionType</t>
  </si>
  <si>
    <t>Sex</t>
  </si>
  <si>
    <t>The concept describing the biological traits that distinguish the males and females of a species.</t>
  </si>
  <si>
    <t>Postsecondary: As defined in IPEDS</t>
  </si>
  <si>
    <t>000255</t>
  </si>
  <si>
    <t>Shared Time Indicator</t>
  </si>
  <si>
    <t>An indication that a school offers career and technical education or other educational services in which some or all students are enrolled at a separate school of record and attend the shared-time school on a part-time basis.</t>
  </si>
  <si>
    <t>000257</t>
  </si>
  <si>
    <t>SharedTimeIndicator</t>
  </si>
  <si>
    <t>Short Name of Institution</t>
  </si>
  <si>
    <t>The name of the institution, which may be the abbreviated form of the full legally accepted name.</t>
  </si>
  <si>
    <t>An abbreviated name of an institution is commonly used, especially in reports and applications, e.g. a K12 school with the full legal name "Dr. Martin Luther King, Jr. Elementary School" may use "King Elementary".</t>
  </si>
  <si>
    <t>001487</t>
  </si>
  <si>
    <t>ShortNameOfInstitution</t>
  </si>
  <si>
    <t>Shortened Expulsion</t>
  </si>
  <si>
    <t>An expulsion with or without services that is shortened to a term of less than one year by the superintendent or chief administrator of a school district.</t>
  </si>
  <si>
    <t>000514</t>
  </si>
  <si>
    <t>ShortenedExpulsion</t>
  </si>
  <si>
    <t>Single Parent Or Single Pregnant Woman Status</t>
  </si>
  <si>
    <t>A student who, at some time during the school year, is either a pregnant female student who is unmarried; or a male or female student who is unmarried or legally separated from a spouse and has a minor child or children.</t>
  </si>
  <si>
    <t>000580</t>
  </si>
  <si>
    <t>SingleParentOrSinglePregnantWomanStatus</t>
  </si>
  <si>
    <t>Site Name</t>
  </si>
  <si>
    <t>The full, legally accepted name of the institution at the site level.</t>
  </si>
  <si>
    <t>Early Learning -&gt; EL Organization -&gt; Site Level Characteristics</t>
  </si>
  <si>
    <t>000632</t>
  </si>
  <si>
    <t>SiteName</t>
  </si>
  <si>
    <t>Size of High School Graduating Class</t>
  </si>
  <si>
    <t>The total number of students in the student's high school graduating class.</t>
  </si>
  <si>
    <t>000294</t>
  </si>
  <si>
    <t>TotalNumberInClass</t>
  </si>
  <si>
    <t>Social Security Number</t>
  </si>
  <si>
    <t>The nine-digit number of identification assigned to the person by the Social Security Administration.</t>
  </si>
  <si>
    <t>Alphanumeric - 9 digits</t>
  </si>
  <si>
    <t>Workforce Notes: The most complete data source and most often used is the Unemployment Insurance Wage Record system in states. Data contained in the wage record are built around quarterly employer payroll information from each person in their employ. The common element that identifies each employee is the person's social security number. Another identifier typically included is the first three digits of the person's last name. States that have attempted to use the latter have found it to be unreliable for matching purposes. Also, to collect data on workforce program participation, a data match will have to be negotiated between state agencies. The workforce data elements collected for workforce programs include many of the same elements defined for K12 students and postsecondary students, including gender and ethnicity. At a minimum, reliable matches can be obtained through the use of names and social security numbers.</t>
  </si>
  <si>
    <t>000259</t>
  </si>
  <si>
    <t>SSN</t>
  </si>
  <si>
    <t>SocialSecurityNumber</t>
  </si>
  <si>
    <t>Sorority Participation Status</t>
  </si>
  <si>
    <t>Student is in membership in a chiefly social organization of women students at a college or university, usually designated by Greek letters.</t>
  </si>
  <si>
    <t>000762</t>
  </si>
  <si>
    <t>SororityParticipationStatus</t>
  </si>
  <si>
    <t>Source of Family Income</t>
  </si>
  <si>
    <t>Sources of total family income.</t>
  </si>
  <si>
    <t>000333</t>
  </si>
  <si>
    <t>SourceOfFamilyIncome</t>
  </si>
  <si>
    <t>Special Circumstances Population Served</t>
  </si>
  <si>
    <t>Program provides services to meet the needs of children in special circumstances.</t>
  </si>
  <si>
    <t>000852</t>
  </si>
  <si>
    <t>SpecialCircumstancesPopulationServed</t>
  </si>
  <si>
    <t>Special Education Age Group Taught</t>
  </si>
  <si>
    <t>The age range of special education students taught.</t>
  </si>
  <si>
    <t>000564</t>
  </si>
  <si>
    <t>SpecialEducationAgeGroupTaught</t>
  </si>
  <si>
    <t>Special Education Exit Reason</t>
  </si>
  <si>
    <t>The reason children who were in special education at the start of the reporting period were not in special education at the end of the reporting period.</t>
  </si>
  <si>
    <t>Definition updated. Options added to option set.</t>
  </si>
  <si>
    <t>000260</t>
  </si>
  <si>
    <t>SpecialEducationExitReason</t>
  </si>
  <si>
    <t>Special Education Full Time Equivalency</t>
  </si>
  <si>
    <t>Calculated ratio of time the student is in a special education setting. Values range from 0.00 to 1.00. If the student is in a special education setting 25% of the time, the value is .25; if 100% of the time, the value is 1.00.</t>
  </si>
  <si>
    <t>A decimal number between 0 and 1 with up to two digits after decimal place.</t>
  </si>
  <si>
    <t>001242</t>
  </si>
  <si>
    <t>Special Education FTE</t>
  </si>
  <si>
    <t>SpecialEducationFTE</t>
  </si>
  <si>
    <t>Special Education Paraprofessional</t>
  </si>
  <si>
    <t>An indication of whether a paraprofessional is employed or contracted to work with children with disabilities who are ages 3 through 21.</t>
  </si>
  <si>
    <t>000261</t>
  </si>
  <si>
    <t>SpecialEducationParaprofessional</t>
  </si>
  <si>
    <t>Special Education Related Services Personnel</t>
  </si>
  <si>
    <t>An indication of whether a related services person is employed or contracted to work with children with disabilities who are ages 3 through 21.</t>
  </si>
  <si>
    <t>000262</t>
  </si>
  <si>
    <t>SpecialEducationRelatedServicesPersonnel</t>
  </si>
  <si>
    <t>Special Education Services Exit Date</t>
  </si>
  <si>
    <t>The year, month and day a child with disabilities (IDEA) ages 14 through 21 exited special education.</t>
  </si>
  <si>
    <t>K12 -&gt; K12 Student -&gt; IDEA</t>
  </si>
  <si>
    <t>000263</t>
  </si>
  <si>
    <t>SpecialEducationServicesExitDate</t>
  </si>
  <si>
    <t>Special Education Staff Category</t>
  </si>
  <si>
    <t>Titles of personnel employed and contracted to provide related services for children with disabilities.</t>
  </si>
  <si>
    <t>000558</t>
  </si>
  <si>
    <t>SpecialEducationStaffCategory</t>
  </si>
  <si>
    <t>Special Education Teacher</t>
  </si>
  <si>
    <t>An indication of whether a teacher is employed or contracted to work with children with disabilities who are ages 3 through 21.</t>
  </si>
  <si>
    <t>000264</t>
  </si>
  <si>
    <t>SpecialEducationTeacher</t>
  </si>
  <si>
    <t>Special Needs Policy</t>
  </si>
  <si>
    <t>Program ensures that policies are in place for Individualized Education Programs (IEPs) or Individual Family Service Plans (IFSPs) to meet the child's unique needs.</t>
  </si>
  <si>
    <t>Early Learning -&gt; EL Organization -&gt; Inclusion</t>
  </si>
  <si>
    <t>001001</t>
  </si>
  <si>
    <t>SpecialNeedsPolicy</t>
  </si>
  <si>
    <t>Sponsoring Agency Name</t>
  </si>
  <si>
    <t>The name of the sponsoring agency.</t>
  </si>
  <si>
    <t>001489</t>
  </si>
  <si>
    <t>SponsoringAgencyName</t>
  </si>
  <si>
    <t>Staff Compensation Base Salary</t>
  </si>
  <si>
    <t>The salary or wage a person is paid before deductions (excluding differentials) but including annuities.</t>
  </si>
  <si>
    <t>For the Common Core Data Teacher Compensation Survey this is: 'The negotiated annual salary for teaching duties for the school year. The base salary excludes pay for additional duties, such as supervising or directing afterschool activities, school administration activities, and teaching summer school or adult education classes. Bonuses and other incentives are not included in base salaries.' Also use CEDS element Salary For Teaching Assignment Only Indicator to indicate if a Base Salary is specific to teaching assignments.</t>
  </si>
  <si>
    <t>000032</t>
  </si>
  <si>
    <t>StaffCompensationBaseSalary</t>
  </si>
  <si>
    <t>Staff Compensation Health Benefits</t>
  </si>
  <si>
    <t>Contributions made by the school district, municipal, state, and other government agencies for the teacher's health insurance, prorated to the specific school indicated on the record (does not include contributions made by the teacher).</t>
  </si>
  <si>
    <t>000136</t>
  </si>
  <si>
    <t>StaffCompensationHealthBenefits</t>
  </si>
  <si>
    <t>Staff Compensation Other Benefits</t>
  </si>
  <si>
    <t>All other benefits (excluding retirement and health insurance) paid by the school district, municipal, state, and other government agencies for the teacher, prorated to the specific school indicated on the record (does not include contributions made by the teacher).</t>
  </si>
  <si>
    <t>000205</t>
  </si>
  <si>
    <t>StaffCompensationOtherBenefits</t>
  </si>
  <si>
    <t>Staff Compensation Retirement Benefits</t>
  </si>
  <si>
    <t>Contributions made by the school district, municipal, state, and other government agencies toward the teacher's retirement plan, prorated to the specific school indicated on the record (does not include contributions made by the teacher).</t>
  </si>
  <si>
    <t>000233</t>
  </si>
  <si>
    <t>StaffCompensationRetirementBenefits</t>
  </si>
  <si>
    <t>Staff Compensation Total Benefits</t>
  </si>
  <si>
    <t>Sum of retirement, health, and all other benefits, or total benefits paid by the school district, municipal, state, and other government agencies, prorated to the specific school indicated on the record.</t>
  </si>
  <si>
    <t>000293</t>
  </si>
  <si>
    <t>StaffCompensationTotalBenefits</t>
  </si>
  <si>
    <t>Staff Compensation Total Salary</t>
  </si>
  <si>
    <t>Total salary paid to the teacher at the specific school indicated on the record in the school year specified on the record.</t>
  </si>
  <si>
    <t>000295</t>
  </si>
  <si>
    <t>StaffCompensationTotalSalary</t>
  </si>
  <si>
    <t>Staff Education Entry Date</t>
  </si>
  <si>
    <t>The year, month and day that a staff member began participating in an educational experience (course, educational program, or formal education activity).</t>
  </si>
  <si>
    <t>000793</t>
  </si>
  <si>
    <t>StaffEducationEntryDate</t>
  </si>
  <si>
    <t>Staff Education Withdrawal Date</t>
  </si>
  <si>
    <t>The year, month and day that an individual ceased participating in an educational experience without completing the course, educational program, or staff development activity.</t>
  </si>
  <si>
    <t>000794</t>
  </si>
  <si>
    <t>StaffEducationWithdrawalDate</t>
  </si>
  <si>
    <t>Staff Evaluation Outcome</t>
  </si>
  <si>
    <t>The result of an assessment of a person's performance.</t>
  </si>
  <si>
    <t>000102</t>
  </si>
  <si>
    <t>StaffEvaluationOutcome</t>
  </si>
  <si>
    <t>Staff Evaluation Scale</t>
  </si>
  <si>
    <t>The quantitative or qualitative range of possible scores/rating for a person's performance (e.g., 0 - 10; Poor, Fair, Average, Good, Excellent).</t>
  </si>
  <si>
    <t>000103</t>
  </si>
  <si>
    <t>StaffEvaluationScale</t>
  </si>
  <si>
    <t>Staff Evaluation Score or Rating</t>
  </si>
  <si>
    <t>The actual quantitative or qualitative assessment of a person's performance.</t>
  </si>
  <si>
    <t>000104</t>
  </si>
  <si>
    <t>StaffEvaluationScoreOrRating</t>
  </si>
  <si>
    <t>Staff Evaluation System</t>
  </si>
  <si>
    <t>The instrument and/or set of procedures with which a person's performance is assessed.</t>
  </si>
  <si>
    <t>000105</t>
  </si>
  <si>
    <t>StaffEvaluationSystem</t>
  </si>
  <si>
    <t>Staff Full Time Equivalency</t>
  </si>
  <si>
    <t>The ratio between the hours of work expected in a position and the hours of work normally expected in a full-time position in the same setting.</t>
  </si>
  <si>
    <t>A decimal number between 0 and 1 with up to two digits after decimal place. For example, quarter time would be represented as 0.25</t>
  </si>
  <si>
    <t>000118</t>
  </si>
  <si>
    <t>Staff FTE</t>
  </si>
  <si>
    <t>StaffFullTimeEquivalency</t>
  </si>
  <si>
    <t>Staff Member Identification System</t>
  </si>
  <si>
    <t>A coding scheme that is used for identification and record-keeping purposes by schools, social services, registry, or other agencies to refer to a staff member.</t>
  </si>
  <si>
    <t>001074</t>
  </si>
  <si>
    <t>StaffMemberIdentificationSystem</t>
  </si>
  <si>
    <t>Staff Member Identifier</t>
  </si>
  <si>
    <t>A unique number or alphanumeric code assigned to a staff member by a school, school system, a state, registry, or other agency or entity.</t>
  </si>
  <si>
    <t>001070</t>
  </si>
  <si>
    <t>StaffMemberIdentifier</t>
  </si>
  <si>
    <t>Staff Professional Development Activity Completion Date</t>
  </si>
  <si>
    <t>The year, month and day on which an individual completed a course, an education program or a staff development activity.</t>
  </si>
  <si>
    <t>"Staff" added to element name.</t>
  </si>
  <si>
    <t>001062</t>
  </si>
  <si>
    <t>StaffProfessionalDevelopmentActivityCompletionDate</t>
  </si>
  <si>
    <t>Staff Professional Development Activity Start Date</t>
  </si>
  <si>
    <t>The year, month and day on which an individual begins a course, an education program or a staff development activity.</t>
  </si>
  <si>
    <t>001061</t>
  </si>
  <si>
    <t>StaffProfessionalDevelopmentActivityStartDate</t>
  </si>
  <si>
    <t>Standard Occupational Classification</t>
  </si>
  <si>
    <t>A Bureau of Labor Statistics coding system for classifying occupations by work performed and, in some cases, on the skills, education and training needed to perform the work at a competent level. See http://www.bls.gov/soc/soc_structure_2010.pdf.</t>
  </si>
  <si>
    <t>##-####</t>
  </si>
  <si>
    <t>000730</t>
  </si>
  <si>
    <t>StandardOccupationalClassification</t>
  </si>
  <si>
    <t>Standardized Admission Test Score</t>
  </si>
  <si>
    <t>The quantitative score on a standardized admission test reported to a postsecondary institution.</t>
  </si>
  <si>
    <t>Postsecondary -&gt; PS Student -&gt; Application</t>
  </si>
  <si>
    <t>000265</t>
  </si>
  <si>
    <t>StandardizedAdmissionTestScore</t>
  </si>
  <si>
    <t>Standardized Admission Test Type</t>
  </si>
  <si>
    <t>The type of test prepared and administered by an agency that is independent of any postsecondary education institution and is typically used for admissions purposes. Tests provide information about prospective students and their academic qualifications relative to a national sample.</t>
  </si>
  <si>
    <t>000266</t>
  </si>
  <si>
    <t>StandardizedAdmissionTestType</t>
  </si>
  <si>
    <t>State Abbreviation</t>
  </si>
  <si>
    <t>The abbreviation for the state (within the United States) or outlying area in which an address is located.</t>
  </si>
  <si>
    <t>000267</t>
  </si>
  <si>
    <t>StateAbbreviation</t>
  </si>
  <si>
    <t>State Agency Identification System</t>
  </si>
  <si>
    <t>A coding scheme that is used for identification and record-keeping purposes by to refer to a state agency.</t>
  </si>
  <si>
    <t>K12 -&gt; SEA -&gt; Identification</t>
  </si>
  <si>
    <t>001491</t>
  </si>
  <si>
    <t>StateAgencyIdentificationSystem</t>
  </si>
  <si>
    <t>State Agency Identifier</t>
  </si>
  <si>
    <t>A unique number or alphanumeric code assigned to a state agency.</t>
  </si>
  <si>
    <t>001490</t>
  </si>
  <si>
    <t>StateAgencyIdentifier</t>
  </si>
  <si>
    <t>State ANSI Code</t>
  </si>
  <si>
    <t>The American National Standards Institute (ANSI) two-digit code for the state.</t>
  </si>
  <si>
    <t>K12 -&gt; SEA -&gt; Address</t>
  </si>
  <si>
    <t>000424</t>
  </si>
  <si>
    <t>StateANSICode</t>
  </si>
  <si>
    <t>State Approved Technical Assistance Provider Status</t>
  </si>
  <si>
    <t>An indication of whether an individual has been approved as a technical assistance provider through a state process.</t>
  </si>
  <si>
    <t>000815</t>
  </si>
  <si>
    <t>StateApprovedTechnicalAssistanceProviderStatus</t>
  </si>
  <si>
    <t>State Approved Trainer Status</t>
  </si>
  <si>
    <t>An indication of whether an individual has been approved as a trainer through a state process.</t>
  </si>
  <si>
    <t>000814</t>
  </si>
  <si>
    <t>StateApprovedTrainerStatus</t>
  </si>
  <si>
    <t>State Assessment Administration Funding</t>
  </si>
  <si>
    <t>The percentage of funds used to administer assessments required by section 1111(b) or to carry out other activities described in section 6111 and other activities related to ensuring that the State’s schools and local educational agencies are held accountable for results.</t>
  </si>
  <si>
    <t>000454</t>
  </si>
  <si>
    <t>StateAssessmentAdministrationFunding</t>
  </si>
  <si>
    <t>State Assessment Standards Funding</t>
  </si>
  <si>
    <t>The percentage of funds used to pay the costs of the development of the State assessments and standards required by section 1111(b).</t>
  </si>
  <si>
    <t>000453</t>
  </si>
  <si>
    <t>StateAssessmentStandardsFunding</t>
  </si>
  <si>
    <t>State Issuing Professional Credential or License</t>
  </si>
  <si>
    <t>State where the professional license/credential was issued.</t>
  </si>
  <si>
    <t>000805</t>
  </si>
  <si>
    <t>StateIssuingProfessionalCredentialOrLicense</t>
  </si>
  <si>
    <t>State Licensed Facility Capacity</t>
  </si>
  <si>
    <t>The maximum number of children for which a state licensed a facility.</t>
  </si>
  <si>
    <t>000865</t>
  </si>
  <si>
    <t>StateLicensedFacilityCapacity</t>
  </si>
  <si>
    <t>State of Birth Abbreviation</t>
  </si>
  <si>
    <t>The abbreviation for the name of the state (within the United States) or extra-state jurisdiction in which a person was born.</t>
  </si>
  <si>
    <t>000427</t>
  </si>
  <si>
    <t>StateOfBirthAbbreviation</t>
  </si>
  <si>
    <t>State of Residence</t>
  </si>
  <si>
    <t>An person's permanent address as determined by such evidence as a driver's license or voter registration. For entering freshmen, state of residence may be the legal state of residence of a parent or guardian.</t>
  </si>
  <si>
    <t>Postsecondary -&gt; PS Student -&gt; Contact -&gt; Address</t>
  </si>
  <si>
    <t>000268</t>
  </si>
  <si>
    <t>StateOfResidence</t>
  </si>
  <si>
    <t>State Poverty Designation</t>
  </si>
  <si>
    <t>The designation of a school’s poverty quartile for purposes of determining classes taught by highly qualified teachers in high and low poverty schools, according to state’s indicator of poverty.</t>
  </si>
  <si>
    <t>000585</t>
  </si>
  <si>
    <t>StatePovertyDesignation</t>
  </si>
  <si>
    <t>State Transferability of Funds</t>
  </si>
  <si>
    <t>Did the State transfer funds under the State Transferability authority of Section 6123(a)</t>
  </si>
  <si>
    <t>000445</t>
  </si>
  <si>
    <t>StateTransferabilityOfFunds</t>
  </si>
  <si>
    <t>Status End Date</t>
  </si>
  <si>
    <t>The last year, month and day when a status applied to an individual.</t>
  </si>
  <si>
    <t>001228</t>
  </si>
  <si>
    <t>StatusEndDate</t>
  </si>
  <si>
    <t>Status Start Date</t>
  </si>
  <si>
    <t>The year, month and day that a status became applicable to an individual.</t>
  </si>
  <si>
    <t>001227</t>
  </si>
  <si>
    <t>StatusStartDate</t>
  </si>
  <si>
    <t>Student Attendance Rate</t>
  </si>
  <si>
    <t>The number of school days during the regular school year (plus summer, if applicable, if part of implementing the restart, transformation, or turnaround model) the student attended school divided by the maximum number of days the student could have attended school during the regular school year.</t>
  </si>
  <si>
    <t>Numeric - 0 to 1</t>
  </si>
  <si>
    <t>000271</t>
  </si>
  <si>
    <t>StudentAttendanceRate</t>
  </si>
  <si>
    <t>Student Course Section Mark Final Indicator</t>
  </si>
  <si>
    <t>Indicates that the mark is a final mark the learner has earned for the course section.</t>
  </si>
  <si>
    <t>Name changed from Student Class Section Mark Final Indicator. Definition updated.</t>
  </si>
  <si>
    <t>001142</t>
  </si>
  <si>
    <t>StudentCourseSectionMarkFinalIndicator</t>
  </si>
  <si>
    <t>Student Identification System</t>
  </si>
  <si>
    <t>A coding scheme that is used for identification and record-keeping purposes by schools, social services, or other agencies to refer to a student.</t>
  </si>
  <si>
    <t>001075</t>
  </si>
  <si>
    <t>StudentIdentificationSystem</t>
  </si>
  <si>
    <t>Student Identifier</t>
  </si>
  <si>
    <t>A unique number or alphanumeric code assigned to a student by a school, school system, a state, or other agency or entity.</t>
  </si>
  <si>
    <t>001071</t>
  </si>
  <si>
    <t>StudentIdentifier</t>
  </si>
  <si>
    <t>Student Level</t>
  </si>
  <si>
    <t>Classification of a person enrolling in credit-granting courses at a postsecondary institution since completing high school (or its equivalent) as either an undergraduate or graduate student.</t>
  </si>
  <si>
    <t>000272</t>
  </si>
  <si>
    <t>StudentLevel</t>
  </si>
  <si>
    <t>Student Support Service Type</t>
  </si>
  <si>
    <t>Type of related or ancillary services provided to a person or a group of persons within the formal educational system or offered by an outside agency which provides non-instructional services to support the general welfare of students. This includes physical and emotional health, the ability to select an appropriate course of study, admission to appropriate educational programs, and the ability to adjust to and remain in school through the completion of programs. In serving a student with an identified disability, related services include developmental, corrective, or supportive services required to ensure that the person benefits from special education.</t>
  </si>
  <si>
    <t>000273</t>
  </si>
  <si>
    <t>StudentSupportServiceType</t>
  </si>
  <si>
    <t>Supervised Clinical Experience</t>
  </si>
  <si>
    <t>An indication of whether a person is enrolled in a supervised clinical experience (including student teaching) as part of a teacher preparation program.</t>
  </si>
  <si>
    <t>000771</t>
  </si>
  <si>
    <t>SupervisedClinicalExperience</t>
  </si>
  <si>
    <t>Supervised Clinical Experience Clock Hours</t>
  </si>
  <si>
    <t>An indication of the number of clock hours (minimum) a student is required to complete associated with a supervised clinical experience.</t>
  </si>
  <si>
    <t>000772</t>
  </si>
  <si>
    <t>SupervisedClinicalExperienceClockHours</t>
  </si>
  <si>
    <t>Supplemental Education Services Public School Choice Twenty Percent Obligation</t>
  </si>
  <si>
    <t>The dollar amount of the 20 percent reservation for supplemental educational services and choice-related transportation.</t>
  </si>
  <si>
    <t>000574</t>
  </si>
  <si>
    <t>SES Public School Choice Twenty Percent Obligation</t>
  </si>
  <si>
    <t>SESPublicSchoolChoiceTwentyPercentObligation</t>
  </si>
  <si>
    <t>Supplemental Educational Services Funds Spent</t>
  </si>
  <si>
    <t>The dollar amount spent on supplemental educational services during the school year under Title I, Part A, Section 1116 of ESEA as amended.</t>
  </si>
  <si>
    <t>000567</t>
  </si>
  <si>
    <t>SES Funds Spent</t>
  </si>
  <si>
    <t>SESFundsSpent</t>
  </si>
  <si>
    <t>Supplemental Educational Services Per Pupil Expenditure</t>
  </si>
  <si>
    <t>The maximum dollar amount that may be spent per child for expenditures related to supplemental educational services under Title I of the ESEA.</t>
  </si>
  <si>
    <t>000575</t>
  </si>
  <si>
    <t>SES Per Pupil Expenditure</t>
  </si>
  <si>
    <t>SESPerPupilExpenditure</t>
  </si>
  <si>
    <t>Teacher Education Credential Exam Score Type</t>
  </si>
  <si>
    <t>An indication of the type of credential exam associated with a given exam score.</t>
  </si>
  <si>
    <t>Praxis I: Reading Mathematics Writing Praxis II: Codes at http://www.ets.org/praxis/about/praxisii/content ACTFL codes at http://www.languagetesting.com/</t>
  </si>
  <si>
    <t>000774</t>
  </si>
  <si>
    <t>TeacherEducationCredentialExamScoreType</t>
  </si>
  <si>
    <t>Teacher Education Credential Exam Type</t>
  </si>
  <si>
    <t>The type of examination used to assess teacher candidate's knowledge and skills.</t>
  </si>
  <si>
    <t>000773</t>
  </si>
  <si>
    <t>TeacherEducationCredentialExamType</t>
  </si>
  <si>
    <t>Teacher Education Test Company</t>
  </si>
  <si>
    <t>The name of the company that provides the examination used in the teacher education program.</t>
  </si>
  <si>
    <t>000766</t>
  </si>
  <si>
    <t>TeacherEducationTestCompany</t>
  </si>
  <si>
    <t>Teacher of Record</t>
  </si>
  <si>
    <t>Staff member who has a Teacher of Record responsibility for a Class Section based upon the state's definition of Teacher of Record.</t>
  </si>
  <si>
    <t>K12 -&gt; Course Section -&gt; Staff</t>
  </si>
  <si>
    <t>K-12 -&gt; Teacher-Student Data Link -&gt; Staff Assignment</t>
  </si>
  <si>
    <t>There is usually one Teacher of Record assignment in a Class Section except in the case of co-teaching/team-teaching.</t>
  </si>
  <si>
    <t>000647</t>
  </si>
  <si>
    <t>TeacherOfRecord</t>
  </si>
  <si>
    <t>Teacher Preparation Program Completer Status</t>
  </si>
  <si>
    <t>An indication of whether a person completed a state-approved teacher preparation program. The fact that a person has or has not been recommended to the state for initial certification or licensure may not be used as a criterion for determining who is a program completer.</t>
  </si>
  <si>
    <t>000768</t>
  </si>
  <si>
    <t>TeacherPreparationProgramCompleterStatus</t>
  </si>
  <si>
    <t>Teacher Preparation Program Enrollment Status</t>
  </si>
  <si>
    <t>An indication of whether a person is pursuing certification as a teacher.</t>
  </si>
  <si>
    <t>000767</t>
  </si>
  <si>
    <t>TeacherPreparationProgramEnrollmentStatus</t>
  </si>
  <si>
    <t>Teacher Student Data Link Exclusion Flag</t>
  </si>
  <si>
    <t>Indicates that the student is excluded from calculation of value-added or growth attribution calculations used for teacher evaluation.</t>
  </si>
  <si>
    <t>K12 -&gt; Teacher Student Data Link Exclusion</t>
  </si>
  <si>
    <t>The context for this element is the intersection of a teacher assignment to a Class/Section and a student enrollment to a Class/Section. It may be represented in a data model as a separate entity such as Teacher Student Data Link Exclusion.</t>
  </si>
  <si>
    <t>000972</t>
  </si>
  <si>
    <t>TeacherStudentDataLinkExclusionFlag</t>
  </si>
  <si>
    <t>Teaching Assignment Contribution Percentage</t>
  </si>
  <si>
    <t>A percentage used to weight the educator's assigned responsibility for student learning in a Class Section, particularly when more than one educator is assigned to the class section.</t>
  </si>
  <si>
    <t>000649</t>
  </si>
  <si>
    <t>TeachingAssignmentContributionPercentage</t>
  </si>
  <si>
    <t>Teaching Assignment End Date</t>
  </si>
  <si>
    <t>The year, month and day on which a teaching assignment ends.</t>
  </si>
  <si>
    <t>000646</t>
  </si>
  <si>
    <t>TeachingAssignmentEndDate</t>
  </si>
  <si>
    <t>Teaching Assignment Role</t>
  </si>
  <si>
    <t>The role that the Staff Member has been assigned for a Class Section. (A teacher may have the lead responsibility for one section and serve a supporting role for another section of the same course.)</t>
  </si>
  <si>
    <t>000648</t>
  </si>
  <si>
    <t>TeachingAssignmentRole</t>
  </si>
  <si>
    <t>Teaching Assignment Start Date</t>
  </si>
  <si>
    <t>The year, month and day on which a teaching assignment begins.</t>
  </si>
  <si>
    <t>000645</t>
  </si>
  <si>
    <t>TeachingAssignmentStartDate</t>
  </si>
  <si>
    <t>Teaching Credential Basis</t>
  </si>
  <si>
    <t>An indication of the pre-determined criteria for granting the teaching credential that a person holds.</t>
  </si>
  <si>
    <t>000277</t>
  </si>
  <si>
    <t>TeachingCredentialBasis</t>
  </si>
  <si>
    <t>Teaching Credential Type</t>
  </si>
  <si>
    <t>An indication of the category of a legal document giving authorization to perform teaching assignment services.</t>
  </si>
  <si>
    <t>000278</t>
  </si>
  <si>
    <t>TeachingCredentialType</t>
  </si>
  <si>
    <t>Technical Assistance Approved Indicator</t>
  </si>
  <si>
    <t>Indicates whether or not the technical assistance was approved.</t>
  </si>
  <si>
    <t>001493</t>
  </si>
  <si>
    <t>TechnicalAssistanceApprovedIndicator</t>
  </si>
  <si>
    <t>Technical Assistance Delivery Type</t>
  </si>
  <si>
    <t>The method of delivery of technical assistance received/provided</t>
  </si>
  <si>
    <t>001494</t>
  </si>
  <si>
    <t>TechnicalAssistanceDeliveryType</t>
  </si>
  <si>
    <t>Technical Assistance Type</t>
  </si>
  <si>
    <t>They type of technical assistance provided</t>
  </si>
  <si>
    <t>001495</t>
  </si>
  <si>
    <t>TechnicalAssistanceType</t>
  </si>
  <si>
    <t>Technology Literacy Status in 8th Grade</t>
  </si>
  <si>
    <t>An indication of the technology literacy of 8th graders.</t>
  </si>
  <si>
    <t>000566</t>
  </si>
  <si>
    <t>TechnologyLiteracyStatusIn8thGrade</t>
  </si>
  <si>
    <t>Technology Skills Standards Met</t>
  </si>
  <si>
    <t>An indication that the person has achieved acceptable performance on a standards-based profile of technology user skills as defined by the state.</t>
  </si>
  <si>
    <t>000546</t>
  </si>
  <si>
    <t>TechnologySkillsStandardsMet</t>
  </si>
  <si>
    <t>Telephone Number</t>
  </si>
  <si>
    <t>The telephone number including the area code, and extension, if applicable.</t>
  </si>
  <si>
    <t>Alphanumeric - 24 characters maximum</t>
  </si>
  <si>
    <t>000279</t>
  </si>
  <si>
    <t>TelephoneNumber</t>
  </si>
  <si>
    <t>Telephone Number Type</t>
  </si>
  <si>
    <t>The type of communication number listed for a person.</t>
  </si>
  <si>
    <t>000280</t>
  </si>
  <si>
    <t>TelephoneNumberType</t>
  </si>
  <si>
    <t>Tenure System</t>
  </si>
  <si>
    <t>An indicator of whether an institution has personnel positions that lead to consideration for tenure.</t>
  </si>
  <si>
    <t>000738</t>
  </si>
  <si>
    <t>TenureSystem</t>
  </si>
  <si>
    <t>Terminated Title III Programs Due to Failure</t>
  </si>
  <si>
    <t>An indication of whether a Title III program or activity was terminated due to failure to meet goals.</t>
  </si>
  <si>
    <t>000482</t>
  </si>
  <si>
    <t>TerminatedTitleIIIProgramsDueToFailure</t>
  </si>
  <si>
    <t>Thesis or Dissertation Title</t>
  </si>
  <si>
    <t>The title of the thesis or dissertation.</t>
  </si>
  <si>
    <t>001496</t>
  </si>
  <si>
    <t>ThesisOrDissertationTitle</t>
  </si>
  <si>
    <t>Timetable Day Identifier</t>
  </si>
  <si>
    <t>The unique identifier for the locally defined rotation cycle date code when the class meets (e.g., in a two day schedule, valid values could be "A" and "B", or "1" and "2").</t>
  </si>
  <si>
    <t>000523</t>
  </si>
  <si>
    <t>TimetableDayIdentifier</t>
  </si>
  <si>
    <t>Title I Indicator</t>
  </si>
  <si>
    <t>An indication that the student is participating in and served by programs under Title I, Part A of ESEA as amended.</t>
  </si>
  <si>
    <t>000281</t>
  </si>
  <si>
    <t>TitleIIndicator</t>
  </si>
  <si>
    <t>Title I Instructional Services</t>
  </si>
  <si>
    <t>The type of instructional services provided to students in ESEA Title I programs.</t>
  </si>
  <si>
    <t>000282</t>
  </si>
  <si>
    <t>TitleIInstructionalServices</t>
  </si>
  <si>
    <t>Title I Program Staff Category</t>
  </si>
  <si>
    <t>Titles of employment, official status, or rank for staff working in a Title I program.</t>
  </si>
  <si>
    <t>000283</t>
  </si>
  <si>
    <t>TitleIProgramStaffCategory</t>
  </si>
  <si>
    <t>Title I Program Type</t>
  </si>
  <si>
    <t>The type of Title I program offered in the school or district.</t>
  </si>
  <si>
    <t>000284</t>
  </si>
  <si>
    <t>TitleIProgramType</t>
  </si>
  <si>
    <t>Title I School Status</t>
  </si>
  <si>
    <t>An indication that a school is designated under state and federal regulations as being eligible for participation in programs authorized by Title I of ESEA as amended and whether it has a Title I program.</t>
  </si>
  <si>
    <t>000285</t>
  </si>
  <si>
    <t>TitleISchoolStatus</t>
  </si>
  <si>
    <t>Title I School Supplemental Services Applied Status</t>
  </si>
  <si>
    <t>An indication of whether an eligible student applied/requested to receive supplemental educational services under Title I, Part A, Section 1116 of ESEA as amended during the school year.</t>
  </si>
  <si>
    <t>000286</t>
  </si>
  <si>
    <t>TitleISchoolSupplementalServicesAppliedStatus</t>
  </si>
  <si>
    <t>Title I School Supplemental Services Eligible Status</t>
  </si>
  <si>
    <t>An indication of whether a student is eligible to receive supplemental educational services during the school year in accordance with Title I, Part A, Section 1116 of ESEA as amended.</t>
  </si>
  <si>
    <t>000287</t>
  </si>
  <si>
    <t>TitleISchoolSupplementalServicesEligibleStatus</t>
  </si>
  <si>
    <t>Title I School Supplemental Services Received Status</t>
  </si>
  <si>
    <t>An indication of whether an eligible student received supplemental educational services during the school year in accordance with Title I, Part A, Section 1116 of ESEA as amended.</t>
  </si>
  <si>
    <t>000288</t>
  </si>
  <si>
    <t>TitleISchoolSupplementalServicesReceivedStatus</t>
  </si>
  <si>
    <t>Title I Schoolwide Program Participation</t>
  </si>
  <si>
    <t>An indication that the student participates in and is served by a schoolwide program (SWP) under Title I of ESEA, Part A, Sections 1114.</t>
  </si>
  <si>
    <t>000550</t>
  </si>
  <si>
    <t>TitleISchoolwideProgramParticipation</t>
  </si>
  <si>
    <t>Title I Support Services</t>
  </si>
  <si>
    <t>The type of support services provided to students in Title I programs.</t>
  </si>
  <si>
    <t>000289</t>
  </si>
  <si>
    <t>TitleISupportServices</t>
  </si>
  <si>
    <t>Title I Targeted Assistance Participation</t>
  </si>
  <si>
    <t>An indication that the student participates in and is served by a targeted assistance (TAS) program under Title I of ESEA, Part A, Sections 1115.</t>
  </si>
  <si>
    <t>000551</t>
  </si>
  <si>
    <t>TitleITargetedAssistanceParticipation</t>
  </si>
  <si>
    <t>Title I Targeted Assistance Staff Funded</t>
  </si>
  <si>
    <t>An indication that a staff member is targeted assistance (TAS) program staff funded by Title I, Part A, Section 1115 of ESEA as amended.</t>
  </si>
  <si>
    <t>000552</t>
  </si>
  <si>
    <t>TitleITargetedAssistanceStaffFunded</t>
  </si>
  <si>
    <t>Title III Accountability Progress Status</t>
  </si>
  <si>
    <t>An indication of the progress made by a student toward English proficiency.</t>
  </si>
  <si>
    <t>000536</t>
  </si>
  <si>
    <t>TitleIIIAccountabilityProgressStatus</t>
  </si>
  <si>
    <t>Title III Immigrant Participation Status</t>
  </si>
  <si>
    <t>An indication that an immigrant student participated in programs for immigrant children and youth funded under ESEA Title III Section 3114(d)(1) using funds reserved for immigrant education programs/activities.</t>
  </si>
  <si>
    <t>000290</t>
  </si>
  <si>
    <t>TitleIIIImmigrantParticipationStatus</t>
  </si>
  <si>
    <t>Title III Immigrant Status</t>
  </si>
  <si>
    <t>An indication that the child is an immigrant according to the Title III of ESEA definition, meaning children who are aged 3 through 21; were not born in any state; and have not been attending one or more schools in any one or more States for more than 3 full academic years.</t>
  </si>
  <si>
    <t>000291</t>
  </si>
  <si>
    <t>TitleIIIImmigrantStatus</t>
  </si>
  <si>
    <t>Title III Language Instruction Program Type</t>
  </si>
  <si>
    <t>The type of Title III language instructional programs.</t>
  </si>
  <si>
    <t>000447</t>
  </si>
  <si>
    <t>TitleIIILanguageInstructionProgramType</t>
  </si>
  <si>
    <t>Title III Limited English Proficient Participation Status</t>
  </si>
  <si>
    <t>An indication that a limited English proficient (LEP) student is served by an English language instruction educational program supported with Title III of ESEA funds.</t>
  </si>
  <si>
    <t>000565</t>
  </si>
  <si>
    <t>Title III LEP Participation Status</t>
  </si>
  <si>
    <t>TitleIIILEPParticipationStatus</t>
  </si>
  <si>
    <t>Title III Professional Development Type</t>
  </si>
  <si>
    <t>The type of Title III professional development utilized.</t>
  </si>
  <si>
    <t>000487</t>
  </si>
  <si>
    <t>TitleIIIProfessionalDevelopmentType</t>
  </si>
  <si>
    <t>Title IV Participant and Recipient</t>
  </si>
  <si>
    <t>A person who receives Title IV aid. Title IV aid includes grant aid, work study aid, and loan aid such as: Federal Pell Grant, Federal Supplemental Educational Opportunity Grant (FSEOG), Teacher Education Assistance for College and Higher Education (TEACH) Grant, Federal Work-Study, Federal Perkins Loan, Subsidized Direct or FFEL Stafford Loan, and Unsubsidized Direct or FFEL Stafford Loan. Title IV aid specifications are defined by the instructions for the IPEDS Student Financial Aid survey.</t>
  </si>
  <si>
    <t>000292</t>
  </si>
  <si>
    <t>TitleIVParticipantAndRecipient</t>
  </si>
  <si>
    <t>Total Approved Early Childhood Credits Earned</t>
  </si>
  <si>
    <t>Total semester credits earned in early childhood regardless of whether credits are earned as part of an early childhood degree program, other degree program or outside of a degree program.</t>
  </si>
  <si>
    <t>001086</t>
  </si>
  <si>
    <t>TotalApprovedEarlyChildhoodCreditsEarned</t>
  </si>
  <si>
    <t>Transfer-ready</t>
  </si>
  <si>
    <t>A person who has successfully completed a transfer-preparatory program as defined by the state or by the institution if no official state definition exists.</t>
  </si>
  <si>
    <t>000296</t>
  </si>
  <si>
    <t>TransferReady</t>
  </si>
  <si>
    <t>Truant Status</t>
  </si>
  <si>
    <t>An indication that a student is identified as a truant as defined by state rules.</t>
  </si>
  <si>
    <t>000569</t>
  </si>
  <si>
    <t>TruantStatus</t>
  </si>
  <si>
    <t>Tuition - Published</t>
  </si>
  <si>
    <t>The published tuition for first time, full-time undergraduate students (lower of in-district or in-state for public institutions). Tuition may be charged per term, per course, per credit or per program.</t>
  </si>
  <si>
    <t>The tuition rate used in the calculation of the institutional "net price" of attendance.</t>
  </si>
  <si>
    <t>000745</t>
  </si>
  <si>
    <t>TuitionPublished</t>
  </si>
  <si>
    <t>Tuition Residency Type</t>
  </si>
  <si>
    <t>A person's residency status for tuition purposes.</t>
  </si>
  <si>
    <t>000297</t>
  </si>
  <si>
    <t>TuitionResidencyType</t>
  </si>
  <si>
    <t>Tuition Unit</t>
  </si>
  <si>
    <t>The component for which tuition is being charged. It might be a time period (term, quarter, year, etc.) or it might be an entity of education (course, credit hour, etc.).</t>
  </si>
  <si>
    <t>000746</t>
  </si>
  <si>
    <t>TuitionUnit</t>
  </si>
  <si>
    <t>Type of Use of the Rural Low-Income Schools Program</t>
  </si>
  <si>
    <t>The type of use of the Rural Low-Income Schools Program (RLIS) (Title VI, Part B, Subpart 2) Grant Funds.</t>
  </si>
  <si>
    <t>000486</t>
  </si>
  <si>
    <t>Type of Use of the RLIS Program</t>
  </si>
  <si>
    <t>TypeOfUseOfTheRLISProgram</t>
  </si>
  <si>
    <t>Union Membership Name</t>
  </si>
  <si>
    <t>The name of the labor organization of which the person is a member.</t>
  </si>
  <si>
    <t>001497</t>
  </si>
  <si>
    <t>UnionMembershipName</t>
  </si>
  <si>
    <t>Union Membership Status</t>
  </si>
  <si>
    <t>An indication of whether the person is a member of a union.</t>
  </si>
  <si>
    <t>000799</t>
  </si>
  <si>
    <t>UnionMembershipStatus</t>
  </si>
  <si>
    <t>United States Citizenship Status</t>
  </si>
  <si>
    <t>An indicator of whether or not the person is a US citizen.</t>
  </si>
  <si>
    <t>000299</t>
  </si>
  <si>
    <t>UnitedStatesCitizenshipStatus</t>
  </si>
  <si>
    <t>Uses of Funds for Purposes other than Standards and Assessment Development</t>
  </si>
  <si>
    <t>Purposes that funds available under ESEA section 6111 (Grants for State Assessments and Related Activities) were used during the 2009-10 school year for purposes other than the costs of the development of the State assessments and standards required by section 1111(b).</t>
  </si>
  <si>
    <t>000459</t>
  </si>
  <si>
    <t>UsesOfFundsForPurposesOtherThanStandardsAndAssessmentDevelopment</t>
  </si>
  <si>
    <t>Virtual Indicator</t>
  </si>
  <si>
    <t>Indicates a school, institution, program, or class/section focuses primarily on instruction in which students and teachers are separated by time and/or location and interact through the use of computers and/or telecommunications technologies.</t>
  </si>
  <si>
    <t>001160</t>
  </si>
  <si>
    <t>VirtualIndicator</t>
  </si>
  <si>
    <t>Visa Type</t>
  </si>
  <si>
    <t>An indicator of a non-US citizen's Visa type.</t>
  </si>
  <si>
    <t>000196</t>
  </si>
  <si>
    <t>VisaType</t>
  </si>
  <si>
    <t>Vision Screening Date</t>
  </si>
  <si>
    <t>The year, month and day of a vision screening.</t>
  </si>
  <si>
    <t>000703</t>
  </si>
  <si>
    <t>VisionScreeningDate</t>
  </si>
  <si>
    <t>Vision Screening Status</t>
  </si>
  <si>
    <t>Status of an examination used to measure a person's ability to see.</t>
  </si>
  <si>
    <t>000308</t>
  </si>
  <si>
    <t>VisionScreeningStatus</t>
  </si>
  <si>
    <t>Wage Collection Code</t>
  </si>
  <si>
    <t>Method used for the collection of wage data for an employment record.</t>
  </si>
  <si>
    <t>000798</t>
  </si>
  <si>
    <t>WageCollectionCode</t>
  </si>
  <si>
    <t>Wage Verification Code</t>
  </si>
  <si>
    <t>An indication of whether the wage information has been verified.</t>
  </si>
  <si>
    <t>000819</t>
  </si>
  <si>
    <t>WageVerificationCode</t>
  </si>
  <si>
    <t>Wait Listed Student</t>
  </si>
  <si>
    <t>A person who meets the admission requirements but will only be offered a place in the class if space becomes available.</t>
  </si>
  <si>
    <t>000757</t>
  </si>
  <si>
    <t>WaitListedStudent</t>
  </si>
  <si>
    <t>Weapon Type</t>
  </si>
  <si>
    <t>Identifies the type of weapon used during an incident.</t>
  </si>
  <si>
    <t>See Forum Guide to Crime, Violence, and Discipline Incident Data http://nces.ed.gov/pubs2011/2011806.pdf Forum Guide.</t>
  </si>
  <si>
    <t>001211</t>
  </si>
  <si>
    <t>WeaponType</t>
  </si>
  <si>
    <t>Web Site Address</t>
  </si>
  <si>
    <t>The Uniform Resource Locator (URL) for the unique address of a Web page.</t>
  </si>
  <si>
    <t>000704</t>
  </si>
  <si>
    <t>WebSiteAddress</t>
  </si>
  <si>
    <t>Weeks Employed Per Year</t>
  </si>
  <si>
    <t>The number of weeks employed by year.</t>
  </si>
  <si>
    <t>001498</t>
  </si>
  <si>
    <t>WeeksEmployedPerYear</t>
  </si>
  <si>
    <t>Weeks of Gestation</t>
  </si>
  <si>
    <t>The number of weeks during gestational period.</t>
  </si>
  <si>
    <t>Early Learning -&gt; EL Child -&gt; EL Health Information -&gt; Birth</t>
  </si>
  <si>
    <t>000313</t>
  </si>
  <si>
    <t>WeeksOfGestation</t>
  </si>
  <si>
    <t>Weight at Birth</t>
  </si>
  <si>
    <t>The weight of a child at birth in pounds and ounces.</t>
  </si>
  <si>
    <t>000312</t>
  </si>
  <si>
    <t>WeightAtBirth</t>
  </si>
  <si>
    <t>White</t>
  </si>
  <si>
    <t>A person having origins in any of the original peoples of Europe, Middle East, or North Africa.</t>
  </si>
  <si>
    <t>000301</t>
  </si>
  <si>
    <t>Work-based Learning Opportunity Type</t>
  </si>
  <si>
    <t>The type of work-based learning opportunity a student participated in.</t>
  </si>
  <si>
    <t>001499</t>
  </si>
  <si>
    <t>Work-basedLearningOpportunityType</t>
  </si>
  <si>
    <t>Workforce Program Participation</t>
  </si>
  <si>
    <t>The type of workforce and employment development program that an individual is participating in.</t>
  </si>
  <si>
    <t>Workforce -&gt; Workforce Program Participant -&gt; Program Participation</t>
  </si>
  <si>
    <t>Name changed from Workforce Program Participation After Exit.</t>
  </si>
  <si>
    <t>A reference period for identifying program participation during or after enrollment in secondary education, postsecondary education, or adult education will have to be defined by the agency in collaboration with other agency partners. At this point this element is intended only to indicate program participation and does not delve into programmatic details, persistence, or completion.</t>
  </si>
  <si>
    <t>000997</t>
  </si>
  <si>
    <t>WorkforceProgramParticipation</t>
  </si>
  <si>
    <t>Workforce Program Participation End Date</t>
  </si>
  <si>
    <t>The year, month, and day of the last day of the reference period during which data are matched between education and workforce data sources.</t>
  </si>
  <si>
    <t>Name changed from Workforce Program Participation Reference Period End Date.</t>
  </si>
  <si>
    <t>Agencies define the time period for this collection around an enrollment period or exit date with a to-be defined lag period following an exit event. Enrollment periods are defined in CEDS for K12 and postsecondary students. The term "exit" includes leaving education for any reason including dropping out or graduating with or without a credential. Exiting conditions are defined in CEDS for K12 and postsecondary students.</t>
  </si>
  <si>
    <t>000999</t>
  </si>
  <si>
    <t>WorkforceProgramParticipationEndDate</t>
  </si>
  <si>
    <t>Workforce Program Participation Start Date</t>
  </si>
  <si>
    <t>The year, month, and day of the first day of the reference period during which data are matched between education and workforce data sources.</t>
  </si>
  <si>
    <t>Name changed from Workforce Program Participation Reference Period Start Date.</t>
  </si>
  <si>
    <t>000998</t>
  </si>
  <si>
    <t>WorkforceProgramParticipationStartDate</t>
  </si>
  <si>
    <t>Workforce Program Participation While Enrolled in an Education Program</t>
  </si>
  <si>
    <t>The type of workforce and employment development program that an individual is participating in while enrolled in an education program.</t>
  </si>
  <si>
    <t>000996</t>
  </si>
  <si>
    <t>WorkforceProgramParticipationWhileEnrolledInEducationProgram</t>
  </si>
  <si>
    <t>Years of Prior Adult Education Teaching Experience</t>
  </si>
  <si>
    <t>The total number of years that a person has previously held a teaching position in one or more adult education programs.</t>
  </si>
  <si>
    <t>Adult Education -&gt; AE Staff -&gt; Experience</t>
  </si>
  <si>
    <t>000788</t>
  </si>
  <si>
    <t>YearsofPriorAETeachingExperience</t>
  </si>
  <si>
    <t>Years of Prior Teaching Experience</t>
  </si>
  <si>
    <t>The total number of years that a person has previously held a teaching position in one or more education institutions.</t>
  </si>
  <si>
    <t>000302</t>
  </si>
  <si>
    <t>YearsOfPriorTeachingExperience</t>
  </si>
  <si>
    <t xml:space="preserve">Yes
No
</t>
  </si>
  <si>
    <t>K12 -&gt; Course Section (added)
K12 -&gt; K12 Course (added)
K12 -&gt; K12 School -&gt; Institution Characteristics</t>
  </si>
  <si>
    <t>Postsecondary Education -&gt; Complete College America
Postsecondary Education -&gt; IPEDS
Postsecondary Education -&gt; Transition</t>
  </si>
  <si>
    <t>Adult Education -&gt; AE Student -&gt; Academic Record (added)
Postsecondary -&gt; PS Student -&gt; Academic Record</t>
  </si>
  <si>
    <t>K-12 -&gt; High School Feedback Report
Postsecondary Education -&gt; Complete College America
Postsecondary Education -&gt; IPEDS
Postsecondary Education -&gt; Transition</t>
  </si>
  <si>
    <t>K-12 -&gt; High School Generated Transcript
K-12 -&gt; LEA-to-LEA Student Record Exchange
K-12 -&gt; LEA-to-SEA Student Record Exchange</t>
  </si>
  <si>
    <t>Assessments -&gt; Achievement
K12 -&gt; Achievement
K12 -&gt; Assessments -&gt; Achievement</t>
  </si>
  <si>
    <t>K12 -&gt; K12 Student -&gt; Academic Record
K12 -&gt; K12 Student -&gt; Enrollment</t>
  </si>
  <si>
    <t>Career and Technical -&gt; Course
K12 -&gt; Course Section -&gt; Directory (added)
K12 -&gt; K12 Course</t>
  </si>
  <si>
    <t>Adult Education -&gt; AE Staff -&gt; Contact -&gt; Address
Adult Education -&gt; AE Student -&gt; Contact -&gt; Address
Career and Technical -&gt; CTE Staff -&gt; Contact -&gt; Address (added)
Career and Technical -&gt; CTE Student -&gt; Contact -&gt; Address
Early Learning -&gt; EL Child -&gt; Contact -&gt; Address
Early Learning -&gt; EL Organization -&gt; Address
Early Learning -&gt; EL Staff -&gt; Contact -&gt; Address
Early Learning -&gt; EL Staff -&gt; Professional Development -&gt; Instructor (added)
Early Learning -&gt; EL Staff -&gt; Professional Development Activity -&gt; Session - Location (added)
Early Learning -&gt; Parent/Guardian -&gt; Contact -&gt; Address
K12 -&gt; Facility
K12 -&gt; K12 School -&gt; Address
K12 -&gt; K12 Staff -&gt; Contact -&gt; Address
K12 -&gt; K12 Staff -&gt; Professional Development Activity -&gt; Session - Location (added)
K12 -&gt; K12 Student -&gt; Contact -&gt; Address
K12 -&gt; LEA -&gt; Address
K12 -&gt; Organization -&gt; Address (added)
K12 -&gt; Parent/Guardian -&gt; Contact -&gt; Address
K12 -&gt; Program -&gt; Address (added)
K12 -&gt; SEA -&gt; Address
K12 -&gt; SEA -&gt; Contact -&gt; Address (added)
Postsecondary -&gt; Parent/Guardian -&gt; Contact -&gt; Address (added)
Postsecondary -&gt; PS Institution -&gt; Address
Postsecondary -&gt; PS Staff -&gt; Contact -&gt; Address
Postsecondary -&gt; PS Student -&gt; Contact -&gt; Address</t>
  </si>
  <si>
    <t>Early Learning -&gt; Licensing
Early Learning -&gt; Program Compliance
Early Learning -&gt; Program Entry
Early Learning -&gt; Staff Quality
Early Learning -&gt; Workforce Development
K-12 -&gt; High School Generated Transcript
K-12 -&gt; LEA-to-LEA Student Record Exchange
K-12 -&gt; LEA-to-SEA Student Record Exchange
Postsecondary Education -&gt; Complete College America
Postsecondary Education -&gt; IPEDS</t>
  </si>
  <si>
    <t>Adult Education -&gt; AE Staff -&gt; Contact -&gt; Address
Adult Education -&gt; AE Student -&gt; Contact -&gt; Address
Career and Technical -&gt; CTE Staff -&gt; Contact -&gt; Address (added)
Career and Technical -&gt; CTE Student -&gt; Contact -&gt; Address
Early Learning -&gt; EL Child -&gt; Contact -&gt; Address
Early Learning -&gt; EL Organization -&gt; Address
Early Learning -&gt; EL Staff -&gt; Contact -&gt; Address
Early Learning -&gt; Parent/Guardian -&gt; Contact -&gt; Address
K12 -&gt; Facility
K12 -&gt; K12 School -&gt; Address
K12 -&gt; K12 Staff -&gt; Contact -&gt; Address
K12 -&gt; K12 Student -&gt; Contact -&gt; Address
K12 -&gt; LEA -&gt; Address
K12 -&gt; Organization -&gt; Address (added)
K12 -&gt; Parent/Guardian -&gt; Contact -&gt; Address
K12 -&gt; Program -&gt; Address (added)
K12 -&gt; SEA -&gt; Contact -&gt; Address (added)
Postsecondary -&gt; Parent/Guardian -&gt; Contact -&gt; Address (added)
Postsecondary -&gt; PS Institution -&gt; Address
Postsecondary -&gt; PS Staff -&gt; Contact -&gt; Address
Postsecondary -&gt; PS Student -&gt; Contact -&gt; Address</t>
  </si>
  <si>
    <t>Adult Education -&gt; AE Student -&gt; Contact -&gt; Address
Career and Technical -&gt; CTE Student -&gt; Contact -&gt; Address
Early Learning -&gt; EL Child -&gt; Contact -&gt; Address
Early Learning -&gt; Parent/Guardian -&gt; Contact -&gt; Address
K12 -&gt; K12 Student -&gt; Contact -&gt; Address
K12 -&gt; Parent/Guardian -&gt; Contact -&gt; Address
Postsecondary -&gt; Parent/Guardian -&gt; Contact -&gt; Address (added)
Postsecondary -&gt; PS Student -&gt; Contact -&gt; Address</t>
  </si>
  <si>
    <t>Postsecondary Education -&gt; Complete College America
Postsecondary Education -&gt; IPEDS</t>
  </si>
  <si>
    <t>Early Learning -&gt; EL Organization -&gt; Address
K12 -&gt; Facility
K12 -&gt; K12 School -&gt; Address
K12 -&gt; LEA -&gt; Address
K12 -&gt; Organization -&gt; Address (added)
K12 -&gt; Program -&gt; Address (added)
K12 -&gt; SEA -&gt; Address
Postsecondary -&gt; PS Institution -&gt; Address</t>
  </si>
  <si>
    <t>Adult Education -&gt; AE Staff -&gt; Contact -&gt; Address
Career and Technical -&gt; CTE Staff -&gt; Contact -&gt; Address (added)
Early Learning -&gt; EL Staff -&gt; Contact -&gt; Address
Early Learning -&gt; EL Staff -&gt; Professional Development -&gt; Instructor (added)
K12 -&gt; K12 Staff -&gt; Contact -&gt; Address
K12 -&gt; SEA -&gt; Contact -&gt; Address (added)
Postsecondary -&gt; PS Staff -&gt; Contact -&gt; Address</t>
  </si>
  <si>
    <t>K12 -&gt; K12 School -&gt; Accountability
K12 -&gt; LEA -&gt; Accountability</t>
  </si>
  <si>
    <t>K12 -&gt; K12 School -&gt; Accountability
K12 -&gt; LEA -&gt; Accountability
K12 -&gt; SEA -&gt; Accountability</t>
  </si>
  <si>
    <t>Adult Education -&gt; AE Provider
Adult Education -&gt; AE Staff -&gt; Assignment (added)</t>
  </si>
  <si>
    <t>K12 -&gt; Course Section -&gt; Directory
K12 -&gt; K12 Course
Postsecondary -&gt; PS Section</t>
  </si>
  <si>
    <t>Early Learning -&gt; EL Child -&gt; EL Health Information
K12 -&gt; K12 Student -&gt; Health</t>
  </si>
  <si>
    <t xml:space="preserve">Mild
Severe
</t>
  </si>
  <si>
    <t>Adult Education -&gt; AE Student -&gt; Demographic
Career and Technical -&gt; CTE Student -&gt; Demographic
Early Learning -&gt; EL Child -&gt; Demographic
Early Learning -&gt; EL Staff -&gt; Demographic
K12 -&gt; K12 Staff -&gt; Demographic
K12 -&gt; K12 Student -&gt; Demographic
Postsecondary -&gt; PS Staff -&gt; Demographic
Postsecondary -&gt; PS Student -&gt; Demographic</t>
  </si>
  <si>
    <t>Early Learning -&gt; Program Entry
Early Learning -&gt; Staff Quality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IPEDS -&gt; HR
Postsecondary Education -&gt; Transition</t>
  </si>
  <si>
    <t>K12 -&gt; LEA -&gt; Accountability
K12 -&gt; SEA -&gt; Accountability</t>
  </si>
  <si>
    <t>Early Learning -&gt; Program Compliance
Early Learning -&gt; Program Entry</t>
  </si>
  <si>
    <t>Assessments -&gt; Assessment
Assessments -&gt; Assessment Form
Assessments -&gt; Assessment Form -&gt; Assessment Form Section
Assessments -&gt; Assessment Item
Assessments -&gt; Assessment Subtest
Early Learning -&gt; Assessments -&gt; Assessment Design
K12 -&gt; Assessments -&gt; Assessment
K12 -&gt; Assessments -&gt; Assessment Form
K12 -&gt; Assessments -&gt; Assessment Form -&gt; Assessment Form Section
K12 -&gt; Assessments -&gt; Assessment Item
K12 -&gt; Assessments -&gt; Assessment Subtest
Postsecondary -&gt; Assessment</t>
  </si>
  <si>
    <t>College Readiness
K-12 -&gt; EDFacts
K-12 -&gt; LEA Assessments
K-12 -&gt; SEA Assessments</t>
  </si>
  <si>
    <t>Assessments -&gt; Assessment Participant Session
Assessments -&gt; Assessment Registration
Early Learning -&gt; Assessments -&gt; Assessment Administration
Early Learning -&gt; Assessments -&gt; Assessment Design
K12 -&gt; Assessments -&gt; Assessment Participant Session
K12 -&gt; Assessments -&gt; Assessment Registration
Postsecondary -&gt; PS Student -&gt; Assessment (added)</t>
  </si>
  <si>
    <t>K-12 -&gt; LEA Assessments
K-12 -&gt; SEA Assessments
School Readiness</t>
  </si>
  <si>
    <t>Assessments -&gt; Assessment Participant Session
Assessments -&gt; Assessment Registration
K12 -&gt; Assessments -&gt; Assessment Participant Session
K12 -&gt; Assessments -&gt; Assessment Registration</t>
  </si>
  <si>
    <t>Assessments -&gt; Assessment Participant Session
K12 -&gt; Assessments -&gt; Assessment Participant Session</t>
  </si>
  <si>
    <t>Assessments -&gt; Assessment Administration
K12 -&gt; Assessments -&gt; Assessment Administration</t>
  </si>
  <si>
    <t>Assessments -&gt; Assessment Administration
Early Learning -&gt; Assessments -&gt; Assessment Administration
K12 -&gt; Assessments -&gt; Assessment Administration</t>
  </si>
  <si>
    <t>Assessments -&gt; Assessment Administration
Early Learning -&gt; Assessments -&gt; Assessment Administration
Early Learning -&gt; Assessments -&gt; Assessment Design
K12 -&gt; Assessments -&gt; Assessment Administration</t>
  </si>
  <si>
    <t>Assessments -&gt; Assessment Asset
K12 -&gt; Assessments -&gt; Assessment Asset</t>
  </si>
  <si>
    <t>Assessments -&gt; Assessment Subtest
Early Learning -&gt; Assessments -&gt; Assessment Design
K12 -&gt; Assessments -&gt; Assessment Subtest
Postsecondary -&gt; Assessment</t>
  </si>
  <si>
    <t>College Readiness
K-12 -&gt; LEA Assessments
K-12 -&gt; SEA Assessments
School Readiness</t>
  </si>
  <si>
    <t>Assessments -&gt; Assessment
Early Learning -&gt; Assessments -&gt; Assessment Design
Early Learning -&gt; EL Child -&gt; Developmental Assessments
K12 -&gt; Assessments -&gt; Assessment</t>
  </si>
  <si>
    <t>Assessments -&gt; Assessment Family
K12 -&gt; Assessments -&gt; Assessment Family</t>
  </si>
  <si>
    <t>Assessments -&gt; Assessment Form
Early Learning -&gt; Assessments -&gt; Assessment Design
K12 -&gt; Assessments -&gt; Assessment Form</t>
  </si>
  <si>
    <t>Assessments -&gt; Assessment Form
K12 -&gt; Assessments -&gt; Assessment Form</t>
  </si>
  <si>
    <t>Assessments -&gt; Assessment Form
Early Learning -&gt; Assessments -&gt; Assessment Design
K12 -&gt; Assessments -&gt; Assessment Form
Postsecondary -&gt; Assessment</t>
  </si>
  <si>
    <t>College Readiness
K-12 -&gt; High School Generated Transcript
K-12 -&gt; LEA Assessments
K-12 -&gt; LEA-to-LEA Student Record Exchange
K-12 -&gt; LEA-to-SEA Student Record Exchange
K-12 -&gt; SEA Assessments
School Readiness</t>
  </si>
  <si>
    <t>Assessments -&gt; Assessment Form
Early Learning -&gt; Assessments -&gt; Assessment Administration
Early Learning -&gt; Assessments -&gt; Assessment Design
K12 -&gt; Assessments -&gt; Assessment Form</t>
  </si>
  <si>
    <t>Assessments -&gt; Assessment Form -&gt; Assessment Form Section
K12 -&gt; Assessments -&gt; Assessment Form -&gt; Assessment Form Section</t>
  </si>
  <si>
    <t>Assessments -&gt; Assessment Subtest
K12 -&gt; Assessments -&gt; Assessment Subtest</t>
  </si>
  <si>
    <t>Assessments -&gt; Assessment Form -&gt; Assessment Form Subtest Assessment Item
K12 -&gt; Assessments -&gt; Assessment Form -&gt; Assessment Form Subtest Assessment Item</t>
  </si>
  <si>
    <t>Assessments -&gt; Assessment
K12 -&gt; Assessments -&gt; Assessment</t>
  </si>
  <si>
    <t>Assessments -&gt; Assessment
Assessments -&gt; Assessment Administration
K12 -&gt; Assessments -&gt; Assessment
K12 -&gt; Assessments -&gt; Assessment Administration</t>
  </si>
  <si>
    <t>K-12 -&gt; High School Feedback Report
K-12 -&gt; High School Generated Transcript
K-12 -&gt; LEA Assessments
K-12 -&gt; LEA-to-LEA Student Record Exchange
K-12 -&gt; LEA-to-SEA Student Record Exchange
K-12 -&gt; SEA Assessments</t>
  </si>
  <si>
    <t>Assessments -&gt; Assessment
Assessments -&gt; Assessment Administration
Early Learning -&gt; Assessments -&gt; Assessment Design
K12 -&gt; Assessments -&gt; Assessment
Postsecondary -&gt; Assessment</t>
  </si>
  <si>
    <t>College Readiness
K-12 -&gt; High School Feedback Report
K-12 -&gt; High School Generated Transcript
K-12 -&gt; LEA Assessments
K-12 -&gt; LEA-to-LEA Student Record Exchange
K-12 -&gt; LEA-to-SEA Student Record Exchange
K-12 -&gt; SEA Assessments
School Readiness</t>
  </si>
  <si>
    <t>Assessments -&gt; Assessment Item -&gt; Assessment Item APIP
K12 -&gt; Assessments -&gt; Assessment Item -&gt; Assessment Item APIP</t>
  </si>
  <si>
    <t>Assessments -&gt; Assessment Item
Early Learning -&gt; Assessments -&gt; Assessment Design
K12 -&gt; Assessments -&gt; Assessment Item</t>
  </si>
  <si>
    <t>K-12 -&gt; LEA Assessments
K-12 -&gt; SEA Assessments</t>
  </si>
  <si>
    <t>Assessments -&gt; Assessment Item
K12 -&gt; Assessments -&gt; Assessment Item</t>
  </si>
  <si>
    <t>Assessments -&gt; Assessment Item -&gt; Assessment Item APIP Interaction
K12 -&gt; Assessments -&gt; Assessment Item -&gt; Assessment Item APIP Interaction</t>
  </si>
  <si>
    <t>Assessments -&gt; Assessment Item -&gt; Assessment Item Body Custom Interaction
K12 -&gt; Assessments -&gt; Assessment Item -&gt; Assessment Item Body Custom Interaction</t>
  </si>
  <si>
    <t>Assessments -&gt; Assessment Item -&gt; Assessment Item Characteristic
Early Learning -&gt; Assessments -&gt; Assessment Design
K12 -&gt; Assessments -&gt; Assessment Item -&gt; Assessment Item Characteristic</t>
  </si>
  <si>
    <t>Assessments -&gt; Assessment Item -&gt; Assessment Item Possible Response
K12 -&gt; Assessments -&gt; Assessment Item -&gt; Assessment Item Possible Response</t>
  </si>
  <si>
    <t>Assessments -&gt; Assessment Item -&gt; Assessment Item Response
Early Learning -&gt; Assessments -&gt; Assessment Administration
Early Learning -&gt; Assessments -&gt; Assessment Design
K12 -&gt; Assessments -&gt; Assessment Item -&gt; Assessment Item Response</t>
  </si>
  <si>
    <t>Assessments -&gt; Assessment Item -&gt; Assessment Item Response
Early Learning -&gt; Assessments -&gt; Assessment Design
K12 -&gt; Assessments -&gt; Assessment Item -&gt; Assessment Item Response</t>
  </si>
  <si>
    <t>Assessments -&gt; Assessment Item -&gt; Assessment Item Response
Early Learning -&gt; Assessments -&gt; Assessment Result
K12 -&gt; Assessments -&gt; Assessment Item -&gt; Assessment Item Response</t>
  </si>
  <si>
    <t>Assessments -&gt; Assessment Item -&gt; Assessment Item Response
Early Learning -&gt; Assessments -&gt; Assessment Administration
K12 -&gt; Assessments -&gt; Assessment Item -&gt; Assessment Item Response</t>
  </si>
  <si>
    <t>Assessments -&gt; Assessment Item -&gt; Assessment Item Response
K12 -&gt; Assessments -&gt; Assessment Item -&gt; Assessment Item Response</t>
  </si>
  <si>
    <t>Assessments -&gt; Assessment Item -&gt; Assessment Item Response Theory
K12 -&gt; Assessments -&gt; Assessment Item -&gt; Assessment Item Response Theory</t>
  </si>
  <si>
    <t>K-12 -&gt; High School Generated Transcript
K-12 -&gt; LEA Assessments
K-12 -&gt; LEA-to-LEA Student Record Exchange
K-12 -&gt; LEA-to-SEA Student Record Exchange
K-12 -&gt; SEA Assessments
School Readiness</t>
  </si>
  <si>
    <t xml:space="preserve">Audio
Video
Graphic
Text
Interactive
</t>
  </si>
  <si>
    <t>Assessments -&gt; Assessment Personal Needs Profile -&gt; Assessment Need Profile Content
K12 -&gt; Assessments -&gt; Assessment Personal Needs Profile -&gt; Assessment Need Profile Content</t>
  </si>
  <si>
    <t>Assessments -&gt; Assessment Personal Needs Profile -&gt; Assessment Need Screen Enhancement
K12 -&gt; Assessments -&gt; Assessment Personal Needs Profile -&gt; Assessment Need Screen Enhancement</t>
  </si>
  <si>
    <t>Assessments -&gt; Assessment Personal Needs Profile -&gt; Assessment Need Profile Display
K12 -&gt; Assessments -&gt; Assessment Personal Needs Profile -&gt; Assessment Need Profile Display</t>
  </si>
  <si>
    <t xml:space="preserve">Contracted
Uncontracted
</t>
  </si>
  <si>
    <t xml:space="preserve">Highlight
Bold
Underline
Italic
Strikeout
Color
</t>
  </si>
  <si>
    <t xml:space="preserve">Off
Left
Right
</t>
  </si>
  <si>
    <t xml:space="preserve">Line
Word
Character
</t>
  </si>
  <si>
    <t>Assessments -&gt; Assessment Personal Needs Profile
K12 -&gt; Assessments -&gt; Assessment Personal Needs Profile</t>
  </si>
  <si>
    <t xml:space="preserve">6
8
</t>
  </si>
  <si>
    <t xml:space="preserve">Human
Synthetic
</t>
  </si>
  <si>
    <t>Assessments -&gt; Assessment Personal Needs Profile -&gt; Assessment Need Profile Control
K12 -&gt; Assessments -&gt; Assessment Personal Needs Profile -&gt; Assessment Need Profile Control</t>
  </si>
  <si>
    <t>Assessments -&gt; Assessment
Early Learning -&gt; Assessments -&gt; Assessment Design
K12 -&gt; Assessments -&gt; Assessment</t>
  </si>
  <si>
    <t xml:space="preserve">Paper
Computer
Mobile
Clicker
Other
Handheld
Tablet
</t>
  </si>
  <si>
    <t>Assessments -&gt; Assessment Participant Session
Early Learning -&gt; Assessments -&gt; Assessment Administration
K12 -&gt; Assessments -&gt; Assessment Participant Session</t>
  </si>
  <si>
    <t>Assessments -&gt; Assessment Performance Level
K12 -&gt; Assessments -&gt; Assessment Performance Level</t>
  </si>
  <si>
    <t>Assessments -&gt; Assessment Performance Level
Early Learning -&gt; Assessments -&gt; Assessment Design
Early Learning -&gt; Assessments -&gt; Assessment Result
K12 -&gt; Assessments -&gt; Assessment Performance Level</t>
  </si>
  <si>
    <t>Assessments -&gt; Assessment
Assessments -&gt; Assessment Subtest
Early Learning -&gt; Assessments -&gt; Assessment Design
K12 -&gt; Assessments -&gt; Assessment
K12 -&gt; Assessments -&gt; Assessment Subtest
Postsecondary -&gt; Assessment</t>
  </si>
  <si>
    <t>Assessments -&gt; Assessment Registration
K12 -&gt; Assessments -&gt; Assessment Registration</t>
  </si>
  <si>
    <t>Assessments -&gt; Assessment Registration
Early Learning -&gt; Assessments -&gt; Assessment Design
K12 -&gt; Assessments -&gt; Assessment Registration</t>
  </si>
  <si>
    <t>K-12 -&gt; EDFacts
School Readiness</t>
  </si>
  <si>
    <t>K-12 -&gt; EDFacts
K-12 -&gt; LEA Assessments
K-12 -&gt; SEA Assessments
School Readiness</t>
  </si>
  <si>
    <t>Assessments -&gt; Assessment Item -&gt; Rubric (added)
Assessments -&gt; Rubric (added)
K12 -&gt; Assessments -&gt; Rubric (added)</t>
  </si>
  <si>
    <t>Assessments -&gt; Assessment Administration
Assessments -&gt; Assessment Form (added)
Early Learning -&gt; Assessments -&gt; Assessment Design
K12 -&gt; Assessments -&gt; Assessment Administration</t>
  </si>
  <si>
    <t>Assessments -&gt; Assessment Participant Session
Assessments -&gt; Assessment Session
Early Learning -&gt; Assessments -&gt; Assessment Design
K12 -&gt; Assessments -&gt; Assessment Participant Session
K12 -&gt; Assessments -&gt; Assessment Session</t>
  </si>
  <si>
    <t>Assessments -&gt; Assessment Session
Early Learning -&gt; Assessments -&gt; Assessment Administration
Early Learning -&gt; Assessments -&gt; Assessment Design
K12 -&gt; Assessments -&gt; Assessment Session</t>
  </si>
  <si>
    <t>Assessments -&gt; Assessment Session
K12 -&gt; Assessments -&gt; Assessment Session</t>
  </si>
  <si>
    <t>Assessments -&gt; Assessment Participant Session
Assessments -&gt; Assessment Session
Early Learning -&gt; Assessments -&gt; Assessment Administration
Early Learning -&gt; Assessments -&gt; Assessment Design
K12 -&gt; Assessments -&gt; Assessment Participant Session
K12 -&gt; Assessments -&gt; Assessment Session</t>
  </si>
  <si>
    <t>Assessments -&gt; Assessment Session
Early Learning -&gt; Assessments -&gt; Assessment Design
K12 -&gt; Assessments -&gt; Assessment Session</t>
  </si>
  <si>
    <t>Assessments -&gt; Assessment Participant Session
Assessments -&gt; Assessment Session
K12 -&gt; Assessments -&gt; Assessment Participant Session
K12 -&gt; Assessments -&gt; Assessment Session</t>
  </si>
  <si>
    <t xml:space="preserve">Teacher
Principal
Administrator
Proctor
Observer
Scorer
Registrar
</t>
  </si>
  <si>
    <t xml:space="preserve">Standard
Accommodation
</t>
  </si>
  <si>
    <t>College Readiness
K-12 -&gt; SEA Assessments</t>
  </si>
  <si>
    <t>College Readiness
K-12 -&gt; SEA Assessments
School Readiness</t>
  </si>
  <si>
    <t xml:space="preserve">Client
Publisher
Internal
Other
</t>
  </si>
  <si>
    <t>Assessments -&gt; Assessment Subtest
Early Learning -&gt; Assessments -&gt; Assessment Design
K12 -&gt; Assessments -&gt; Assessment Subtest</t>
  </si>
  <si>
    <t>Assessments -&gt; Assessment Subtest Result
K12 -&gt; Assessments -&gt; Assessment Subtest Result</t>
  </si>
  <si>
    <t>Assessments -&gt; Assessment Subtest Result
Early Learning -&gt; Assessments -&gt; Assessment Result
K12 -&gt; Assessments -&gt; Assessment Subtest Result</t>
  </si>
  <si>
    <t>K-12 -&gt; EDFacts
K-12 -&gt; LEA Assessments
K-12 -&gt; SEA Assessments</t>
  </si>
  <si>
    <t>Assessments -&gt; Assessment Subtest Result
Early Learning -&gt; Assessments -&gt; Assessment Result
K12 -&gt; Assessments -&gt; Assessment Subtest Result
Postsecondary -&gt; Assessment</t>
  </si>
  <si>
    <t>College Readiness
K-12 -&gt; High School Generated Transcript
K-12 -&gt; LEA Assessments
K-12 -&gt; LEA-to-LEA Student Record Exchange
K-12 -&gt; LEA-to-SEA Student Record Exchange
K-12 -&gt; SEA Assessments
Postsecondary Education -&gt; Teacher Education
Postsecondary Education -&gt; Transition
School Readiness</t>
  </si>
  <si>
    <t>Assessments -&gt; Assessment
Assessments -&gt; Assessment Subtest
Assessments -&gt; Assessment Subtest Result
Early Learning -&gt; Assessments -&gt; Assessment Design
K12 -&gt; Assessments -&gt; Assessment
K12 -&gt; Assessments -&gt; Assessment Subtest
K12 -&gt; Assessments -&gt; Assessment Subtest Result
Postsecondary -&gt; Assessment</t>
  </si>
  <si>
    <t>College Readiness
K-12 -&gt; High School Generated Transcript
K-12 -&gt; LEA Assessments
K-12 -&gt; LEA-to-LEA Student Record Exchange
K-12 -&gt; LEA-to-SEA Student Record Exchange
K-12 -&gt; SEA Assessments
Postsecondary Education -&gt; Transition
School Readiness</t>
  </si>
  <si>
    <t>Assessments -&gt; Assessment
Early Learning -&gt; Assessments -&gt; Assessment Design
K12 -&gt; Assessments -&gt; Assessment
Postsecondary -&gt; Assessment</t>
  </si>
  <si>
    <t>K12 -&gt; Course Section -&gt; Staff
K12 -&gt; K12 Staff -&gt; Assignment</t>
  </si>
  <si>
    <t>K12 -&gt; Course Section -&gt; Attendance (added)
K12 -&gt; K12 Staff -&gt; Attendance (added)
K12 -&gt; K12 Student -&gt; Attendance</t>
  </si>
  <si>
    <t>Career and Technical -&gt; Course
Career and Technical -&gt; Course Section
K12 -&gt; Course Section -&gt; Course
K12 -&gt; K12 Course</t>
  </si>
  <si>
    <t>K-12 -&gt; High School Generated Transcript
K-12 -&gt; LEA-to-LEA Student Record Exchange
K-12 -&gt; LEA-to-SEA Student Record Exchange
K-12 -&gt; Teacher-Student Data Link -&gt; Class Section</t>
  </si>
  <si>
    <t>Adult Education -&gt; AE Student -&gt; Demographic
Career and Technical -&gt; CTE Student -&gt; Demographic
Early Learning -&gt; EL Child -&gt; Demographic
Early Learning -&gt; EL Staff -&gt; Demographic
Early Learning -&gt; Parent/Guardian -&gt; Demographic (added)
K12 -&gt; K12 Staff -&gt; Demographic
K12 -&gt; K12 Student -&gt; Demographic
Postsecondary -&gt; PS Staff -&gt; Demographic
Postsecondary -&gt; PS Student -&gt; Demographic</t>
  </si>
  <si>
    <t>Early Learning -&gt; Program Entry
Early Learning -&gt; Staff Quality
Early Learning -&gt; Workforce Development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Transition</t>
  </si>
  <si>
    <t>K12 -&gt; Course Section -&gt; Directory
K12 -&gt; K12 Course</t>
  </si>
  <si>
    <t>K12 -&gt; Calendar -&gt; Event
K12 -&gt; K12 Student -&gt; Attendance</t>
  </si>
  <si>
    <t>Career and Technical -&gt; CTE Student -&gt; Academic Record
K12 -&gt; K12 Student -&gt; Academic Record
K12 -&gt; K12 Student -&gt; CTE</t>
  </si>
  <si>
    <t>K-12 -&gt; EDFacts
K-12 -&gt; High School Generated Transcript
K-12 -&gt; LEA-to-LEA Student Record Exchange
K-12 -&gt; LEA-to-SEA Student Record Exchange</t>
  </si>
  <si>
    <t>Career and Technical -&gt; CTE Student -&gt; Program Participation
K12 -&gt; K12 Student -&gt; CTE
Postsecondary -&gt; PS Student -&gt; CTE</t>
  </si>
  <si>
    <t>Career and Technical -&gt; CTE Staff -&gt; Credential
K12 -&gt; K12 Staff -&gt; Credential
Postsecondary -&gt; PS Staff -&gt; Credential</t>
  </si>
  <si>
    <t>Career and Technical -&gt; CTE Student -&gt; Academic Record
K12 -&gt; K12 Student -&gt; CTE
Postsecondary -&gt; PS Student -&gt; CTE</t>
  </si>
  <si>
    <t>Adult Education -&gt; AE Student -&gt; Program Participation
Adult Education -&gt; Program
Career and Technical -&gt; CTE Student -&gt; Program Participation
Career and Technical -&gt; Program
K12 -&gt; Course Section -&gt; Directory
K12 -&gt; K12 Course</t>
  </si>
  <si>
    <t>Career and Technical -&gt; CTE Student -&gt; Career Education Plan
Early Learning -&gt; EL Staff -&gt; Professional Development
K12 -&gt; K12 Staff -&gt; Professional Development
K12 -&gt; K12 Student -&gt; Academic Record</t>
  </si>
  <si>
    <t>Adult Education -&gt; AE Student -&gt; Program Participation
Adult Education -&gt; Program</t>
  </si>
  <si>
    <t>K12 -&gt; K12 School -&gt; Institution Characteristics
Postsecondary -&gt; PS Student -&gt; CTE</t>
  </si>
  <si>
    <t>Adult Education -&gt; AE Student -&gt; Status
Career and Technical -&gt; CTE Student -&gt; Program Participation
K12 -&gt; K12 Student -&gt; CTE
Postsecondary -&gt; PS Student -&gt; CTE</t>
  </si>
  <si>
    <t>K-12 -&gt; High School Feedback Report
Postsecondary Education -&gt; Transition</t>
  </si>
  <si>
    <t>K12 -&gt; K12 School -&gt; Directory
K12 -&gt; LEA -&gt; Directory</t>
  </si>
  <si>
    <t>Early Learning -&gt; Access to Services
Early Learning -&gt; Program Quality
Early Learning -&gt; Staff Quality
School Readiness</t>
  </si>
  <si>
    <t>Career and Technical -&gt; Course Section
Early Learning -&gt; EL Class/Group -&gt; Structure
K12 -&gt; Course Section -&gt; Directory</t>
  </si>
  <si>
    <t>Early Learning -&gt; Access to Services
Early Learning -&gt; Program Quality</t>
  </si>
  <si>
    <t>Career and Technical -&gt; Course Section
K12 -&gt; Course Section -&gt; Directory</t>
  </si>
  <si>
    <t>Career and Technical -&gt; CTE Student -&gt; Program Participation (added)
Postsecondary -&gt; PS Student -&gt; Enrollment</t>
  </si>
  <si>
    <t>K12 -&gt; K12 Student -&gt; Enrollment
Postsecondary -&gt; PS Student -&gt; Demographic (added)</t>
  </si>
  <si>
    <t>K-12 -&gt; EDFacts
Persistence and Attainment of Nontraditional Students</t>
  </si>
  <si>
    <t>K12 -&gt; K12 Student -&gt; Enrollment
Postsecondary -&gt; PS Student -&gt; K12 Transcript</t>
  </si>
  <si>
    <t>Assessments -&gt; Learning Standards -&gt; Competency Set
Learning Standards -&gt; Competency Set</t>
  </si>
  <si>
    <t>Early Learning -&gt; Licensing
Early Learning -&gt; Program Compliance</t>
  </si>
  <si>
    <t>Career and Technical -&gt; Course
K12 -&gt; K12 Course</t>
  </si>
  <si>
    <t>Adult Education -&gt; AE Staff -&gt; Contact -&gt; Address
Adult Education -&gt; AE Student -&gt; Contact -&gt; Address
Career and Technical -&gt; CTE Staff -&gt; Contact -&gt; Address (added)
Career and Technical -&gt; CTE Student -&gt; Contact -&gt; Address
Early Learning -&gt; EL Child -&gt; Contact -&gt; Address
Early Learning -&gt; EL Staff -&gt; Contact -&gt; Address
Early Learning -&gt; Parent/Guardian -&gt; Contact -&gt; Address
K12 -&gt; K12 Staff -&gt; Contact -&gt; Address
K12 -&gt; K12 Student -&gt; Contact -&gt; Address
K12 -&gt; Parent/Guardian -&gt; Contact -&gt; Address
K12 -&gt; SEA -&gt; Contact -&gt; Address (added)
Postsecondary -&gt; Parent/Guardian -&gt; Contact -&gt; Address (added)
Postsecondary -&gt; PS Staff -&gt; Contact -&gt; Address
Postsecondary -&gt; PS Student -&gt; Contact -&gt; Address</t>
  </si>
  <si>
    <t>Early Learning -&gt; Program Entry
Early Learning -&gt; Staff Quality
Early Learning -&gt; Workforce Development
Postsecondary Education -&gt; Complete College America
Postsecondary Education -&gt; IPEDS</t>
  </si>
  <si>
    <t>K-12 -&gt; High School Generated Transcript
K-12 -&gt; LEA-to-LEA Student Record Exchange
K-12 -&gt; LEA-to-SEA Student Record Exchange
K-12 -&gt; Migrant Student Data Exchange</t>
  </si>
  <si>
    <t>Early Learning -&gt; EL Organization -&gt; Address
K12 -&gt; K12 School -&gt; Address
K12 -&gt; LEA -&gt; Address
Postsecondary -&gt; PS Institution -&gt; Address
Postsecondary -&gt; PS Student -&gt; K12 Transcript</t>
  </si>
  <si>
    <t>Career and Technical -&gt; Course
Career and Technical -&gt; Course Section
K12 -&gt; Course Section -&gt; Directory (added)
K12 -&gt; K12 Course</t>
  </si>
  <si>
    <t>Career and Technical -&gt; Course
Career and Technical -&gt; Course Section
K12 -&gt; Course Section -&gt; Course
K12 -&gt; K12 Course
K12 -&gt; K12 Student -&gt; Academic Record</t>
  </si>
  <si>
    <t>Career and Technical -&gt; Course
Early Learning -&gt; EL Staff -&gt; Professional Development
K12 -&gt; K12 Course
Postsecondary -&gt; PS Section -&gt; Course</t>
  </si>
  <si>
    <t>Career and Technical -&gt; Course
K12 -&gt; K12 Course
Postsecondary -&gt; PS Section -&gt; Course</t>
  </si>
  <si>
    <t>Career and Technical -&gt; Course
Career and Technical -&gt; Course Section
K12 -&gt; Course Section -&gt; Course
K12 -&gt; K12 Course
Postsecondary -&gt; PS Section (added)</t>
  </si>
  <si>
    <t>Career and Technical -&gt; Course
Career and Technical -&gt; Course Section
K12 -&gt; Course Section -&gt; Course
K12 -&gt; Course Section -&gt; Directory (added)
K12 -&gt; K12 Course
K12 -&gt; K12 Student -&gt; Academic Record</t>
  </si>
  <si>
    <t>K-12 -&gt; High School Generated Transcript
K-12 -&gt; LEA-to-LEA Student Record Exchange
K-12 -&gt; LEA-to-SEA Student Record Exchange
K-12 -&gt; Teacher-Student Data Link -&gt; Class Section
Postsecondary Education -&gt; Transition</t>
  </si>
  <si>
    <t xml:space="preserve">Lecture
Laboratory
Seminar
IndependentStudy
PrivateStudy
PracticeTeaching
Internship
Practicum
ApprenticeshipExternship
AppliedInstruction
Residency
ClinicalRotationInstruction
SelfPaced
FieldStudy
InternetInstruction
InteractiveVideo
Videotape
Television
OtherDistanceLearning
Audiotape
ComputerBasedInstruction
CompressedVideo
Correspondence
CooperativeEducation
WorkStudy
</t>
  </si>
  <si>
    <t>Adult Education -&gt; Course Section -&gt; Course
Postsecondary -&gt; PS Section</t>
  </si>
  <si>
    <t>K12 -&gt; K12 Student -&gt; Academic Record
Postsecondary -&gt; PS Section (added)</t>
  </si>
  <si>
    <t>Career and Technical -&gt; Course Section
Early Learning -&gt; Assessments -&gt; Assessment Design
K12 -&gt; Course Section -&gt; Course</t>
  </si>
  <si>
    <t>K-12 -&gt; High School Generated Transcript
School Readiness</t>
  </si>
  <si>
    <t xml:space="preserve">Pre-registered
Registered
Enrolled
WaitListed
Dropped
Completed
</t>
  </si>
  <si>
    <t>K-12 -&gt; Civil Rights Data Collection
K-12 -&gt; Teacher-Student Data Link -&gt; Class Section</t>
  </si>
  <si>
    <t>Early Learning -&gt; EL Staff -&gt; License
K12 -&gt; K12 Staff -&gt; Credential</t>
  </si>
  <si>
    <t xml:space="preserve">Certification
Endorsement
Licensure
Other
Registration
</t>
  </si>
  <si>
    <t>Career and Technical -&gt; CTE Staff -&gt; Credential (added)
K12 -&gt; K12 Staff -&gt; Credential
Postsecondary -&gt; PS Staff -&gt; Credential (added)</t>
  </si>
  <si>
    <t>Career and Technical -&gt; Course
Career and Technical -&gt; Course Section
K12 -&gt; Course Section -&gt; Course
K12 -&gt; K12 Student -&gt; Academic Record</t>
  </si>
  <si>
    <t>Early Learning -&gt; EL Class/Group -&gt; Structure
Early Learning -&gt; EL Organization -&gt; Organization Characteristics</t>
  </si>
  <si>
    <t>Early Learning -&gt; Access to Services
Early Learning -&gt; Licensing
Early Learning -&gt; Program Compliance
Early Learning -&gt; Program Quality</t>
  </si>
  <si>
    <t>Career and Technical -&gt; CTE Student -&gt; Academic Record
Early Learning -&gt; EL Staff -&gt; Education</t>
  </si>
  <si>
    <t>Early Learning -&gt; Program Compliance
Early Learning -&gt; Staff Quality
Early Learning -&gt; Workforce Development</t>
  </si>
  <si>
    <t xml:space="preserve">Dependent
Independent
Unknown
</t>
  </si>
  <si>
    <t>Persistence and Attainment of Nontraditional Students
Postsecondary Education -&gt; IPEDS</t>
  </si>
  <si>
    <t>Adult Education -&gt; AE Student -&gt; Academic Record
Early Learning -&gt; EL Staff -&gt; Education
K12 -&gt; K12 Student -&gt; Academic Record
Postsecondary -&gt; PS Student -&gt; Academic Record
Postsecondary -&gt; PS Student -&gt; K12 Transcript</t>
  </si>
  <si>
    <t>Early Learning -&gt; Staff Quality
K-12 -&gt; High School Feedback Report
K-12 -&gt; High School Generated Transcript
K-12 -&gt; LEA-to-LEA Student Record Exchange
K-12 -&gt; LEA-to-SEA Student Record Exchange
Postsecondary Education -&gt; Transition</t>
  </si>
  <si>
    <t>Early Learning -&gt; EL Child -&gt; Developmental Assessments
K12 -&gt; K12 Student -&gt; Disability
Postsecondary -&gt; PS Student</t>
  </si>
  <si>
    <t>Adult Education -&gt; AE Student -&gt; Status
K12 -&gt; K12 Student -&gt; Disability
Postsecondary -&gt; PS Student (added)</t>
  </si>
  <si>
    <t>K12 -&gt; Incident
K12 -&gt; K12 Student -&gt; Discipline</t>
  </si>
  <si>
    <t>Early Learning -&gt; EL Child -&gt; EL Educational Experiences
Early Learning -&gt; EL Class/Group -&gt; Population</t>
  </si>
  <si>
    <t>Early Learning -&gt; Access to Services
Early Learning -&gt; Program Entry
Early Learning -&gt; Program Quality</t>
  </si>
  <si>
    <t>Early Learning -&gt; Licensing
Early Learning -&gt; Program Compliance
Early Learning -&gt; Program Entry</t>
  </si>
  <si>
    <t>Early Learning -&gt; EL Class/Group -&gt; Population
Early Learning -&gt; EL Organization -&gt; Organization Characteristics</t>
  </si>
  <si>
    <t>Early Learning -&gt; Licensing
Early Learning -&gt; Program Compliance
Early Learning -&gt; Program Quality
School Readiness</t>
  </si>
  <si>
    <t>Early Learning -&gt; EL Class/Group -&gt; Structure
Early Learning -&gt; EL Organization -&gt; Organization Information</t>
  </si>
  <si>
    <t>Early Learning -&gt; Program Quality
Early Learning -&gt; Staff Quality</t>
  </si>
  <si>
    <t>Early Learning -&gt; EL Staff -&gt; Employment
K12 -&gt; K12 Staff -&gt; Assignment</t>
  </si>
  <si>
    <t>Early Learning -&gt; Staff Quality
K-12 -&gt; LEA-to-LEA Student Record Exchange
K-12 -&gt; LEA-to-SEA Student Record Exchange</t>
  </si>
  <si>
    <t>Adult Education -&gt; AE Staff -&gt; Contact -&gt; Email
Adult Education -&gt; AE Student -&gt; Contact -&gt; Email
Career and Technical -&gt; CTE Staff -&gt; Contact -&gt; Email (added)
Career and Technical -&gt; CTE Student -&gt; Contact -&gt; Email
Early Learning -&gt; EL Staff -&gt; Contact -&gt; Email
Early Learning -&gt; Parent/Guardian -&gt; Contact -&gt; Email
K12 -&gt; K12 Staff -&gt; Contact -&gt; Email
K12 -&gt; K12 Student -&gt; Contact -&gt; Email
K12 -&gt; Parent/Guardian -&gt; Contact -&gt; Email
K12 -&gt; SEA -&gt; Contact -&gt; Email (added)
Postsecondary -&gt; Parent/Guardian -&gt; Contact -&gt; Email (added)
Postsecondary -&gt; PS Student -&gt; Contact -&gt; Email</t>
  </si>
  <si>
    <t>Early Learning -&gt; Parent/Guardian
K12 -&gt; Parent/Guardian -&gt; Relationship</t>
  </si>
  <si>
    <t xml:space="preserve">Yes
Unknown
</t>
  </si>
  <si>
    <t>Adult Education -&gt; AE Student -&gt; Employment
K12 -&gt; K12 Student -&gt; Employment
Postsecondary -&gt; PS Student -&gt; Employment
Workforce -&gt; Quarterly Employment Record</t>
  </si>
  <si>
    <t>Adult Education -&gt; AE Staff -&gt; Employment (added)
Adult Education -&gt; AE Student -&gt; Employment (added)
Early Learning -&gt; EL Staff -&gt; Employment
K12 -&gt; K12 Staff -&gt; Employment (added)
K12 -&gt; K12 Student -&gt; Employment (added)
Postsecondary -&gt; PS Staff -&gt; Employment (added)
Postsecondary -&gt; PS Student -&gt; Employment (added)</t>
  </si>
  <si>
    <t>Early Learning -&gt; EL Staff -&gt; Employment (added)
K12 -&gt; K12 Staff -&gt; Employment</t>
  </si>
  <si>
    <t>Early Learning -&gt; Staff Quality
Early Learning -&gt; Workforce Development</t>
  </si>
  <si>
    <t>Early Learning -&gt; EL Staff -&gt; Employment
K12 -&gt; K12 Staff -&gt; Employment</t>
  </si>
  <si>
    <t xml:space="preserve">Promotion
Retention
</t>
  </si>
  <si>
    <t>Adult Education -&gt; AE Student -&gt; Program Participation
Early Learning -&gt; EL Child -&gt; EL Educational Experiences</t>
  </si>
  <si>
    <t>Early Learning -&gt; EL Child -&gt; EL Educational Experiences
K12 -&gt; Course Section -&gt; Enrollment
K12 -&gt; K12 Student -&gt; Enrollment</t>
  </si>
  <si>
    <t>Early Learning -&gt; Program Compliance
Early Learning -&gt; Program Entry
K-12 -&gt; EDFacts
K-12 -&gt; High School Generated Transcript
K-12 -&gt; LEA-to-LEA Student Record Exchange
K-12 -&gt; LEA-to-SEA Student Record Exchange
K-12 -&gt; Teacher-Student Data Link -&gt; Enrollment</t>
  </si>
  <si>
    <t>Persistence and Attainment of Nontraditional Students
Postsecondary Education -&gt; IPEDS
Postsecondary Education -&gt; Transition</t>
  </si>
  <si>
    <t>Adult Education -&gt; AE Student -&gt; Program Participation (added)
K12 -&gt; K12 Student -&gt; Enrollment</t>
  </si>
  <si>
    <t>Adult Education -&gt; AE Student -&gt; Program Participation
Early Learning -&gt; EL Child -&gt; EL Educational Experiences
K12 -&gt; K12 Student -&gt; Enrollment
Postsecondary -&gt; PS Student -&gt; Enrollment</t>
  </si>
  <si>
    <t xml:space="preserve">Permanent
Temporary
</t>
  </si>
  <si>
    <t>K12 -&gt; Course Section -&gt; Enrollment
K12 -&gt; K12 Student -&gt; Enrollment</t>
  </si>
  <si>
    <t>K-12 -&gt; EDFacts
K-12 -&gt; LEA-to-LEA Student Record Exchange
K-12 -&gt; LEA-to-SEA Student Record Exchange</t>
  </si>
  <si>
    <t>Early Learning -&gt; EL Child -&gt; EL Educational Experiences (added)
K12 -&gt; K12 Student -&gt; Program</t>
  </si>
  <si>
    <t>K12 -&gt; Facility
K12 -&gt; LEA -&gt; Directory</t>
  </si>
  <si>
    <t xml:space="preserve">Regulated
Unregulated
Exempt
</t>
  </si>
  <si>
    <t>Early Learning -&gt; EL Child -&gt; Finance (added)
K12 -&gt; LEA -&gt; Federal Funds (added)
K12 -&gt; SEA -&gt; Federal Funds</t>
  </si>
  <si>
    <t>Early Learning -&gt; Early Learning Program (added)
K12 -&gt; LEA -&gt; Federal Funds
K12 -&gt; SEA -&gt; Federal Funds</t>
  </si>
  <si>
    <t>K12 -&gt; K12 School -&gt; Finance
K12 -&gt; LEA -&gt; Finance
K12 -&gt; Program -&gt; Finance
K12 -&gt; SEA -&gt; Finance</t>
  </si>
  <si>
    <t>Postsecondary Education -&gt; Common Data Set
Postsecondary Education -&gt; Complete College America
Postsecondary Education -&gt; IPEDS</t>
  </si>
  <si>
    <t xml:space="preserve">Awarded
Accepted
Disbursed
Declined
</t>
  </si>
  <si>
    <t xml:space="preserve">Federal
Institutional
</t>
  </si>
  <si>
    <t>Adult Education -&gt; AE Staff -&gt; Identity -&gt; Name
Adult Education -&gt; AE Student -&gt; Identity -&gt; Name
Career and Technical -&gt; CTE Staff -&gt; Identity -&gt; Name (added)
Career and Technical -&gt; CTE Student -&gt; Identity -&gt; Name
Early Learning -&gt; EL Child -&gt; Identity -&gt; Name
Early Learning -&gt; EL Staff -&gt; Identity -&gt; Name
Early Learning -&gt; EL Staff -&gt; Professional Development -&gt; Instructor (added)
Early Learning -&gt; Parent/Guardian -&gt; Identity -&gt; Name
K12 -&gt; K12 Staff -&gt; Identity -&gt; Name
K12 -&gt; K12 Student -&gt; Identity -&gt; Name
K12 -&gt; Parent/Guardian -&gt; Identity -&gt; Name
K12 -&gt; SEA -&gt; Contact -&gt; Name (added)
Postsecondary -&gt; Parent/Guardian -&gt; Identity -&gt; Name (added)
Postsecondary -&gt; PS Staff -&gt; Identity -&gt; Name
Postsecondary -&gt; PS Student -&gt; Identity -&gt; Name
Workforce -&gt; Workforce Program Participant -&gt; Identity -&gt; Name</t>
  </si>
  <si>
    <t>Early Learning -&gt; Program Entry
Early Learning -&gt; Staff Quality
Early Learning -&gt; Workforce Development
K-12 -&gt; High School Generated Transcript
K-12 -&gt; LEA-to-LEA Student Record Exchange
K-12 -&gt; LEA-to-SEA Student Record Exchange
Postsecondary Education -&gt; Complete College America
Postsecondary Education -&gt; IPEDS</t>
  </si>
  <si>
    <t xml:space="preserve">Daily
Weekly
Monthly
Quarterly
Annually
</t>
  </si>
  <si>
    <t xml:space="preserve">Full-time
Part-time
</t>
  </si>
  <si>
    <t>Early Learning -&gt; Staff Quality
K-12 -&gt; High School Generated Transcript
K-12 -&gt; LEA-to-LEA Student Record Exchange
K-12 -&gt; LEA-to-SEA Student Record Exchange
Postsecondary Education -&gt; Complete College America
Postsecondary Education -&gt; IPEDS</t>
  </si>
  <si>
    <t xml:space="preserve">Yes
No
Unknown
</t>
  </si>
  <si>
    <t>K12 -&gt; Course Section -&gt; Enrollment -&gt; Student Class Section Mark
K12 -&gt; K12 Student -&gt; Academic Record</t>
  </si>
  <si>
    <t>K-12 -&gt; High School Generated Transcript
K-12 -&gt; LEA Assessments
K-12 -&gt; LEA-to-LEA Student Record Exchange
K-12 -&gt; LEA-to-SEA Student Record Exchange
K-12 -&gt; SEA Assessments</t>
  </si>
  <si>
    <t>K12 -&gt; Course Section -&gt; Enrollment
K12 -&gt; K12 Student -&gt; Academic Record</t>
  </si>
  <si>
    <t>K12 -&gt; K12 Student -&gt; Academic Record
Postsecondary -&gt; PS Applicant
Postsecondary -&gt; PS Student -&gt; Academic Record
Postsecondary -&gt; PS Student -&gt; K12 Transcript</t>
  </si>
  <si>
    <t>College Readiness
K-12 -&gt; High School Feedback Report
K-12 -&gt; High School Generated Transcript
K-12 -&gt; LEA-to-LEA Student Record Exchange
K-12 -&gt; LEA-to-SEA Student Record Exchange
Postsecondary Education -&gt; Common Data Set
Postsecondary Education -&gt; Transition</t>
  </si>
  <si>
    <t xml:space="preserve">Weighted
Unweighted
</t>
  </si>
  <si>
    <t>Postsecondary -&gt; PS Applicant
Postsecondary -&gt; PS Student -&gt; K12 Transcript</t>
  </si>
  <si>
    <t>Postsecondary Education -&gt; Common Data Set
Postsecondary Education -&gt; Transition</t>
  </si>
  <si>
    <t>Early Learning -&gt; EL Child -&gt; EL Health Information -&gt; Hearing
K12 -&gt; K12 Student -&gt; Health (added)</t>
  </si>
  <si>
    <t>Adult Education -&gt; AE Student -&gt; Academic Record
K12 -&gt; K12 Student -&gt; Academic Record
Postsecondary -&gt; PS Student -&gt; K12 Transcript</t>
  </si>
  <si>
    <t>K-12 -&gt; High School Feedback Report
K-12 -&gt; High School Generated Transcript
K-12 -&gt; LEA-to-LEA Student Record Exchange
K-12 -&gt; LEA-to-SEA Student Record Exchange
Persistence and Attainment of Nontraditional Students
Postsecondary Education -&gt; IPEDS
Postsecondary Education -&gt; Transition</t>
  </si>
  <si>
    <t>K12 -&gt; K12 Student -&gt; Academic Record
Postsecondary -&gt; PS Applicant</t>
  </si>
  <si>
    <t>K-12 -&gt; High School Generated Transcript
K-12 -&gt; LEA-to-LEA Student Record Exchange
K-12 -&gt; LEA-to-SEA Student Record Exchange
Postsecondary Education -&gt; Common Data Set</t>
  </si>
  <si>
    <t>Adult Education -&gt; AE Staff -&gt; Credential (added)
Adult Education -&gt; AE Student -&gt; Academic Record
Early Learning -&gt; EL Staff -&gt; Education
Early Learning -&gt; Parent/Guardian -&gt; Education
K12 -&gt; K12 Staff -&gt; Credential</t>
  </si>
  <si>
    <t>Early Learning -&gt; Program Compliance
Early Learning -&gt; Program Entry
Early Learning -&gt; Staff Quality
K-12 -&gt; Teacher Compensation Survey</t>
  </si>
  <si>
    <t>Adult Education -&gt; AE Staff -&gt; Employment (added)
Early Learning -&gt; EL Staff -&gt; Employment
K12 -&gt; K12 Staff -&gt; Employment
Postsecondary -&gt; PS Staff -&gt; Employment</t>
  </si>
  <si>
    <t>Early Learning -&gt; Program Compliance
Early Learning -&gt; Staff Quality
Early Learning -&gt; Workforce Development
K-12 -&gt; Teacher Compensation Survey
Postsecondary Education -&gt; IPEDS -&gt; HR</t>
  </si>
  <si>
    <t>Early Learning -&gt; EL Child -&gt; Demographic
K12 -&gt; K12 Student -&gt; Homeless</t>
  </si>
  <si>
    <t>Early Learning -&gt; Program Compliance
Early Learning -&gt; Program Entry
K-12 -&gt; EDFacts
K-12 -&gt; High School Generated Transcript
K-12 -&gt; LEA-to-LEA Student Record Exchange
K-12 -&gt; LEA-to-SEA Student Record Exchange</t>
  </si>
  <si>
    <t>K-12 -&gt; Civil Rights Data Collection
K-12 -&gt; EDFacts
K-12 -&gt; LEA-to-LEA Student Record Exchange
K-12 -&gt; LEA-to-SEA Student Record Exchange</t>
  </si>
  <si>
    <t>Early Learning -&gt; EL Child -&gt; Eligibility
Early Learning -&gt; EL Child -&gt; IDEA</t>
  </si>
  <si>
    <t>Assessments -&gt; Assessment Form -&gt; Assessment Form Section
Early Learning -&gt; Assessments -&gt; Assessment Design
K12 -&gt; Assessments -&gt; Assessment Form -&gt; Assessment Form Section</t>
  </si>
  <si>
    <t>Early Learning -&gt; EL Child -&gt; EL Health Information -&gt; Immunization
K12 -&gt; K12 Student -&gt; Health</t>
  </si>
  <si>
    <t>Early Learning -&gt; Program Compliance
K-12 -&gt; LEA-to-LEA Student Record Exchange
K-12 -&gt; LEA-to-SEA Student Record Exchange</t>
  </si>
  <si>
    <t xml:space="preserve">Primary
Secondary
</t>
  </si>
  <si>
    <t xml:space="preserve">Victim
Perpetrator
Witness
Reporter
</t>
  </si>
  <si>
    <t>Early Learning -&gt; EL Child -&gt; Individualized Program
K12 -&gt; K12 Student -&gt; Individualized Program</t>
  </si>
  <si>
    <t xml:space="preserve">Daily
Weekly
Biweekly
Monthly
Bimonthly
Quarterly
Semiannually
Annually
Other
</t>
  </si>
  <si>
    <t>Early Learning -&gt; EL Organization -&gt; Telephone
K12 -&gt; K12 School -&gt; Telephone
K12 -&gt; LEA -&gt; Telephone</t>
  </si>
  <si>
    <t>Career and Technical -&gt; Course
Career and Technical -&gt; Course Section
K12 -&gt; Course Section -&gt; Directory
K12 -&gt; K12 Course</t>
  </si>
  <si>
    <t>Adult Education -&gt; AE Student -&gt; Program Participation (added)
Postsecondary -&gt; PS Student -&gt; Enrollment</t>
  </si>
  <si>
    <t xml:space="preserve">Credit
Contact
</t>
  </si>
  <si>
    <t>Assessments -&gt; Assessment
Assessments -&gt; Assessment Asset
Early Learning -&gt; EL Child -&gt; Language
Early Learning -&gt; EL Staff -&gt; Language
K12 -&gt; Assessments -&gt; Assessment
K12 -&gt; Assessments -&gt; Assessment Asset
K12 -&gt; K12 Student -&gt; Language</t>
  </si>
  <si>
    <t>Early Learning -&gt; Program Compliance
Early Learning -&gt; Program Entry
Early Learning -&gt; Staff Quality
Early Learning -&gt; Workforce Development
K-12 -&gt; EDFacts</t>
  </si>
  <si>
    <t>Early Learning -&gt; EL Class/Group -&gt; Structure
Early Learning -&gt; EL Organization -&gt; Cultural and Linguistic Diversity</t>
  </si>
  <si>
    <t>Early Learning -&gt; EL Child -&gt; Language
Early Learning -&gt; EL Staff -&gt; Language
K12 -&gt; K12 Student -&gt; Language</t>
  </si>
  <si>
    <t>Adult Education -&gt; AE Staff -&gt; Identity -&gt; Name
Adult Education -&gt; AE Student -&gt; Identity -&gt; Name
Career and Technical -&gt; CTE Staff -&gt; Identity -&gt; Name (added)
Career and Technical -&gt; CTE Student -&gt; Identity -&gt; Name
Early Learning -&gt; EL Child -&gt; Identity -&gt; Name
Early Learning -&gt; EL Staff -&gt; Identity -&gt; Name
Early Learning -&gt; EL Staff -&gt; Professional Development -&gt; Instructor (added)
Early Learning -&gt; Parent/Guardian -&gt; Identity -&gt; Name
K12 -&gt; K12 Staff -&gt; Identity -&gt; Name
K12 -&gt; K12 Student -&gt; Identity -&gt; Name
K12 -&gt; Parent/Guardian -&gt; Identity -&gt; Name
K12 -&gt; SEA -&gt; Contact -&gt; Name (added)
Postsecondary -&gt; Parent/Guardian -&gt; Identity -&gt; Name (added)
Postsecondary -&gt; PS Staff -&gt; Identity -&gt; Name
Postsecondary -&gt; PS Student -&gt; Graduate Student -&gt; Thesis/Dissertation Advisor (added)
Postsecondary -&gt; PS Student -&gt; Identity -&gt; Name
Workforce -&gt; Workforce Program Participant -&gt; Identity -&gt; Name</t>
  </si>
  <si>
    <t>K12 -&gt; K12 School -&gt; Address
Postsecondary -&gt; PS Institution -&gt; Address</t>
  </si>
  <si>
    <t>Assessments -&gt; Learner Action
K12 -&gt; Assessments -&gt; Learner Action</t>
  </si>
  <si>
    <t>Assessments -&gt; Learner Activity
K12 -&gt; Assessments -&gt; Learner Activity</t>
  </si>
  <si>
    <t xml:space="preserve">Week
Day
Hour
Minute
Second
</t>
  </si>
  <si>
    <t xml:space="preserve">Assignment
LearningResource
Activity
Lesson
</t>
  </si>
  <si>
    <t>Assessments -&gt; Learning Goal
K12 -&gt; Assessments -&gt; Learning Goal</t>
  </si>
  <si>
    <t>K12 -&gt; Learning Goal
Postsecondary -&gt; Learning Goal</t>
  </si>
  <si>
    <t xml:space="preserve">AndroidAccessibility
ARIA
ATK
AT-SPI
BlackberryAccessibility
iAccessible2
iOSAccessibility
JavaAccessibility
MacOSXAccessibility
MSAA
UIAutomation
</t>
  </si>
  <si>
    <t>K12 -&gt; Learning Resource
Learning Resources -&gt; Learning Resource
Postsecondary -&gt; Learning Resource</t>
  </si>
  <si>
    <t xml:space="preserve">Flashing
MotionSimulation
Sound
</t>
  </si>
  <si>
    <t xml:space="preserve">Auditory
ColorDependent
Tactile
TextOnImage
Textual
Visual
</t>
  </si>
  <si>
    <t xml:space="preserve">Ebook
Hardcover
Paperback
DAISY202
DAISY3
EPUB2
EPUB3
Other
</t>
  </si>
  <si>
    <t xml:space="preserve">Assesses
Teaches
Requires
TextComplexity
ReadingLevel
EducationalSubject
EducationLevel
</t>
  </si>
  <si>
    <t>Assessments -&gt; Learning Standards -&gt; Learning Resource Competency Alignment
Learning Resources -&gt; Learning Resource</t>
  </si>
  <si>
    <t xml:space="preserve">FullAudioControl
FullKeyboardControl
FullMouseControl
FullTouchControl
FullVideoControl
</t>
  </si>
  <si>
    <t xml:space="preserve">application
audio
example
image
message
model
multipart
text
video
</t>
  </si>
  <si>
    <t>K12 -&gt; Learning Resource
Learning Resources -&gt; Learning Resource</t>
  </si>
  <si>
    <t xml:space="preserve">Administrator
Mentor
Parent
Peer-Tutor
Specialist
Student
Teacher
Team
Other
</t>
  </si>
  <si>
    <t xml:space="preserve">Active
Expositive
Mixed
</t>
  </si>
  <si>
    <t xml:space="preserve">AlternativeText
AudioDescription
Braille
Captions
ChemML
DescribedMath
DisplayTransformability
Haptic
HighContrast
LargePrint
Latex
LongDescription
MathML
MusicBraille
NemethBraille
SignLanguage
StructuralNavigation
TactileGraphics
tactileObject
Transcript
</t>
  </si>
  <si>
    <t>K12 -&gt; Learning Resource
Learning Resources -&gt; Learning Resource -&gt; Peer Rating
Postsecondary -&gt; Learning Resource</t>
  </si>
  <si>
    <t>Assessments -&gt; Assessment Form
Assessments -&gt; Assessment Form -&gt; Assessment Form Section
K12 -&gt; Assessments -&gt; Assessment Form
K12 -&gt; Assessments -&gt; Assessment Form -&gt; Assessment Form Section</t>
  </si>
  <si>
    <t>Assessments -&gt; Learning Standards -&gt; Learning Standard Document
Early Learning -&gt; Assessments -&gt; Assessment Design
Learning Standards -&gt; Learning Standard Document</t>
  </si>
  <si>
    <t>Assessments -&gt; Learning Standards -&gt; Learning Standard Document
Learning Standards -&gt; Learning Standard Document</t>
  </si>
  <si>
    <t xml:space="preserve">Adopted
Draft
Published
Deprecated
Unknown
</t>
  </si>
  <si>
    <t>Assessments -&gt; Learning Standards -&gt; Learning Standard Item -&gt; Learning Standard Item Association
Learning Resources -&gt; Learning Resource (added)
Learning Standards -&gt; Learning Standard Item -&gt; Learning Standard Item Association</t>
  </si>
  <si>
    <t>Assessments -&gt; Learning Standards -&gt; Learning Standard Item -&gt; Learning Standard Item Association
Learning Resources -&gt; Learning Resource
Learning Standards -&gt; Learning Standard Item -&gt; Learning Standard Item Association</t>
  </si>
  <si>
    <t xml:space="preserve">Cognitive
Affective
Psychomotor
</t>
  </si>
  <si>
    <t>Assessments -&gt; Learning Standards -&gt; Learning Standard Item
Learning Standards -&gt; Learning Standard Item</t>
  </si>
  <si>
    <t>Assessments -&gt; Learning Standards -&gt; Learning Standard Item
Early Learning -&gt; Assessments -&gt; Assessment Design
Learning Standards -&gt; Learning Standard Item</t>
  </si>
  <si>
    <t xml:space="preserve">Vision
Hearing
Communication
Mobility
General
</t>
  </si>
  <si>
    <t>Assessments -&gt; Learning Standards -&gt; Learning Standard Item
K12 -&gt; Assessments -&gt; Learning Standard Item
Learning Standards -&gt; Learning Standard Item</t>
  </si>
  <si>
    <t>Adult Education -&gt; AE Provider
Postsecondary -&gt; PS Institution -&gt; Directory</t>
  </si>
  <si>
    <t>Assessments -&gt; Assessment Administration
Assessments -&gt; Assessment Registration
Assessments -&gt; Assessment Session
K12 -&gt; Assessments -&gt; Assessment Administration
K12 -&gt; Assessments -&gt; Assessment Registration
K12 -&gt; Assessments -&gt; Assessment Session
K12 -&gt; K12 Staff -&gt; Assignment
K12 -&gt; K12 Student -&gt; Enrollment
K12 -&gt; LEA -&gt; Identification
Postsecondary -&gt; PS Student -&gt; K12 Transcript</t>
  </si>
  <si>
    <t>K-12 -&gt; High School Feedback Report
K-12 -&gt; High School Generated Transcript
K-12 -&gt; LEA-to-LEA Student Record Exchange
K-12 -&gt; LEA-to-SEA Student Record Exchange
Postsecondary Education -&gt; Transition</t>
  </si>
  <si>
    <t xml:space="preserve">Chronic
Acute
None
</t>
  </si>
  <si>
    <t xml:space="preserve">Individual
Group
</t>
  </si>
  <si>
    <t>Early Learning -&gt; EL Child -&gt; Demographic (added)
K12 -&gt; K12 Student -&gt; Migrant</t>
  </si>
  <si>
    <t>Adult Education -&gt; AE Provider
Early Learning -&gt; EL Staff -&gt; Education
K12 -&gt; K12 School -&gt; Identification
Postsecondary -&gt; PS Institution -&gt; Directory
Postsecondary -&gt; PS Student -&gt; K12 Transcript</t>
  </si>
  <si>
    <t>Early Learning -&gt; Licensing
Early Learning -&gt; Program Compliance
Early Learning -&gt; Staff Quality
Early Learning -&gt; Workforce Development
K-12 -&gt; High School Feedback Report
K-12 -&gt; High School Generated Transcript
K-12 -&gt; LEA-to-LEA Student Record Exchange
K-12 -&gt; LEA-to-SEA Student Record Exchange
K-12 -&gt; Teacher Compensation Survey
Postsecondary Education -&gt; IPEDS
Postsecondary Education -&gt; Transition</t>
  </si>
  <si>
    <t xml:space="preserve">Hours
Weeks
Quarters
Semesters
Years
</t>
  </si>
  <si>
    <t>Early Learning -&gt; EL Staff -&gt; Professional Development
K12 -&gt; Course Section -&gt; Enrollment
K12 -&gt; K12 Student -&gt; Academic Record
Postsecondary -&gt; PS Section -&gt; Enrollment</t>
  </si>
  <si>
    <t>K12 -&gt; Course Section -&gt; Enrollment
K12 -&gt; K12 Student -&gt; Attendance</t>
  </si>
  <si>
    <t>K-12 -&gt; High School Generated Transcript
K-12 -&gt; LEA-to-LEA Student Record Exchange
K-12 -&gt; LEA-to-SEA Student Record Exchange
K-12 -&gt; Teacher-Student Data Link -&gt; Enrollment</t>
  </si>
  <si>
    <t>Early Learning -&gt; EL Child -&gt; EL Educational Experiences
K12 -&gt; Course Section -&gt; Enrollment
K12 -&gt; K12 Student -&gt; Attendance</t>
  </si>
  <si>
    <t>Early Learning -&gt; Program Compliance
K-12 -&gt; High School Generated Transcript
K-12 -&gt; LEA-to-LEA Student Record Exchange
K-12 -&gt; LEA-to-SEA Student Record Exchange
K-12 -&gt; Teacher-Student Data Link -&gt; Enrollment</t>
  </si>
  <si>
    <t>Early Learning -&gt; EL Organization -&gt; Identifier
K12 -&gt; Facility
K12 -&gt; Organization (added)
K12 -&gt; Program (added)</t>
  </si>
  <si>
    <t xml:space="preserve">Announced
Unannounced
</t>
  </si>
  <si>
    <t>Early Learning -&gt; EL Staff -&gt; Employment
K12 -&gt; Facility
K12 -&gt; LEA -&gt; Identification
K12 -&gt; Organization (added)
K12 -&gt; Program (added)
K12 -&gt; SEA -&gt; Identification</t>
  </si>
  <si>
    <t xml:space="preserve">Active
Inactive
</t>
  </si>
  <si>
    <t>K12 -&gt; Organization
K12 -&gt; Program</t>
  </si>
  <si>
    <t>Early Learning -&gt; EL Organization -&gt; Identifier
K12 -&gt; K12 School -&gt; Identification
K12 -&gt; LEA -&gt; Identification
K12 -&gt; SEA -&gt; Identification</t>
  </si>
  <si>
    <t>Adult Education -&gt; AE Staff -&gt; Identity -&gt; Other Name
Adult Education -&gt; AE Student -&gt; Identity -&gt; Other Name
Career and Technical -&gt; CTE Staff -&gt; Identity -&gt; Other Name
Career and Technical -&gt; CTE Student -&gt; Identity -&gt; Other Name
Early Learning -&gt; EL Child -&gt; Identity -&gt; Other Name
Early Learning -&gt; EL Staff -&gt; Identity -&gt; Other Name
Early Learning -&gt; Parent/Guardian -&gt; Identity -&gt; Other Name
K12 -&gt; K12 Staff -&gt; Identity -&gt; Other Name
K12 -&gt; K12 Student -&gt; Identity -&gt; Other Name
K12 -&gt; Parent/Guardian -&gt; Identity -&gt; Other Name
K12 -&gt; SEA -&gt; Contact -&gt; Other Name
Postsecondary -&gt; Parent/Guardian -&gt; Identity -&gt; Other Name
Postsecondary -&gt; PS Staff -&gt; Identity -&gt; Other Name
Postsecondary -&gt; PS Student -&gt; Graduate Student -&gt; Thesis/Dissertation Advisor
Postsecondary -&gt; PS Student -&gt; Identity -&gt; Other Name
Workforce -&gt; Workforce Program Participant -&gt; Identity -&gt; Other Name</t>
  </si>
  <si>
    <t>Adult Education -&gt; AE Staff -&gt; Identity -&gt; Other Name
Adult Education -&gt; AE Student -&gt; Identity -&gt; Other Name
Career and Technical -&gt; CTE Staff -&gt; Identity -&gt; Other Name (added)
Career and Technical -&gt; CTE Student -&gt; Identity -&gt; Other Name
Early Learning -&gt; EL Child -&gt; Identity -&gt; Other Name
Early Learning -&gt; EL Staff -&gt; Identity -&gt; Other Name
Early Learning -&gt; Parent/Guardian -&gt; Identity -&gt; Other Name
K12 -&gt; K12 Staff -&gt; Identity -&gt; Other Name
K12 -&gt; K12 Student -&gt; Identity -&gt; Other Name
K12 -&gt; Parent/Guardian -&gt; Identity -&gt; Other Name
K12 -&gt; SEA -&gt; Contact -&gt; Other Name (added)
Postsecondary -&gt; Parent/Guardian -&gt; Identity -&gt; Other Name (added)
Postsecondary -&gt; PS Staff -&gt; Identity -&gt; Other Name
Postsecondary -&gt; PS Student -&gt; Graduate Student -&gt; Thesis/Dissertation Advisor (added)
Postsecondary -&gt; PS Student -&gt; Identity -&gt; Other Name
Workforce -&gt; Workforce Program Participant -&gt; Identity -&gt; Other Name</t>
  </si>
  <si>
    <t>Adult Education -&gt; AE Staff -&gt; Identity -&gt; Other Name
Adult Education -&gt; AE Student -&gt; Identity -&gt; Other Name
Career and Technical -&gt; CTE Staff -&gt; Identity -&gt; Other Name (added)
Career and Technical -&gt; CTE Student -&gt; Identity -&gt; Other Name
Early Learning -&gt; EL Child -&gt; Identity -&gt; Other Name
Early Learning -&gt; EL Staff -&gt; Identity -&gt; Other Name
Early Learning -&gt; Parent/Guardian -&gt; Identity -&gt; Other Name
K12 -&gt; K12 Staff -&gt; Identity -&gt; Other Name
K12 -&gt; K12 Student -&gt; Identity -&gt; Other Name
K12 -&gt; Parent/Guardian -&gt; Identity -&gt; Other Name
K12 -&gt; SEA -&gt; Contact -&gt; Other Name (added)
Postsecondary -&gt; Parent/Guardian -&gt; Identity -&gt; Other Name (added)
Postsecondary -&gt; PS Staff -&gt; Identity -&gt; Other Name
Postsecondary -&gt; PS Student -&gt; Identity -&gt; Other Name
Workforce -&gt; Workforce Program Participant -&gt; Identity -&gt; Other Name</t>
  </si>
  <si>
    <t>Early Learning -&gt; Staff Quality
Postsecondary Education -&gt; Complete College America
Postsecondary Education -&gt; IPEDS</t>
  </si>
  <si>
    <t>Early Learning -&gt; EL Child -&gt; EL Educational Experiences
K12 -&gt; K12 Student -&gt; Economically Disadvantaged</t>
  </si>
  <si>
    <t>K12 -&gt; Learning Resource -&gt; Peer Rating
Learning Resources -&gt; Learning Resource -&gt; Peer Rating
Postsecondary -&gt; Learning Resource -&gt; Peer Rating</t>
  </si>
  <si>
    <t>K12 -&gt; Learning Resource -&gt; Peer Rating System
Learning Resources -&gt; Peer Rating System
Postsecondary -&gt; Learning Resource -&gt; Peer Rating System</t>
  </si>
  <si>
    <t>Early Learning -&gt; Parent/Guardian
K12 -&gt; Parent/Guardian -&gt; Relationship
Postsecondary -&gt; Parent/Guardian -&gt; Relationship (added)</t>
  </si>
  <si>
    <t>Adult Education -&gt; AE Staff -&gt; Identity -&gt; Identification
Adult Education -&gt; AE Student -&gt; Identity -&gt; Identification
Career and Technical -&gt; CTE Staff -&gt; Identity -&gt; Identification (added)
Career and Technical -&gt; CTE Student -&gt; Identity -&gt; Identification
Early Learning -&gt; EL Child -&gt; Identity -&gt; Identification
K12 -&gt; K12 Staff -&gt; Identity -&gt; Identification
K12 -&gt; K12 Student -&gt; Identity -&gt; Identification
K12 -&gt; Parent/Guardian -&gt; Identity -&gt; Identification
Postsecondary -&gt; Parent/Guardian -&gt; Identity -&gt; Identification (added)
Postsecondary -&gt; PS Staff -&gt; Identity -&gt; Identification
Postsecondary -&gt; PS Student -&gt; Identity -&gt; Identification
Workforce -&gt; Workforce Program Participant -&gt; Identity -&gt; Identification</t>
  </si>
  <si>
    <t>Adult Education -&gt; AE Staff -&gt; Identity -&gt; Name
Adult Education -&gt; AE Student -&gt; Identity -&gt; Name
Career and Technical -&gt; CTE Staff -&gt; Identity -&gt; Name (added)
Career and Technical -&gt; CTE Student -&gt; Identity -&gt; Name
Early Learning -&gt; EL Staff -&gt; Identity -&gt; Name
Early Learning -&gt; EL Staff -&gt; Professional Development -&gt; Instructor (added)
Early Learning -&gt; Parent/Guardian -&gt; Identity -&gt; Name
K12 -&gt; K12 Staff -&gt; Identity -&gt; Name
K12 -&gt; K12 Student -&gt; Identity -&gt; Name
K12 -&gt; Parent/Guardian -&gt; Identity -&gt; Name
K12 -&gt; SEA -&gt; Contact -&gt; Name (added)
Postsecondary -&gt; Parent/Guardian -&gt; Identity -&gt; Name (added)
Postsecondary -&gt; PS Staff -&gt; Identity -&gt; Name
Postsecondary -&gt; PS Student -&gt; Identity -&gt; Name
Workforce -&gt; Workforce Program Participant -&gt; Identity -&gt; Name</t>
  </si>
  <si>
    <t>Early Learning -&gt; Staff Quality
K-12 -&gt; High School Generated Transcript
K-12 -&gt; LEA-to-LEA Student Record Exchange
K-12 -&gt; LEA-to-SEA Student Record Exchange</t>
  </si>
  <si>
    <t>Early Learning -&gt; EL Staff -&gt; Professional Development -&gt; Instructor (added)
K12 -&gt; K12 Staff -&gt; Employment
K12 -&gt; SEA -&gt; Contact (added)</t>
  </si>
  <si>
    <t xml:space="preserve">LowerDivision
UpperDivision
Dual
GraduateProfessional
Remedial
Ungraded
Other
</t>
  </si>
  <si>
    <t>Postsecondary Education -&gt; IPEDS -&gt; Graduation Rate
Postsecondary Education -&gt; IPEDS -&gt; Student Financial Aid</t>
  </si>
  <si>
    <t>Early Learning -&gt; Parent/Guardian
K12 -&gt; Parent/Guardian -&gt; Relationship
K12 -&gt; SEA -&gt; Contact</t>
  </si>
  <si>
    <t>Early Learning -&gt; EL Child -&gt; Developmental Assessments
K12 -&gt; K12 Student -&gt; Disability
Postsecondary -&gt; PS Student (added)</t>
  </si>
  <si>
    <t>Early Learning -&gt; Program Compliance
Early Learning -&gt; Program Entry
K-12 -&gt; EDFacts
K-12 -&gt; LEA-to-LEA Student Record Exchange
K-12 -&gt; LEA-to-SEA Student Record Exchange</t>
  </si>
  <si>
    <t>Adult Education -&gt; AE Staff -&gt; Contact -&gt; Telephone
Adult Education -&gt; AE Student -&gt; Contact -&gt; Telephone
Career and Technical -&gt; CTE Staff -&gt; Contact -&gt; Telephone (added)
Career and Technical -&gt; CTE Student -&gt; Contact -&gt; Telephone
Early Learning -&gt; EL Child -&gt; Contact -&gt; Telephone
Early Learning -&gt; EL Organization -&gt; Telephone
Early Learning -&gt; EL Staff -&gt; Contact -&gt; Telephone
Early Learning -&gt; EL Staff -&gt; Professional Development -&gt; Instructor (added)
Early Learning -&gt; Parent/Guardian -&gt; Contact -&gt; Telephone
K12 -&gt; K12 School -&gt; Telephone
K12 -&gt; K12 Staff -&gt; Contact -&gt; Telephone
K12 -&gt; K12 Student -&gt; Contact -&gt; Telephone
K12 -&gt; LEA -&gt; Telephone
K12 -&gt; Parent/Guardian -&gt; Contact -&gt; Telephone
K12 -&gt; SEA -&gt; Contact -&gt; Telephone (added)
Postsecondary -&gt; Parent/Guardian -&gt; Contact -&gt; Telephone (added)
Postsecondary -&gt; PS Student -&gt; Contact -&gt; Telephone</t>
  </si>
  <si>
    <t>Early Learning -&gt; EL Staff -&gt; Professional Development Activity
K12 -&gt; K12 Staff -&gt; Professional Development Activity</t>
  </si>
  <si>
    <t xml:space="preserve">Beginner
Intermediate
Advanced
</t>
  </si>
  <si>
    <t>Early Learning -&gt; EL Staff -&gt; Professional Development Activity -&gt; Session
K12 -&gt; K12 Staff -&gt; Professional Development Activity -&gt; Session</t>
  </si>
  <si>
    <t>Early Learning -&gt; EL Staff -&gt; Professional Development Activity -&gt; Session - Location
K12 -&gt; K12 Staff -&gt; Professional Development Activity -&gt; Session - Location</t>
  </si>
  <si>
    <t xml:space="preserve">Registering
Completed
Cancelled
</t>
  </si>
  <si>
    <t>Adult Education -&gt; AE Student -&gt; Academic Record
Career and Technical -&gt; CTE Student -&gt; Academic Record
K12 -&gt; K12 Student -&gt; Academic Record
Postsecondary -&gt; PS Student -&gt; Academic Record
Workforce -&gt; Workforce Program Participant -&gt; Academic Record</t>
  </si>
  <si>
    <t>Assessments -&gt; Assessment Item -&gt; Assessment Item Response
Early Learning -&gt; Assessments -&gt; Assessment Result
K12 -&gt; Assessments -&gt; Assessment Item -&gt; Assessment Item Response
K12 -&gt; K12 Student -&gt; Academic Record</t>
  </si>
  <si>
    <t>Early Learning -&gt; Program Quality
School Readiness</t>
  </si>
  <si>
    <t>K12 -&gt; K12 School -&gt; Institution Characteristics
K12 -&gt; K12 Student -&gt; Enrollment (added)
K12 -&gt; LEA -&gt; Programs and Services</t>
  </si>
  <si>
    <t>K12 -&gt; K12 Student -&gt; Program (added)
K12 -&gt; Program</t>
  </si>
  <si>
    <t>Career and Technical -&gt; Program
K12 -&gt; K12 Student -&gt; Program (added)
K12 -&gt; Program</t>
  </si>
  <si>
    <t>Career and Technical -&gt; CTE Student -&gt; Program Participation
Early Learning -&gt; EL Child -&gt; EL Educational Experiences
K12 -&gt; K12 Student -&gt; CTE
K12 -&gt; K12 Student -&gt; IDEA
K12 -&gt; K12 Student -&gt; Limited English Proficiency
K12 -&gt; K12 Student -&gt; Migrant
K12 -&gt; K12 Student -&gt; Neglected or Delinquent
K12 -&gt; K12 Student -&gt; Program
K12 -&gt; K12 Student -&gt; Title I</t>
  </si>
  <si>
    <t>Career and Technical -&gt; Program (added)
K12 -&gt; K12 Staff -&gt; Credential
K12 -&gt; Program (added)</t>
  </si>
  <si>
    <t>Career and Technical -&gt; Program
Early Learning -&gt; EL Organization -&gt; Program Characteristics
K12 -&gt; K12 School -&gt; Directory
K12 -&gt; K12 Student -&gt; Program</t>
  </si>
  <si>
    <t>Career and Technical -&gt; Course Section
K12 -&gt; Course Section -&gt; Directory
Postsecondary -&gt; PS Student -&gt; Graduate Student -&gt; Thesis/Dissertation Advisor (added)</t>
  </si>
  <si>
    <t>Career and Technical -&gt; Course Section
K12 -&gt; Course Section -&gt; Course</t>
  </si>
  <si>
    <t>K12 -&gt; Course Section -&gt; Enrollment (added)
K12 -&gt; K12 Student -&gt; Enrollment</t>
  </si>
  <si>
    <t>Early Learning -&gt; EL Organization -&gt; Name
K12 -&gt; Organization (added)</t>
  </si>
  <si>
    <t>Assessments -&gt; Assessment Item -&gt; Rubric
Assessments -&gt; Rubric
K12 -&gt; Assessments -&gt; Rubric</t>
  </si>
  <si>
    <t>Assessments -&gt; Assessment Administration
Assessments -&gt; Assessment Registration
Assessments -&gt; Assessment Session
K12 -&gt; Assessments -&gt; Assessment Administration
K12 -&gt; Assessments -&gt; Assessment Registration
K12 -&gt; Assessments -&gt; Assessment Session
K12 -&gt; K12 School -&gt; Identification
K12 -&gt; K12 Staff -&gt; Assignment
K12 -&gt; K12 Student -&gt; Enrollment
Postsecondary -&gt; PS Student -&gt; K12 Transcript</t>
  </si>
  <si>
    <t>K-12 -&gt; High School Feedback Report
K-12 -&gt; High School Generated Transcript
K-12 -&gt; LEA-to-LEA Student Record Exchange
K-12 -&gt; LEA-to-SEA Student Record Exchange
K-12 -&gt; Teacher Compensation Survey
K-12 -&gt; Teacher-Student Data Link -&gt; Class Section
Postsecondary Education -&gt; Transition</t>
  </si>
  <si>
    <t>K12 -&gt; Calendar -&gt; Period
K12 -&gt; K12 School -&gt; Session</t>
  </si>
  <si>
    <t>Career and Technical -&gt; Course Section
K12 -&gt; Course Section -&gt; Directory
Postsecondary -&gt; PS Institution -&gt; Directory</t>
  </si>
  <si>
    <t>Adult Education -&gt; AE Student -&gt; Demographic
Career and Technical -&gt; CTE Student -&gt; Demographic
Early Learning -&gt; EL Child -&gt; Demographic
Early Learning -&gt; EL Staff -&gt; Demographic
K12 -&gt; K12 Staff -&gt; Demographic
K12 -&gt; K12 Student -&gt; Demographic
K12 -&gt; Parent/Guardian -&gt; Demographic (added)
Postsecondary -&gt; PS Staff -&gt; Demographic
Postsecondary -&gt; PS Student -&gt; Demographic</t>
  </si>
  <si>
    <t>Early Learning -&gt; Program Entry
Early Learning -&gt; Staff Quality
Early Learning -&gt; Workforce Development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IPEDS -&gt; HR
Postsecondary Education -&gt; Transition</t>
  </si>
  <si>
    <t>Adult Education -&gt; AE Student -&gt; Status
Career and Technical -&gt; CTE Student -&gt; Program Participation
K12 -&gt; K12 Student -&gt; CTE
Postsecondary -&gt; PS Student -&gt; Demographic (added)</t>
  </si>
  <si>
    <t>Adult Education -&gt; AE Staff -&gt; Identity -&gt; Identification
Adult Education -&gt; AE Student -&gt; Identity -&gt; Identification
Career and Technical -&gt; CTE Staff -&gt; Identity -&gt; Identification (added)
Career and Technical -&gt; CTE Student -&gt; Identity -&gt; Identification
Early Learning -&gt; EL Child -&gt; Identity -&gt; Identification
K12 -&gt; K12 Staff -&gt; Identity -&gt; Identification
K12 -&gt; K12 Student -&gt; Identity -&gt; Identification
K12 -&gt; Parent/Guardian -&gt; Identity -&gt; Identification
Postsecondary -&gt; Parent/Guardian -&gt; Identity -&gt; Identification (added)
Postsecondary -&gt; PS Section -&gt; Enrollment
Postsecondary -&gt; PS Staff -&gt; Identity -&gt; Identification
Postsecondary -&gt; PS Student -&gt; Identity -&gt; Identification
Workforce -&gt; Quarterly Employment Record
Workforce -&gt; Workforce Program Participant -&gt; Identity -&gt; Identification</t>
  </si>
  <si>
    <t>Postsecondary Education -&gt; Complete College America
Postsecondary Education -&gt; IPEDS
Postsecondary Education -&gt; IPEDS -&gt; HR</t>
  </si>
  <si>
    <t>Early Learning -&gt; EL Child -&gt; IDEA (added)
K12 -&gt; K12 Student -&gt; IDEA</t>
  </si>
  <si>
    <t>Early Learning -&gt; EL Child -&gt; EL Educational Experiences -&gt; Special Education
K12 -&gt; K12 Student -&gt; IDEA</t>
  </si>
  <si>
    <t>Early Learning -&gt; EL Staff -&gt; Employment (added)
K12 -&gt; K12 Staff -&gt; Assignment</t>
  </si>
  <si>
    <t>K-12 -&gt; Civil Rights Data Collection
K-12 -&gt; Teacher Compensation Survey</t>
  </si>
  <si>
    <t>Adult Education -&gt; AE Staff -&gt; Identity -&gt; Identification
Career and Technical -&gt; CTE Staff -&gt; Identity -&gt; Identification (added)
Early Learning -&gt; EL Staff -&gt; Identity -&gt; Identifier
Early Learning -&gt; EL Staff -&gt; Professional Development -&gt; Instructor (added)
K12 -&gt; Course Section -&gt; Staff
K12 -&gt; K12 Staff -&gt; Identity -&gt; Identification
Postsecondary -&gt; PS Section -&gt; Instructor (added)
Postsecondary -&gt; PS Staff -&gt; Identity -&gt; Identification</t>
  </si>
  <si>
    <t>Early Learning -&gt; Staff Quality
K-12 -&gt; LEA-to-LEA Student Record Exchange
K-12 -&gt; LEA-to-SEA Student Record Exchange
K-12 -&gt; Teacher Compensation Survey
K-12 -&gt; Teacher-Student Data Link -&gt; Staff Assignment</t>
  </si>
  <si>
    <t>Early Learning -&gt; Staff Quality
K-12 -&gt; LEA-to-LEA Student Record Exchange
K-12 -&gt; LEA-to-SEA Student Record Exchange
K-12 -&gt; Teacher Compensation Survey
K-12 -&gt; Teacher-Student Data Link -&gt; Staff Assignment
Postsecondary Education -&gt; IPEDS -&gt; HR</t>
  </si>
  <si>
    <t xml:space="preserve">SAT_Reading
SAT_Writing
SAT_Math
SAT_Total
ACT_English
ACT_Math
ACT_Reading
ACT_Science
ACT_Composite
COMPASS_reading
COMPASS_writing
COMPASS_math
Accuplacer_reading
Accuplacer_writing
Accuplacer_math
Other
</t>
  </si>
  <si>
    <t>Early Learning -&gt; Licensing
Early Learning -&gt; Program Compliance
Early Learning -&gt; Program Entry
Early Learning -&gt; Staff Quality
Early Learning -&gt; Workforce Development
K-12 -&gt; High School Feedback Report
K-12 -&gt; High School Generated Transcript
K-12 -&gt; LEA-to-LEA Student Record Exchange
K-12 -&gt; LEA-to-SEA Student Record Exchange
K-12 -&gt; Teacher Compensation Survey
Postsecondary Education -&gt; Complete College America
Postsecondary Education -&gt; IPEDS
Postsecondary Education -&gt; Transition</t>
  </si>
  <si>
    <t xml:space="preserve">State
Federal
</t>
  </si>
  <si>
    <t>Early Learning -&gt; Staff Quality
K-12 -&gt; EDFacts
K-12 -&gt; Teacher Compensation Survey</t>
  </si>
  <si>
    <t>K-12 -&gt; Consolidated State Performance Report
K-12 -&gt; EDFacts</t>
  </si>
  <si>
    <t>K12 -&gt; K12 Student -&gt; Economically Disadvantaged
K12 -&gt; K12 Student -&gt; Homeless
K12 -&gt; K12 Student -&gt; Immigrant</t>
  </si>
  <si>
    <t>Adult Education -&gt; AE Student -&gt; Identity -&gt; Identification
Career and Technical -&gt; CTE Student -&gt; Identity -&gt; Identification
K12 -&gt; Course Section -&gt; Enrollment
K12 -&gt; K12 Student -&gt; Identity -&gt; Identification
K12 -&gt; K12 Student -&gt; Migrant
Postsecondary -&gt; PS Section -&gt; Enrollment
Postsecondary -&gt; PS Student -&gt; Identity -&gt; Identification
Postsecondary -&gt; PS Student -&gt; K12 Transcript</t>
  </si>
  <si>
    <t>K-12 -&gt; High School Generated Transcript
K-12 -&gt; LEA-to-LEA Student Record Exchange
K-12 -&gt; LEA-to-SEA Student Record Exchange
K-12 -&gt; Teacher-Student Data Link -&gt; Enrollment
Postsecondary Education -&gt; Transition</t>
  </si>
  <si>
    <t xml:space="preserve">Undergraduate
Graduate
</t>
  </si>
  <si>
    <t>K12 -&gt; K12 School -&gt; Institution Characteristics
K12 -&gt; K12 Student -&gt; Individualized Program</t>
  </si>
  <si>
    <t>Career and Technical -&gt; CTE Staff -&gt; Credential (added)
K12 -&gt; K12 Staff -&gt; Credential
Postsecondary -&gt; PS Student -&gt; Teacher Education/Preparation</t>
  </si>
  <si>
    <t>K12 -&gt; K12 Staff -&gt; Credential
Postsecondary -&gt; PS Student -&gt; Teacher Education/Preparation</t>
  </si>
  <si>
    <t>Early Learning -&gt; EL Organization -&gt; Professional Development
K12 -&gt; K12 School -&gt; Technical Assistance
K12 -&gt; K12 Staff -&gt; Technical Assistance
K12 -&gt; LEA -&gt; Technical Assistance</t>
  </si>
  <si>
    <t>Adult Education -&gt; AE Staff -&gt; Contact -&gt; Telephone
Adult Education -&gt; AE Student -&gt; Contact -&gt; Telephone
Career and Technical -&gt; CTE Staff -&gt; Contact -&gt; Telephone (added)
Career and Technical -&gt; CTE Student -&gt; Contact -&gt; Telephone
Early Learning -&gt; EL Child -&gt; Contact -&gt; Telephone
Early Learning -&gt; EL Organization -&gt; Telephone
Early Learning -&gt; EL Staff -&gt; Contact -&gt; Telephone
Early Learning -&gt; EL Staff -&gt; Professional Development -&gt; Instructor (added)
Early Learning -&gt; EL Staff -&gt; Professional Development Activity -&gt; Session - Location (added)
Early Learning -&gt; Parent/Guardian -&gt; Contact -&gt; Telephone
K12 -&gt; K12 School -&gt; Telephone
K12 -&gt; K12 Staff -&gt; Contact -&gt; Telephone
K12 -&gt; K12 Staff -&gt; Professional Development Activity -&gt; Session - Location (added)
K12 -&gt; K12 Student -&gt; Contact -&gt; Telephone
K12 -&gt; LEA -&gt; Telephone
K12 -&gt; Parent/Guardian -&gt; Contact -&gt; Telephone
K12 -&gt; SEA -&gt; Contact -&gt; Telephone (added)
Postsecondary -&gt; Parent/Guardian -&gt; Contact -&gt; Telephone (added)
Postsecondary -&gt; PS Student -&gt; Contact -&gt; Telephone</t>
  </si>
  <si>
    <t>Adult Education -&gt; AE Staff -&gt; Contact -&gt; Telephone
Adult Education -&gt; AE Student -&gt; Contact -&gt; Telephone
Career and Technical -&gt; CTE Staff -&gt; Contact -&gt; Telephone (added)
Career and Technical -&gt; CTE Student -&gt; Contact -&gt; Telephone
Early Learning -&gt; EL Child -&gt; Contact -&gt; Telephone
Early Learning -&gt; EL Staff -&gt; Contact -&gt; Telephone
Early Learning -&gt; EL Staff -&gt; Professional Development -&gt; Instructor (added)
Early Learning -&gt; Parent/Guardian -&gt; Contact -&gt; Telephone
K12 -&gt; K12 Staff -&gt; Contact -&gt; Telephone
K12 -&gt; K12 Student -&gt; Contact -&gt; Telephone
K12 -&gt; Parent/Guardian -&gt; Contact -&gt; Telephone
K12 -&gt; SEA -&gt; Contact -&gt; Telephone (added)
Postsecondary -&gt; Parent/Guardian -&gt; Contact -&gt; Telephone (added)
Postsecondary -&gt; PS Student -&gt; Contact -&gt; Telephone</t>
  </si>
  <si>
    <t>K12 -&gt; K12 School -&gt; Institution Characteristics
K12 -&gt; LEA -&gt; Programs and Services</t>
  </si>
  <si>
    <t>Postsecondary -&gt; PS Staff -&gt; Demographic
Postsecondary -&gt; PS Student -&gt; Demographic</t>
  </si>
  <si>
    <t>Postsecondary Education -&gt; IPEDS
Postsecondary Education -&gt; IPEDS -&gt; HR</t>
  </si>
  <si>
    <t>Career and Technical -&gt; Course Section
K12 -&gt; Course Section -&gt; Directory
K12 -&gt; K12 School -&gt; Directory
Postsecondary -&gt; PS Institution -&gt; Directory</t>
  </si>
  <si>
    <t>Early Learning -&gt; EL Child -&gt; EL Health Information -&gt; Vision
K12 -&gt; K12 Student -&gt; Health (added)</t>
  </si>
  <si>
    <t>K12 -&gt; K12 School -&gt; Directory
K12 -&gt; LEA -&gt; Directory
K12 -&gt; SEA -&gt; Contact (added)</t>
  </si>
  <si>
    <t>Career and Technical -&gt; CTE Student -&gt; Program Participation
K12 -&gt; K12 Course
K12 -&gt; K12 Student -&gt; Program
Postsecondary -&gt; PS Student -&gt; Program</t>
  </si>
  <si>
    <r>
      <t>13297</t>
    </r>
    <r>
      <rPr>
        <sz val="11"/>
        <color theme="1"/>
        <rFont val="Calibri"/>
        <family val="2"/>
        <scheme val="minor"/>
      </rPr>
      <t xml:space="preserve"> - Absent - Disciplinary action, not receiving instruction
</t>
    </r>
    <r>
      <rPr>
        <b/>
        <sz val="11"/>
        <color theme="1"/>
        <rFont val="Calibri"/>
        <family val="2"/>
        <scheme val="minor"/>
      </rPr>
      <t>13299</t>
    </r>
    <r>
      <rPr>
        <sz val="11"/>
        <color theme="1"/>
        <rFont val="Calibri"/>
        <family val="2"/>
        <scheme val="minor"/>
      </rPr>
      <t xml:space="preserve"> - Absent - Family activity
</t>
    </r>
    <r>
      <rPr>
        <b/>
        <sz val="11"/>
        <color theme="1"/>
        <rFont val="Calibri"/>
        <family val="2"/>
        <scheme val="minor"/>
      </rPr>
      <t>13296</t>
    </r>
    <r>
      <rPr>
        <sz val="11"/>
        <color theme="1"/>
        <rFont val="Calibri"/>
        <family val="2"/>
        <scheme val="minor"/>
      </rPr>
      <t xml:space="preserve"> - Absent - Family emergency or bereavement
</t>
    </r>
    <r>
      <rPr>
        <b/>
        <sz val="11"/>
        <color theme="1"/>
        <rFont val="Calibri"/>
        <family val="2"/>
        <scheme val="minor"/>
      </rPr>
      <t>13295</t>
    </r>
    <r>
      <rPr>
        <sz val="11"/>
        <color theme="1"/>
        <rFont val="Calibri"/>
        <family val="2"/>
        <scheme val="minor"/>
      </rPr>
      <t xml:space="preserve"> - Absent - Illness, injury, health treatment, or examination
</t>
    </r>
    <r>
      <rPr>
        <b/>
        <sz val="11"/>
        <color theme="1"/>
        <rFont val="Calibri"/>
        <family val="2"/>
        <scheme val="minor"/>
      </rPr>
      <t>13298</t>
    </r>
    <r>
      <rPr>
        <sz val="11"/>
        <color theme="1"/>
        <rFont val="Calibri"/>
        <family val="2"/>
        <scheme val="minor"/>
      </rPr>
      <t xml:space="preserve"> - Absent - Legal or judicial requirement
</t>
    </r>
    <r>
      <rPr>
        <b/>
        <sz val="11"/>
        <color theme="1"/>
        <rFont val="Calibri"/>
        <family val="2"/>
        <scheme val="minor"/>
      </rPr>
      <t>13293</t>
    </r>
    <r>
      <rPr>
        <sz val="11"/>
        <color theme="1"/>
        <rFont val="Calibri"/>
        <family val="2"/>
        <scheme val="minor"/>
      </rPr>
      <t xml:space="preserve"> - Absent - Noninstructional activity recognized by state or school
</t>
    </r>
    <r>
      <rPr>
        <b/>
        <sz val="11"/>
        <color theme="1"/>
        <rFont val="Calibri"/>
        <family val="2"/>
        <scheme val="minor"/>
      </rPr>
      <t>13294</t>
    </r>
    <r>
      <rPr>
        <sz val="11"/>
        <color theme="1"/>
        <rFont val="Calibri"/>
        <family val="2"/>
        <scheme val="minor"/>
      </rPr>
      <t xml:space="preserve"> - Absent - Religious observation
</t>
    </r>
    <r>
      <rPr>
        <b/>
        <sz val="11"/>
        <color theme="1"/>
        <rFont val="Calibri"/>
        <family val="2"/>
        <scheme val="minor"/>
      </rPr>
      <t>13303</t>
    </r>
    <r>
      <rPr>
        <sz val="11"/>
        <color theme="1"/>
        <rFont val="Calibri"/>
        <family val="2"/>
        <scheme val="minor"/>
      </rPr>
      <t xml:space="preserve"> - Absent - Situation unknown
</t>
    </r>
    <r>
      <rPr>
        <b/>
        <sz val="11"/>
        <color theme="1"/>
        <rFont val="Calibri"/>
        <family val="2"/>
        <scheme val="minor"/>
      </rPr>
      <t>13300</t>
    </r>
    <r>
      <rPr>
        <sz val="11"/>
        <color theme="1"/>
        <rFont val="Calibri"/>
        <family val="2"/>
        <scheme val="minor"/>
      </rPr>
      <t xml:space="preserve"> - Absent - Student employment
</t>
    </r>
    <r>
      <rPr>
        <b/>
        <sz val="11"/>
        <color theme="1"/>
        <rFont val="Calibri"/>
        <family val="2"/>
        <scheme val="minor"/>
      </rPr>
      <t>13302</t>
    </r>
    <r>
      <rPr>
        <sz val="11"/>
        <color theme="1"/>
        <rFont val="Calibri"/>
        <family val="2"/>
        <scheme val="minor"/>
      </rPr>
      <t xml:space="preserve"> - Absent - Student is skipping school
</t>
    </r>
    <r>
      <rPr>
        <b/>
        <sz val="11"/>
        <color theme="1"/>
        <rFont val="Calibri"/>
        <family val="2"/>
        <scheme val="minor"/>
      </rPr>
      <t>13301</t>
    </r>
    <r>
      <rPr>
        <sz val="11"/>
        <color theme="1"/>
        <rFont val="Calibri"/>
        <family val="2"/>
        <scheme val="minor"/>
      </rPr>
      <t xml:space="preserve"> - Absent - Transportation not available
</t>
    </r>
  </si>
  <si>
    <r>
      <t>01</t>
    </r>
    <r>
      <rPr>
        <sz val="11"/>
        <color theme="1"/>
        <rFont val="Calibri"/>
        <family val="2"/>
        <scheme val="minor"/>
      </rPr>
      <t xml:space="preserve"> - Postsecondary award, certificate, or diploma of less than 1 academic year
</t>
    </r>
    <r>
      <rPr>
        <b/>
        <sz val="11"/>
        <color theme="1"/>
        <rFont val="Calibri"/>
        <family val="2"/>
        <scheme val="minor"/>
      </rPr>
      <t>02</t>
    </r>
    <r>
      <rPr>
        <sz val="11"/>
        <color theme="1"/>
        <rFont val="Calibri"/>
        <family val="2"/>
        <scheme val="minor"/>
      </rPr>
      <t xml:space="preserve"> - Postsecondary award, certificate, or diploma of at least 1 but less than 2 academic years
</t>
    </r>
    <r>
      <rPr>
        <b/>
        <sz val="11"/>
        <color theme="1"/>
        <rFont val="Calibri"/>
        <family val="2"/>
        <scheme val="minor"/>
      </rPr>
      <t>03</t>
    </r>
    <r>
      <rPr>
        <sz val="11"/>
        <color theme="1"/>
        <rFont val="Calibri"/>
        <family val="2"/>
        <scheme val="minor"/>
      </rPr>
      <t xml:space="preserve"> - Associate's Degree
</t>
    </r>
    <r>
      <rPr>
        <b/>
        <sz val="11"/>
        <color theme="1"/>
        <rFont val="Calibri"/>
        <family val="2"/>
        <scheme val="minor"/>
      </rPr>
      <t>04</t>
    </r>
    <r>
      <rPr>
        <sz val="11"/>
        <color theme="1"/>
        <rFont val="Calibri"/>
        <family val="2"/>
        <scheme val="minor"/>
      </rPr>
      <t xml:space="preserve"> - Postsecondary award, certificate, or diploma of at least 2 but less than 4 academic years
</t>
    </r>
    <r>
      <rPr>
        <b/>
        <sz val="11"/>
        <color theme="1"/>
        <rFont val="Calibri"/>
        <family val="2"/>
        <scheme val="minor"/>
      </rPr>
      <t>05</t>
    </r>
    <r>
      <rPr>
        <sz val="11"/>
        <color theme="1"/>
        <rFont val="Calibri"/>
        <family val="2"/>
        <scheme val="minor"/>
      </rPr>
      <t xml:space="preserve"> - Bachelor's Degree
</t>
    </r>
    <r>
      <rPr>
        <b/>
        <sz val="11"/>
        <color theme="1"/>
        <rFont val="Calibri"/>
        <family val="2"/>
        <scheme val="minor"/>
      </rPr>
      <t>06</t>
    </r>
    <r>
      <rPr>
        <sz val="11"/>
        <color theme="1"/>
        <rFont val="Calibri"/>
        <family val="2"/>
        <scheme val="minor"/>
      </rPr>
      <t xml:space="preserve"> - Postbaccalaureate Certificate
</t>
    </r>
    <r>
      <rPr>
        <b/>
        <sz val="11"/>
        <color theme="1"/>
        <rFont val="Calibri"/>
        <family val="2"/>
        <scheme val="minor"/>
      </rPr>
      <t>07</t>
    </r>
    <r>
      <rPr>
        <sz val="11"/>
        <color theme="1"/>
        <rFont val="Calibri"/>
        <family val="2"/>
        <scheme val="minor"/>
      </rPr>
      <t xml:space="preserve"> - Master's Degree
</t>
    </r>
    <r>
      <rPr>
        <b/>
        <sz val="11"/>
        <color theme="1"/>
        <rFont val="Calibri"/>
        <family val="2"/>
        <scheme val="minor"/>
      </rPr>
      <t>08</t>
    </r>
    <r>
      <rPr>
        <sz val="11"/>
        <color theme="1"/>
        <rFont val="Calibri"/>
        <family val="2"/>
        <scheme val="minor"/>
      </rPr>
      <t xml:space="preserve"> - Post-Master's Certificate
</t>
    </r>
    <r>
      <rPr>
        <b/>
        <sz val="11"/>
        <color theme="1"/>
        <rFont val="Calibri"/>
        <family val="2"/>
        <scheme val="minor"/>
      </rPr>
      <t>17</t>
    </r>
    <r>
      <rPr>
        <sz val="11"/>
        <color theme="1"/>
        <rFont val="Calibri"/>
        <family val="2"/>
        <scheme val="minor"/>
      </rPr>
      <t xml:space="preserve"> - Doctor's Degree-Research/Scholarship
</t>
    </r>
    <r>
      <rPr>
        <b/>
        <sz val="11"/>
        <color theme="1"/>
        <rFont val="Calibri"/>
        <family val="2"/>
        <scheme val="minor"/>
      </rPr>
      <t>18</t>
    </r>
    <r>
      <rPr>
        <sz val="11"/>
        <color theme="1"/>
        <rFont val="Calibri"/>
        <family val="2"/>
        <scheme val="minor"/>
      </rPr>
      <t xml:space="preserve"> - Doctor's Degree-Professional Practice
</t>
    </r>
    <r>
      <rPr>
        <b/>
        <sz val="11"/>
        <color theme="1"/>
        <rFont val="Calibri"/>
        <family val="2"/>
        <scheme val="minor"/>
      </rPr>
      <t>19</t>
    </r>
    <r>
      <rPr>
        <sz val="11"/>
        <color theme="1"/>
        <rFont val="Calibri"/>
        <family val="2"/>
        <scheme val="minor"/>
      </rPr>
      <t xml:space="preserve"> - Doctor's Degree-Other
</t>
    </r>
  </si>
  <si>
    <r>
      <t>01985</t>
    </r>
    <r>
      <rPr>
        <sz val="11"/>
        <color theme="1"/>
        <rFont val="Calibri"/>
        <family val="2"/>
        <scheme val="minor"/>
      </rPr>
      <t xml:space="preserve"> - Honor roll
</t>
    </r>
    <r>
      <rPr>
        <b/>
        <sz val="11"/>
        <color theme="1"/>
        <rFont val="Calibri"/>
        <family val="2"/>
        <scheme val="minor"/>
      </rPr>
      <t>01986</t>
    </r>
    <r>
      <rPr>
        <sz val="11"/>
        <color theme="1"/>
        <rFont val="Calibri"/>
        <family val="2"/>
        <scheme val="minor"/>
      </rPr>
      <t xml:space="preserve"> - Honor society
</t>
    </r>
    <r>
      <rPr>
        <b/>
        <sz val="11"/>
        <color theme="1"/>
        <rFont val="Calibri"/>
        <family val="2"/>
        <scheme val="minor"/>
      </rPr>
      <t>01987</t>
    </r>
    <r>
      <rPr>
        <sz val="11"/>
        <color theme="1"/>
        <rFont val="Calibri"/>
        <family val="2"/>
        <scheme val="minor"/>
      </rPr>
      <t xml:space="preserve"> - Honorable mention
</t>
    </r>
    <r>
      <rPr>
        <b/>
        <sz val="11"/>
        <color theme="1"/>
        <rFont val="Calibri"/>
        <family val="2"/>
        <scheme val="minor"/>
      </rPr>
      <t>01988</t>
    </r>
    <r>
      <rPr>
        <sz val="11"/>
        <color theme="1"/>
        <rFont val="Calibri"/>
        <family val="2"/>
        <scheme val="minor"/>
      </rPr>
      <t xml:space="preserve"> - Honors program
</t>
    </r>
    <r>
      <rPr>
        <b/>
        <sz val="11"/>
        <color theme="1"/>
        <rFont val="Calibri"/>
        <family val="2"/>
        <scheme val="minor"/>
      </rPr>
      <t>73064</t>
    </r>
    <r>
      <rPr>
        <sz val="11"/>
        <color theme="1"/>
        <rFont val="Calibri"/>
        <family val="2"/>
        <scheme val="minor"/>
      </rPr>
      <t xml:space="preserve"> - National Technical Education Honor Society
</t>
    </r>
    <r>
      <rPr>
        <b/>
        <sz val="11"/>
        <color theme="1"/>
        <rFont val="Calibri"/>
        <family val="2"/>
        <scheme val="minor"/>
      </rPr>
      <t>01989</t>
    </r>
    <r>
      <rPr>
        <sz val="11"/>
        <color theme="1"/>
        <rFont val="Calibri"/>
        <family val="2"/>
        <scheme val="minor"/>
      </rPr>
      <t xml:space="preserve"> - Prize awards
</t>
    </r>
    <r>
      <rPr>
        <b/>
        <sz val="11"/>
        <color theme="1"/>
        <rFont val="Calibri"/>
        <family val="2"/>
        <scheme val="minor"/>
      </rPr>
      <t>01991</t>
    </r>
    <r>
      <rPr>
        <sz val="11"/>
        <color theme="1"/>
        <rFont val="Calibri"/>
        <family val="2"/>
        <scheme val="minor"/>
      </rPr>
      <t xml:space="preserve"> - Scholarships
</t>
    </r>
    <r>
      <rPr>
        <b/>
        <sz val="11"/>
        <color theme="1"/>
        <rFont val="Calibri"/>
        <family val="2"/>
        <scheme val="minor"/>
      </rPr>
      <t>00738</t>
    </r>
    <r>
      <rPr>
        <sz val="11"/>
        <color theme="1"/>
        <rFont val="Calibri"/>
        <family val="2"/>
        <scheme val="minor"/>
      </rPr>
      <t xml:space="preserve"> - Awarding of units of value
</t>
    </r>
    <r>
      <rPr>
        <b/>
        <sz val="11"/>
        <color theme="1"/>
        <rFont val="Calibri"/>
        <family val="2"/>
        <scheme val="minor"/>
      </rPr>
      <t>00740</t>
    </r>
    <r>
      <rPr>
        <sz val="11"/>
        <color theme="1"/>
        <rFont val="Calibri"/>
        <family val="2"/>
        <scheme val="minor"/>
      </rPr>
      <t xml:space="preserve"> - Citizenship award/recognition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08692</t>
    </r>
    <r>
      <rPr>
        <sz val="11"/>
        <color theme="1"/>
        <rFont val="Calibri"/>
        <family val="2"/>
        <scheme val="minor"/>
      </rPr>
      <t xml:space="preserve"> - Attendance award
</t>
    </r>
    <r>
      <rPr>
        <b/>
        <sz val="11"/>
        <color theme="1"/>
        <rFont val="Calibri"/>
        <family val="2"/>
        <scheme val="minor"/>
      </rPr>
      <t>00742</t>
    </r>
    <r>
      <rPr>
        <sz val="11"/>
        <color theme="1"/>
        <rFont val="Calibri"/>
        <family val="2"/>
        <scheme val="minor"/>
      </rPr>
      <t xml:space="preserve"> - Certificate
</t>
    </r>
    <r>
      <rPr>
        <b/>
        <sz val="11"/>
        <color theme="1"/>
        <rFont val="Calibri"/>
        <family val="2"/>
        <scheme val="minor"/>
      </rPr>
      <t>02047</t>
    </r>
    <r>
      <rPr>
        <sz val="11"/>
        <color theme="1"/>
        <rFont val="Calibri"/>
        <family val="2"/>
        <scheme val="minor"/>
      </rPr>
      <t xml:space="preserve"> - Honor award
</t>
    </r>
    <r>
      <rPr>
        <b/>
        <sz val="11"/>
        <color theme="1"/>
        <rFont val="Calibri"/>
        <family val="2"/>
        <scheme val="minor"/>
      </rPr>
      <t>00744</t>
    </r>
    <r>
      <rPr>
        <sz val="11"/>
        <color theme="1"/>
        <rFont val="Calibri"/>
        <family val="2"/>
        <scheme val="minor"/>
      </rPr>
      <t xml:space="preserve"> - Letter of student commendation
</t>
    </r>
    <r>
      <rPr>
        <b/>
        <sz val="11"/>
        <color theme="1"/>
        <rFont val="Calibri"/>
        <family val="2"/>
        <scheme val="minor"/>
      </rPr>
      <t>00745</t>
    </r>
    <r>
      <rPr>
        <sz val="11"/>
        <color theme="1"/>
        <rFont val="Calibri"/>
        <family val="2"/>
        <scheme val="minor"/>
      </rPr>
      <t xml:space="preserve"> - Medals
</t>
    </r>
    <r>
      <rPr>
        <b/>
        <sz val="11"/>
        <color theme="1"/>
        <rFont val="Calibri"/>
        <family val="2"/>
        <scheme val="minor"/>
      </rPr>
      <t>08693</t>
    </r>
    <r>
      <rPr>
        <sz val="11"/>
        <color theme="1"/>
        <rFont val="Calibri"/>
        <family val="2"/>
        <scheme val="minor"/>
      </rPr>
      <t xml:space="preserve"> - National Merit scholar
</t>
    </r>
    <r>
      <rPr>
        <b/>
        <sz val="11"/>
        <color theme="1"/>
        <rFont val="Calibri"/>
        <family val="2"/>
        <scheme val="minor"/>
      </rPr>
      <t>00747</t>
    </r>
    <r>
      <rPr>
        <sz val="11"/>
        <color theme="1"/>
        <rFont val="Calibri"/>
        <family val="2"/>
        <scheme val="minor"/>
      </rPr>
      <t xml:space="preserve"> - Points
</t>
    </r>
    <r>
      <rPr>
        <b/>
        <sz val="11"/>
        <color theme="1"/>
        <rFont val="Calibri"/>
        <family val="2"/>
        <scheme val="minor"/>
      </rPr>
      <t>00748</t>
    </r>
    <r>
      <rPr>
        <sz val="11"/>
        <color theme="1"/>
        <rFont val="Calibri"/>
        <family val="2"/>
        <scheme val="minor"/>
      </rPr>
      <t xml:space="preserve"> - Promotion or advancement
</t>
    </r>
    <r>
      <rPr>
        <b/>
        <sz val="11"/>
        <color theme="1"/>
        <rFont val="Calibri"/>
        <family val="2"/>
        <scheme val="minor"/>
      </rPr>
      <t>09999</t>
    </r>
    <r>
      <rPr>
        <sz val="11"/>
        <color theme="1"/>
        <rFont val="Calibri"/>
        <family val="2"/>
        <scheme val="minor"/>
      </rPr>
      <t xml:space="preserve"> - Other
</t>
    </r>
  </si>
  <si>
    <r>
      <t>Professor</t>
    </r>
    <r>
      <rPr>
        <sz val="11"/>
        <color theme="1"/>
        <rFont val="Calibri"/>
        <family val="2"/>
        <scheme val="minor"/>
      </rPr>
      <t xml:space="preserve"> - Professor
</t>
    </r>
    <r>
      <rPr>
        <b/>
        <sz val="11"/>
        <color theme="1"/>
        <rFont val="Calibri"/>
        <family val="2"/>
        <scheme val="minor"/>
      </rPr>
      <t>AssociateProfessor</t>
    </r>
    <r>
      <rPr>
        <sz val="11"/>
        <color theme="1"/>
        <rFont val="Calibri"/>
        <family val="2"/>
        <scheme val="minor"/>
      </rPr>
      <t xml:space="preserve"> - Associate Professor
</t>
    </r>
    <r>
      <rPr>
        <b/>
        <sz val="11"/>
        <color theme="1"/>
        <rFont val="Calibri"/>
        <family val="2"/>
        <scheme val="minor"/>
      </rPr>
      <t>AssistantProfessor</t>
    </r>
    <r>
      <rPr>
        <sz val="11"/>
        <color theme="1"/>
        <rFont val="Calibri"/>
        <family val="2"/>
        <scheme val="minor"/>
      </rPr>
      <t xml:space="preserve"> - Assistant Professor
</t>
    </r>
    <r>
      <rPr>
        <b/>
        <sz val="11"/>
        <color theme="1"/>
        <rFont val="Calibri"/>
        <family val="2"/>
        <scheme val="minor"/>
      </rPr>
      <t>Instructor</t>
    </r>
    <r>
      <rPr>
        <sz val="11"/>
        <color theme="1"/>
        <rFont val="Calibri"/>
        <family val="2"/>
        <scheme val="minor"/>
      </rPr>
      <t xml:space="preserve"> - Instructor
</t>
    </r>
    <r>
      <rPr>
        <b/>
        <sz val="11"/>
        <color theme="1"/>
        <rFont val="Calibri"/>
        <family val="2"/>
        <scheme val="minor"/>
      </rPr>
      <t>Lecturer</t>
    </r>
    <r>
      <rPr>
        <sz val="11"/>
        <color theme="1"/>
        <rFont val="Calibri"/>
        <family val="2"/>
        <scheme val="minor"/>
      </rPr>
      <t xml:space="preserve"> - Lecturer
</t>
    </r>
    <r>
      <rPr>
        <b/>
        <sz val="11"/>
        <color theme="1"/>
        <rFont val="Calibri"/>
        <family val="2"/>
        <scheme val="minor"/>
      </rPr>
      <t>NoAcademicRank</t>
    </r>
    <r>
      <rPr>
        <sz val="11"/>
        <color theme="1"/>
        <rFont val="Calibri"/>
        <family val="2"/>
        <scheme val="minor"/>
      </rPr>
      <t xml:space="preserve"> - No Academic Rank
</t>
    </r>
  </si>
  <si>
    <r>
      <t>Fall</t>
    </r>
    <r>
      <rPr>
        <sz val="11"/>
        <color theme="1"/>
        <rFont val="Calibri"/>
        <family val="2"/>
        <scheme val="minor"/>
      </rPr>
      <t xml:space="preserve"> - Fall
</t>
    </r>
    <r>
      <rPr>
        <b/>
        <sz val="11"/>
        <color theme="1"/>
        <rFont val="Calibri"/>
        <family val="2"/>
        <scheme val="minor"/>
      </rPr>
      <t>Winter</t>
    </r>
    <r>
      <rPr>
        <sz val="11"/>
        <color theme="1"/>
        <rFont val="Calibri"/>
        <family val="2"/>
        <scheme val="minor"/>
      </rPr>
      <t xml:space="preserve"> - Winter
</t>
    </r>
    <r>
      <rPr>
        <b/>
        <sz val="11"/>
        <color theme="1"/>
        <rFont val="Calibri"/>
        <family val="2"/>
        <scheme val="minor"/>
      </rPr>
      <t>WinterIntersession</t>
    </r>
    <r>
      <rPr>
        <sz val="11"/>
        <color theme="1"/>
        <rFont val="Calibri"/>
        <family val="2"/>
        <scheme val="minor"/>
      </rPr>
      <t xml:space="preserve"> - Winter Intersession
</t>
    </r>
    <r>
      <rPr>
        <b/>
        <sz val="11"/>
        <color theme="1"/>
        <rFont val="Calibri"/>
        <family val="2"/>
        <scheme val="minor"/>
      </rPr>
      <t>Spring</t>
    </r>
    <r>
      <rPr>
        <sz val="11"/>
        <color theme="1"/>
        <rFont val="Calibri"/>
        <family val="2"/>
        <scheme val="minor"/>
      </rPr>
      <t xml:space="preserve"> - Spring
</t>
    </r>
    <r>
      <rPr>
        <b/>
        <sz val="11"/>
        <color theme="1"/>
        <rFont val="Calibri"/>
        <family val="2"/>
        <scheme val="minor"/>
      </rPr>
      <t>Summer</t>
    </r>
    <r>
      <rPr>
        <sz val="11"/>
        <color theme="1"/>
        <rFont val="Calibri"/>
        <family val="2"/>
        <scheme val="minor"/>
      </rPr>
      <t xml:space="preserve"> - Summer
</t>
    </r>
    <r>
      <rPr>
        <b/>
        <sz val="11"/>
        <color theme="1"/>
        <rFont val="Calibri"/>
        <family val="2"/>
        <scheme val="minor"/>
      </rPr>
      <t>Summer1</t>
    </r>
    <r>
      <rPr>
        <sz val="11"/>
        <color theme="1"/>
        <rFont val="Calibri"/>
        <family val="2"/>
        <scheme val="minor"/>
      </rPr>
      <t xml:space="preserve"> - Summer 1
</t>
    </r>
    <r>
      <rPr>
        <b/>
        <sz val="11"/>
        <color theme="1"/>
        <rFont val="Calibri"/>
        <family val="2"/>
        <scheme val="minor"/>
      </rPr>
      <t>Summer2</t>
    </r>
    <r>
      <rPr>
        <sz val="11"/>
        <color theme="1"/>
        <rFont val="Calibri"/>
        <family val="2"/>
        <scheme val="minor"/>
      </rPr>
      <t xml:space="preserve"> - Summer 2
</t>
    </r>
    <r>
      <rPr>
        <b/>
        <sz val="11"/>
        <color theme="1"/>
        <rFont val="Calibri"/>
        <family val="2"/>
        <scheme val="minor"/>
      </rPr>
      <t>SpringIntersession</t>
    </r>
    <r>
      <rPr>
        <sz val="11"/>
        <color theme="1"/>
        <rFont val="Calibri"/>
        <family val="2"/>
        <scheme val="minor"/>
      </rPr>
      <t xml:space="preserve"> - Spring Intersession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</si>
  <si>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Materials in Braille
</t>
    </r>
    <r>
      <rPr>
        <b/>
        <sz val="11"/>
        <color theme="1"/>
        <rFont val="Calibri"/>
        <family val="2"/>
        <scheme val="minor"/>
      </rPr>
      <t>02</t>
    </r>
    <r>
      <rPr>
        <sz val="11"/>
        <color theme="1"/>
        <rFont val="Calibri"/>
        <family val="2"/>
        <scheme val="minor"/>
      </rPr>
      <t xml:space="preserve"> - Closed caption decoder
</t>
    </r>
    <r>
      <rPr>
        <b/>
        <sz val="11"/>
        <color theme="1"/>
        <rFont val="Calibri"/>
        <family val="2"/>
        <scheme val="minor"/>
      </rPr>
      <t>03</t>
    </r>
    <r>
      <rPr>
        <sz val="11"/>
        <color theme="1"/>
        <rFont val="Calibri"/>
        <family val="2"/>
        <scheme val="minor"/>
      </rPr>
      <t xml:space="preserve"> - Computer-based instruction or other assistive technological devices
</t>
    </r>
    <r>
      <rPr>
        <b/>
        <sz val="11"/>
        <color theme="1"/>
        <rFont val="Calibri"/>
        <family val="2"/>
        <scheme val="minor"/>
      </rPr>
      <t>04</t>
    </r>
    <r>
      <rPr>
        <sz val="11"/>
        <color theme="1"/>
        <rFont val="Calibri"/>
        <family val="2"/>
        <scheme val="minor"/>
      </rPr>
      <t xml:space="preserve"> - Listening devices
</t>
    </r>
    <r>
      <rPr>
        <b/>
        <sz val="11"/>
        <color theme="1"/>
        <rFont val="Calibri"/>
        <family val="2"/>
        <scheme val="minor"/>
      </rPr>
      <t>05</t>
    </r>
    <r>
      <rPr>
        <sz val="11"/>
        <color theme="1"/>
        <rFont val="Calibri"/>
        <family val="2"/>
        <scheme val="minor"/>
      </rPr>
      <t xml:space="preserve"> - Low vision readers
</t>
    </r>
    <r>
      <rPr>
        <b/>
        <sz val="11"/>
        <color theme="1"/>
        <rFont val="Calibri"/>
        <family val="2"/>
        <scheme val="minor"/>
      </rPr>
      <t>06</t>
    </r>
    <r>
      <rPr>
        <sz val="11"/>
        <color theme="1"/>
        <rFont val="Calibri"/>
        <family val="2"/>
        <scheme val="minor"/>
      </rPr>
      <t xml:space="preserve"> - Notetakers
</t>
    </r>
    <r>
      <rPr>
        <b/>
        <sz val="11"/>
        <color theme="1"/>
        <rFont val="Calibri"/>
        <family val="2"/>
        <scheme val="minor"/>
      </rPr>
      <t>07</t>
    </r>
    <r>
      <rPr>
        <sz val="11"/>
        <color theme="1"/>
        <rFont val="Calibri"/>
        <family val="2"/>
        <scheme val="minor"/>
      </rPr>
      <t xml:space="preserve"> - Readers
</t>
    </r>
    <r>
      <rPr>
        <b/>
        <sz val="11"/>
        <color theme="1"/>
        <rFont val="Calibri"/>
        <family val="2"/>
        <scheme val="minor"/>
      </rPr>
      <t>08</t>
    </r>
    <r>
      <rPr>
        <sz val="11"/>
        <color theme="1"/>
        <rFont val="Calibri"/>
        <family val="2"/>
        <scheme val="minor"/>
      </rPr>
      <t xml:space="preserve"> - Sign language interpreters
</t>
    </r>
    <r>
      <rPr>
        <b/>
        <sz val="11"/>
        <color theme="1"/>
        <rFont val="Calibri"/>
        <family val="2"/>
        <scheme val="minor"/>
      </rPr>
      <t>09</t>
    </r>
    <r>
      <rPr>
        <sz val="11"/>
        <color theme="1"/>
        <rFont val="Calibri"/>
        <family val="2"/>
        <scheme val="minor"/>
      </rPr>
      <t xml:space="preserve"> - Special housing accommodations
</t>
    </r>
    <r>
      <rPr>
        <b/>
        <sz val="11"/>
        <color theme="1"/>
        <rFont val="Calibri"/>
        <family val="2"/>
        <scheme val="minor"/>
      </rPr>
      <t>10</t>
    </r>
    <r>
      <rPr>
        <sz val="11"/>
        <color theme="1"/>
        <rFont val="Calibri"/>
        <family val="2"/>
        <scheme val="minor"/>
      </rPr>
      <t xml:space="preserve"> - Recorded text
</t>
    </r>
    <r>
      <rPr>
        <b/>
        <sz val="11"/>
        <color theme="1"/>
        <rFont val="Calibri"/>
        <family val="2"/>
        <scheme val="minor"/>
      </rPr>
      <t>11</t>
    </r>
    <r>
      <rPr>
        <sz val="11"/>
        <color theme="1"/>
        <rFont val="Calibri"/>
        <family val="2"/>
        <scheme val="minor"/>
      </rPr>
      <t xml:space="preserve"> - Telecommunication Devices (TDDs) for Hearing Impaired
</t>
    </r>
    <r>
      <rPr>
        <b/>
        <sz val="11"/>
        <color theme="1"/>
        <rFont val="Calibri"/>
        <family val="2"/>
        <scheme val="minor"/>
      </rPr>
      <t>12</t>
    </r>
    <r>
      <rPr>
        <sz val="11"/>
        <color theme="1"/>
        <rFont val="Calibri"/>
        <family val="2"/>
        <scheme val="minor"/>
      </rPr>
      <t xml:space="preserve"> - Telephone handset amplifiers
</t>
    </r>
    <r>
      <rPr>
        <b/>
        <sz val="11"/>
        <color theme="1"/>
        <rFont val="Calibri"/>
        <family val="2"/>
        <scheme val="minor"/>
      </rPr>
      <t>13</t>
    </r>
    <r>
      <rPr>
        <sz val="11"/>
        <color theme="1"/>
        <rFont val="Calibri"/>
        <family val="2"/>
        <scheme val="minor"/>
      </rPr>
      <t xml:space="preserve"> - Test assistants
</t>
    </r>
    <r>
      <rPr>
        <b/>
        <sz val="11"/>
        <color theme="1"/>
        <rFont val="Calibri"/>
        <family val="2"/>
        <scheme val="minor"/>
      </rPr>
      <t>14</t>
    </r>
    <r>
      <rPr>
        <sz val="11"/>
        <color theme="1"/>
        <rFont val="Calibri"/>
        <family val="2"/>
        <scheme val="minor"/>
      </rPr>
      <t xml:space="preserve"> - Test modifications
</t>
    </r>
    <r>
      <rPr>
        <b/>
        <sz val="11"/>
        <color theme="1"/>
        <rFont val="Calibri"/>
        <family val="2"/>
        <scheme val="minor"/>
      </rPr>
      <t>15</t>
    </r>
    <r>
      <rPr>
        <sz val="11"/>
        <color theme="1"/>
        <rFont val="Calibri"/>
        <family val="2"/>
        <scheme val="minor"/>
      </rPr>
      <t xml:space="preserve"> - Transportation services (e.g., handicapped parking spaces)
</t>
    </r>
    <r>
      <rPr>
        <b/>
        <sz val="11"/>
        <color theme="1"/>
        <rFont val="Calibri"/>
        <family val="2"/>
        <scheme val="minor"/>
      </rPr>
      <t>16</t>
    </r>
    <r>
      <rPr>
        <sz val="11"/>
        <color theme="1"/>
        <rFont val="Calibri"/>
        <family val="2"/>
        <scheme val="minor"/>
      </rPr>
      <t xml:space="preserve"> - Tutors
</t>
    </r>
    <r>
      <rPr>
        <b/>
        <sz val="11"/>
        <color theme="1"/>
        <rFont val="Calibri"/>
        <family val="2"/>
        <scheme val="minor"/>
      </rPr>
      <t>17</t>
    </r>
    <r>
      <rPr>
        <sz val="11"/>
        <color theme="1"/>
        <rFont val="Calibri"/>
        <family val="2"/>
        <scheme val="minor"/>
      </rPr>
      <t xml:space="preserve"> - Voice synthesizer speech programs, equipment
</t>
    </r>
    <r>
      <rPr>
        <b/>
        <sz val="11"/>
        <color theme="1"/>
        <rFont val="Calibri"/>
        <family val="2"/>
        <scheme val="minor"/>
      </rPr>
      <t>18</t>
    </r>
    <r>
      <rPr>
        <sz val="11"/>
        <color theme="1"/>
        <rFont val="Calibri"/>
        <family val="2"/>
        <scheme val="minor"/>
      </rPr>
      <t xml:space="preserve"> - Wheel chair accessibility
</t>
    </r>
    <r>
      <rPr>
        <b/>
        <sz val="11"/>
        <color theme="1"/>
        <rFont val="Calibri"/>
        <family val="2"/>
        <scheme val="minor"/>
      </rPr>
      <t>19</t>
    </r>
    <r>
      <rPr>
        <sz val="11"/>
        <color theme="1"/>
        <rFont val="Calibri"/>
        <family val="2"/>
        <scheme val="minor"/>
      </rPr>
      <t xml:space="preserve"> - Wheel chair
</t>
    </r>
    <r>
      <rPr>
        <b/>
        <sz val="11"/>
        <color theme="1"/>
        <rFont val="Calibri"/>
        <family val="2"/>
        <scheme val="minor"/>
      </rPr>
      <t>99</t>
    </r>
    <r>
      <rPr>
        <sz val="11"/>
        <color theme="1"/>
        <rFont val="Calibri"/>
        <family val="2"/>
        <scheme val="minor"/>
      </rPr>
      <t xml:space="preserve"> - Other type of accommodation
</t>
    </r>
  </si>
  <si>
    <r>
      <t>NAEYC</t>
    </r>
    <r>
      <rPr>
        <sz val="11"/>
        <color theme="1"/>
        <rFont val="Calibri"/>
        <family val="2"/>
        <scheme val="minor"/>
      </rPr>
      <t xml:space="preserve"> - National Association for the Education of Young Children
</t>
    </r>
    <r>
      <rPr>
        <b/>
        <sz val="11"/>
        <color theme="1"/>
        <rFont val="Calibri"/>
        <family val="2"/>
        <scheme val="minor"/>
      </rPr>
      <t>NECPA</t>
    </r>
    <r>
      <rPr>
        <sz val="11"/>
        <color theme="1"/>
        <rFont val="Calibri"/>
        <family val="2"/>
        <scheme val="minor"/>
      </rPr>
      <t xml:space="preserve"> - National Early Childhood Program Accreditation
</t>
    </r>
    <r>
      <rPr>
        <b/>
        <sz val="11"/>
        <color theme="1"/>
        <rFont val="Calibri"/>
        <family val="2"/>
        <scheme val="minor"/>
      </rPr>
      <t>NAC</t>
    </r>
    <r>
      <rPr>
        <sz val="11"/>
        <color theme="1"/>
        <rFont val="Calibri"/>
        <family val="2"/>
        <scheme val="minor"/>
      </rPr>
      <t xml:space="preserve"> - National Accreditation Commission
</t>
    </r>
    <r>
      <rPr>
        <b/>
        <sz val="11"/>
        <color theme="1"/>
        <rFont val="Calibri"/>
        <family val="2"/>
        <scheme val="minor"/>
      </rPr>
      <t>COA</t>
    </r>
    <r>
      <rPr>
        <sz val="11"/>
        <color theme="1"/>
        <rFont val="Calibri"/>
        <family val="2"/>
        <scheme val="minor"/>
      </rPr>
      <t xml:space="preserve"> - Council on Accreditation
</t>
    </r>
    <r>
      <rPr>
        <b/>
        <sz val="11"/>
        <color theme="1"/>
        <rFont val="Calibri"/>
        <family val="2"/>
        <scheme val="minor"/>
      </rPr>
      <t>NAFCC</t>
    </r>
    <r>
      <rPr>
        <sz val="11"/>
        <color theme="1"/>
        <rFont val="Calibri"/>
        <family val="2"/>
        <scheme val="minor"/>
      </rPr>
      <t xml:space="preserve"> - National Association for Family Child Care
</t>
    </r>
    <r>
      <rPr>
        <b/>
        <sz val="11"/>
        <color theme="1"/>
        <rFont val="Calibri"/>
        <family val="2"/>
        <scheme val="minor"/>
      </rPr>
      <t>SACS</t>
    </r>
    <r>
      <rPr>
        <sz val="11"/>
        <color theme="1"/>
        <rFont val="Calibri"/>
        <family val="2"/>
        <scheme val="minor"/>
      </rPr>
      <t xml:space="preserve"> - Southern Association of Colleges and Schools
</t>
    </r>
    <r>
      <rPr>
        <b/>
        <sz val="11"/>
        <color theme="1"/>
        <rFont val="Calibri"/>
        <family val="2"/>
        <scheme val="minor"/>
      </rPr>
      <t>NotAccredited</t>
    </r>
    <r>
      <rPr>
        <sz val="11"/>
        <color theme="1"/>
        <rFont val="Calibri"/>
        <family val="2"/>
        <scheme val="minor"/>
      </rPr>
      <t xml:space="preserve"> - Not accredited
</t>
    </r>
    <r>
      <rPr>
        <b/>
        <sz val="11"/>
        <color theme="1"/>
        <rFont val="Calibri"/>
        <family val="2"/>
        <scheme val="minor"/>
      </rPr>
      <t>Other</t>
    </r>
    <r>
      <rPr>
        <sz val="11"/>
        <color theme="1"/>
        <rFont val="Calibri"/>
        <family val="2"/>
        <scheme val="minor"/>
      </rPr>
      <t xml:space="preserve"> - Other Accreditation Agency
</t>
    </r>
  </si>
  <si>
    <r>
      <t>AdvancedPlacement</t>
    </r>
    <r>
      <rPr>
        <sz val="11"/>
        <color theme="1"/>
        <rFont val="Calibri"/>
        <family val="2"/>
        <scheme val="minor"/>
      </rPr>
      <t xml:space="preserve"> - Advanced Placement
</t>
    </r>
    <r>
      <rPr>
        <b/>
        <sz val="11"/>
        <color theme="1"/>
        <rFont val="Calibri"/>
        <family val="2"/>
        <scheme val="minor"/>
      </rPr>
      <t>ApprenticeshipCredit</t>
    </r>
    <r>
      <rPr>
        <sz val="11"/>
        <color theme="1"/>
        <rFont val="Calibri"/>
        <family val="2"/>
        <scheme val="minor"/>
      </rPr>
      <t xml:space="preserve"> - Apprenticeship Credit
</t>
    </r>
    <r>
      <rPr>
        <b/>
        <sz val="11"/>
        <color theme="1"/>
        <rFont val="Calibri"/>
        <family val="2"/>
        <scheme val="minor"/>
      </rPr>
      <t>CTE</t>
    </r>
    <r>
      <rPr>
        <sz val="11"/>
        <color theme="1"/>
        <rFont val="Calibri"/>
        <family val="2"/>
        <scheme val="minor"/>
      </rPr>
      <t xml:space="preserve"> - Career and Technical Education
</t>
    </r>
    <r>
      <rPr>
        <b/>
        <sz val="11"/>
        <color theme="1"/>
        <rFont val="Calibri"/>
        <family val="2"/>
        <scheme val="minor"/>
      </rPr>
      <t>DualCredit</t>
    </r>
    <r>
      <rPr>
        <sz val="11"/>
        <color theme="1"/>
        <rFont val="Calibri"/>
        <family val="2"/>
        <scheme val="minor"/>
      </rPr>
      <t xml:space="preserve"> - Dual credit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QualifiedAdmission</t>
    </r>
    <r>
      <rPr>
        <sz val="11"/>
        <color theme="1"/>
        <rFont val="Calibri"/>
        <family val="2"/>
        <scheme val="minor"/>
      </rPr>
      <t xml:space="preserve"> - Qualified Admission
</t>
    </r>
    <r>
      <rPr>
        <b/>
        <sz val="11"/>
        <color theme="1"/>
        <rFont val="Calibri"/>
        <family val="2"/>
        <scheme val="minor"/>
      </rPr>
      <t>STEM</t>
    </r>
    <r>
      <rPr>
        <sz val="11"/>
        <color theme="1"/>
        <rFont val="Calibri"/>
        <family val="2"/>
        <scheme val="minor"/>
      </rPr>
      <t xml:space="preserve"> - Science, Technology, Engineering and Mathematics
</t>
    </r>
    <r>
      <rPr>
        <b/>
        <sz val="11"/>
        <color theme="1"/>
        <rFont val="Calibri"/>
        <family val="2"/>
        <scheme val="minor"/>
      </rPr>
      <t>CTEAndAcademic</t>
    </r>
    <r>
      <rPr>
        <sz val="11"/>
        <color theme="1"/>
        <rFont val="Calibri"/>
        <family val="2"/>
        <scheme val="minor"/>
      </rPr>
      <t xml:space="preserve"> - Simultaneous CTE and Academic Credit
</t>
    </r>
    <r>
      <rPr>
        <b/>
        <sz val="11"/>
        <color theme="1"/>
        <rFont val="Calibri"/>
        <family val="2"/>
        <scheme val="minor"/>
      </rPr>
      <t>StateScholarship</t>
    </r>
    <r>
      <rPr>
        <sz val="11"/>
        <color theme="1"/>
        <rFont val="Calibri"/>
        <family val="2"/>
        <scheme val="minor"/>
      </rPr>
      <t xml:space="preserve"> - State Scholarship
</t>
    </r>
  </si>
  <si>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Shipping</t>
    </r>
    <r>
      <rPr>
        <sz val="11"/>
        <color theme="1"/>
        <rFont val="Calibri"/>
        <family val="2"/>
        <scheme val="minor"/>
      </rPr>
      <t xml:space="preserve"> - Shipping
</t>
    </r>
    <r>
      <rPr>
        <b/>
        <sz val="11"/>
        <color theme="1"/>
        <rFont val="Calibri"/>
        <family val="2"/>
        <scheme val="minor"/>
      </rPr>
      <t>Billing</t>
    </r>
    <r>
      <rPr>
        <sz val="11"/>
        <color theme="1"/>
        <rFont val="Calibri"/>
        <family val="2"/>
        <scheme val="minor"/>
      </rPr>
      <t xml:space="preserve"> - Billing address
</t>
    </r>
    <r>
      <rPr>
        <b/>
        <sz val="11"/>
        <color theme="1"/>
        <rFont val="Calibri"/>
        <family val="2"/>
        <scheme val="minor"/>
      </rPr>
      <t>OnCampus</t>
    </r>
    <r>
      <rPr>
        <sz val="11"/>
        <color theme="1"/>
        <rFont val="Calibri"/>
        <family val="2"/>
        <scheme val="minor"/>
      </rPr>
      <t xml:space="preserve"> - On campus
</t>
    </r>
    <r>
      <rPr>
        <b/>
        <sz val="11"/>
        <color theme="1"/>
        <rFont val="Calibri"/>
        <family val="2"/>
        <scheme val="minor"/>
      </rPr>
      <t>OffCampus</t>
    </r>
    <r>
      <rPr>
        <sz val="11"/>
        <color theme="1"/>
        <rFont val="Calibri"/>
        <family val="2"/>
        <scheme val="minor"/>
      </rPr>
      <t xml:space="preserve"> - Off-campus, temporary
</t>
    </r>
    <r>
      <rPr>
        <b/>
        <sz val="11"/>
        <color theme="1"/>
        <rFont val="Calibri"/>
        <family val="2"/>
        <scheme val="minor"/>
      </rPr>
      <t>PermanentStudent</t>
    </r>
    <r>
      <rPr>
        <sz val="11"/>
        <color theme="1"/>
        <rFont val="Calibri"/>
        <family val="2"/>
        <scheme val="minor"/>
      </rPr>
      <t xml:space="preserve"> - Permanent, student
</t>
    </r>
    <r>
      <rPr>
        <b/>
        <sz val="11"/>
        <color theme="1"/>
        <rFont val="Calibri"/>
        <family val="2"/>
        <scheme val="minor"/>
      </rPr>
      <t>PermanentAdmission</t>
    </r>
    <r>
      <rPr>
        <sz val="11"/>
        <color theme="1"/>
        <rFont val="Calibri"/>
        <family val="2"/>
        <scheme val="minor"/>
      </rPr>
      <t xml:space="preserve"> - Permanent, at time of admission
</t>
    </r>
    <r>
      <rPr>
        <b/>
        <sz val="11"/>
        <color theme="1"/>
        <rFont val="Calibri"/>
        <family val="2"/>
        <scheme val="minor"/>
      </rPr>
      <t>FatherAddress</t>
    </r>
    <r>
      <rPr>
        <sz val="11"/>
        <color theme="1"/>
        <rFont val="Calibri"/>
        <family val="2"/>
        <scheme val="minor"/>
      </rPr>
      <t xml:space="preserve"> - Father's address
</t>
    </r>
    <r>
      <rPr>
        <b/>
        <sz val="11"/>
        <color theme="1"/>
        <rFont val="Calibri"/>
        <family val="2"/>
        <scheme val="minor"/>
      </rPr>
      <t>MotherAddress</t>
    </r>
    <r>
      <rPr>
        <sz val="11"/>
        <color theme="1"/>
        <rFont val="Calibri"/>
        <family val="2"/>
        <scheme val="minor"/>
      </rPr>
      <t xml:space="preserve"> - Mother's address
</t>
    </r>
    <r>
      <rPr>
        <b/>
        <sz val="11"/>
        <color theme="1"/>
        <rFont val="Calibri"/>
        <family val="2"/>
        <scheme val="minor"/>
      </rPr>
      <t>GuardianAddress</t>
    </r>
    <r>
      <rPr>
        <sz val="11"/>
        <color theme="1"/>
        <rFont val="Calibri"/>
        <family val="2"/>
        <scheme val="minor"/>
      </rPr>
      <t xml:space="preserve"> - Guardian's address
</t>
    </r>
  </si>
  <si>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Shipping</t>
    </r>
    <r>
      <rPr>
        <sz val="11"/>
        <color theme="1"/>
        <rFont val="Calibri"/>
        <family val="2"/>
        <scheme val="minor"/>
      </rPr>
      <t xml:space="preserve"> - Shipping
</t>
    </r>
  </si>
  <si>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OtherHome</t>
    </r>
    <r>
      <rPr>
        <sz val="11"/>
        <color theme="1"/>
        <rFont val="Calibri"/>
        <family val="2"/>
        <scheme val="minor"/>
      </rPr>
      <t xml:space="preserve"> - Other home address
</t>
    </r>
    <r>
      <rPr>
        <b/>
        <sz val="11"/>
        <color theme="1"/>
        <rFont val="Calibri"/>
        <family val="2"/>
        <scheme val="minor"/>
      </rPr>
      <t>Employers</t>
    </r>
    <r>
      <rPr>
        <sz val="11"/>
        <color theme="1"/>
        <rFont val="Calibri"/>
        <family val="2"/>
        <scheme val="minor"/>
      </rPr>
      <t xml:space="preserve"> - Employer's address
</t>
    </r>
    <r>
      <rPr>
        <b/>
        <sz val="11"/>
        <color theme="1"/>
        <rFont val="Calibri"/>
        <family val="2"/>
        <scheme val="minor"/>
      </rPr>
      <t>Employment</t>
    </r>
    <r>
      <rPr>
        <sz val="11"/>
        <color theme="1"/>
        <rFont val="Calibri"/>
        <family val="2"/>
        <scheme val="minor"/>
      </rPr>
      <t xml:space="preserve"> - Employment address
</t>
    </r>
    <r>
      <rPr>
        <b/>
        <sz val="11"/>
        <color theme="1"/>
        <rFont val="Calibri"/>
        <family val="2"/>
        <scheme val="minor"/>
      </rPr>
      <t>Billing</t>
    </r>
    <r>
      <rPr>
        <sz val="11"/>
        <color theme="1"/>
        <rFont val="Calibri"/>
        <family val="2"/>
        <scheme val="minor"/>
      </rPr>
      <t xml:space="preserve"> - Billing address
</t>
    </r>
  </si>
  <si>
    <r>
      <t>Yes</t>
    </r>
    <r>
      <rPr>
        <sz val="11"/>
        <color theme="1"/>
        <rFont val="Calibri"/>
        <family val="2"/>
        <scheme val="minor"/>
      </rPr>
      <t xml:space="preserve"> - Yes
</t>
    </r>
    <r>
      <rPr>
        <b/>
        <sz val="11"/>
        <color theme="1"/>
        <rFont val="Calibri"/>
        <family val="2"/>
        <scheme val="minor"/>
      </rPr>
      <t>YesGrowth</t>
    </r>
    <r>
      <rPr>
        <sz val="11"/>
        <color theme="1"/>
        <rFont val="Calibri"/>
        <family val="2"/>
        <scheme val="minor"/>
      </rPr>
      <t xml:space="preserve"> - Yes Growth
</t>
    </r>
    <r>
      <rPr>
        <b/>
        <sz val="11"/>
        <color theme="1"/>
        <rFont val="Calibri"/>
        <family val="2"/>
        <scheme val="minor"/>
      </rPr>
      <t>No</t>
    </r>
    <r>
      <rPr>
        <sz val="11"/>
        <color theme="1"/>
        <rFont val="Calibri"/>
        <family val="2"/>
        <scheme val="minor"/>
      </rPr>
      <t xml:space="preserve"> - No
</t>
    </r>
    <r>
      <rPr>
        <b/>
        <sz val="11"/>
        <color theme="1"/>
        <rFont val="Calibri"/>
        <family val="2"/>
        <scheme val="minor"/>
      </rPr>
      <t>NA</t>
    </r>
    <r>
      <rPr>
        <sz val="11"/>
        <color theme="1"/>
        <rFont val="Calibri"/>
        <family val="2"/>
        <scheme val="minor"/>
      </rPr>
      <t xml:space="preserve"> - Not applicable
</t>
    </r>
  </si>
  <si>
    <r>
      <t>Public</t>
    </r>
    <r>
      <rPr>
        <sz val="11"/>
        <color theme="1"/>
        <rFont val="Calibri"/>
        <family val="2"/>
        <scheme val="minor"/>
      </rPr>
      <t xml:space="preserve"> - Public School
</t>
    </r>
    <r>
      <rPr>
        <b/>
        <sz val="11"/>
        <color theme="1"/>
        <rFont val="Calibri"/>
        <family val="2"/>
        <scheme val="minor"/>
      </rPr>
      <t>Private</t>
    </r>
    <r>
      <rPr>
        <sz val="11"/>
        <color theme="1"/>
        <rFont val="Calibri"/>
        <family val="2"/>
        <scheme val="minor"/>
      </rPr>
      <t xml:space="preserve"> - Private School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</si>
  <si>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Risk management plan
</t>
    </r>
    <r>
      <rPr>
        <b/>
        <sz val="11"/>
        <color theme="1"/>
        <rFont val="Calibri"/>
        <family val="2"/>
        <scheme val="minor"/>
      </rPr>
      <t>02</t>
    </r>
    <r>
      <rPr>
        <sz val="11"/>
        <color theme="1"/>
        <rFont val="Calibri"/>
        <family val="2"/>
        <scheme val="minor"/>
      </rPr>
      <t xml:space="preserve"> - Financial records
</t>
    </r>
    <r>
      <rPr>
        <b/>
        <sz val="11"/>
        <color theme="1"/>
        <rFont val="Calibri"/>
        <family val="2"/>
        <scheme val="minor"/>
      </rPr>
      <t>03</t>
    </r>
    <r>
      <rPr>
        <sz val="11"/>
        <color theme="1"/>
        <rFont val="Calibri"/>
        <family val="2"/>
        <scheme val="minor"/>
      </rPr>
      <t xml:space="preserve"> - Program administration and plan
</t>
    </r>
    <r>
      <rPr>
        <b/>
        <sz val="11"/>
        <color theme="1"/>
        <rFont val="Calibri"/>
        <family val="2"/>
        <scheme val="minor"/>
      </rPr>
      <t>04</t>
    </r>
    <r>
      <rPr>
        <sz val="11"/>
        <color theme="1"/>
        <rFont val="Calibri"/>
        <family val="2"/>
        <scheme val="minor"/>
      </rPr>
      <t xml:space="preserve"> - Marketing strategy
</t>
    </r>
    <r>
      <rPr>
        <b/>
        <sz val="11"/>
        <color theme="1"/>
        <rFont val="Calibri"/>
        <family val="2"/>
        <scheme val="minor"/>
      </rPr>
      <t>05</t>
    </r>
    <r>
      <rPr>
        <sz val="11"/>
        <color theme="1"/>
        <rFont val="Calibri"/>
        <family val="2"/>
        <scheme val="minor"/>
      </rPr>
      <t xml:space="preserve"> - Written program policies
</t>
    </r>
    <r>
      <rPr>
        <b/>
        <sz val="11"/>
        <color theme="1"/>
        <rFont val="Calibri"/>
        <family val="2"/>
        <scheme val="minor"/>
      </rPr>
      <t>06</t>
    </r>
    <r>
      <rPr>
        <sz val="11"/>
        <color theme="1"/>
        <rFont val="Calibri"/>
        <family val="2"/>
        <scheme val="minor"/>
      </rPr>
      <t xml:space="preserve"> - Program self assessment
</t>
    </r>
    <r>
      <rPr>
        <b/>
        <sz val="11"/>
        <color theme="1"/>
        <rFont val="Calibri"/>
        <family val="2"/>
        <scheme val="minor"/>
      </rPr>
      <t>99</t>
    </r>
    <r>
      <rPr>
        <sz val="11"/>
        <color theme="1"/>
        <rFont val="Calibri"/>
        <family val="2"/>
        <scheme val="minor"/>
      </rPr>
      <t xml:space="preserve"> - Other
</t>
    </r>
  </si>
  <si>
    <r>
      <t>Conditional</t>
    </r>
    <r>
      <rPr>
        <sz val="11"/>
        <color theme="1"/>
        <rFont val="Calibri"/>
        <family val="2"/>
        <scheme val="minor"/>
      </rPr>
      <t xml:space="preserve"> - Conditional Admit
</t>
    </r>
    <r>
      <rPr>
        <b/>
        <sz val="11"/>
        <color theme="1"/>
        <rFont val="Calibri"/>
        <family val="2"/>
        <scheme val="minor"/>
      </rPr>
      <t>EarlyAction</t>
    </r>
    <r>
      <rPr>
        <sz val="11"/>
        <color theme="1"/>
        <rFont val="Calibri"/>
        <family val="2"/>
        <scheme val="minor"/>
      </rPr>
      <t xml:space="preserve"> - Early Action
</t>
    </r>
    <r>
      <rPr>
        <b/>
        <sz val="11"/>
        <color theme="1"/>
        <rFont val="Calibri"/>
        <family val="2"/>
        <scheme val="minor"/>
      </rPr>
      <t>EarlyAdmit</t>
    </r>
    <r>
      <rPr>
        <sz val="11"/>
        <color theme="1"/>
        <rFont val="Calibri"/>
        <family val="2"/>
        <scheme val="minor"/>
      </rPr>
      <t xml:space="preserve"> - Early Admit
</t>
    </r>
    <r>
      <rPr>
        <b/>
        <sz val="11"/>
        <color theme="1"/>
        <rFont val="Calibri"/>
        <family val="2"/>
        <scheme val="minor"/>
      </rPr>
      <t>EarlyDecision</t>
    </r>
    <r>
      <rPr>
        <sz val="11"/>
        <color theme="1"/>
        <rFont val="Calibri"/>
        <family val="2"/>
        <scheme val="minor"/>
      </rPr>
      <t xml:space="preserve"> - Early Decision
</t>
    </r>
    <r>
      <rPr>
        <b/>
        <sz val="11"/>
        <color theme="1"/>
        <rFont val="Calibri"/>
        <family val="2"/>
        <scheme val="minor"/>
      </rPr>
      <t>Regular</t>
    </r>
    <r>
      <rPr>
        <sz val="11"/>
        <color theme="1"/>
        <rFont val="Calibri"/>
        <family val="2"/>
        <scheme val="minor"/>
      </rPr>
      <t xml:space="preserve"> - Regular Admit
</t>
    </r>
    <r>
      <rPr>
        <b/>
        <sz val="11"/>
        <color theme="1"/>
        <rFont val="Calibri"/>
        <family val="2"/>
        <scheme val="minor"/>
      </rPr>
      <t>Waitlist</t>
    </r>
    <r>
      <rPr>
        <sz val="11"/>
        <color theme="1"/>
        <rFont val="Calibri"/>
        <family val="2"/>
        <scheme val="minor"/>
      </rPr>
      <t xml:space="preserve"> - Waitlist Admit
</t>
    </r>
    <r>
      <rPr>
        <b/>
        <sz val="11"/>
        <color theme="1"/>
        <rFont val="Calibri"/>
        <family val="2"/>
        <scheme val="minor"/>
      </rPr>
      <t>Other</t>
    </r>
    <r>
      <rPr>
        <sz val="11"/>
        <color theme="1"/>
        <rFont val="Calibri"/>
        <family val="2"/>
        <scheme val="minor"/>
      </rPr>
      <t xml:space="preserve"> - Other Admit
</t>
    </r>
    <r>
      <rPr>
        <b/>
        <sz val="11"/>
        <color theme="1"/>
        <rFont val="Calibri"/>
        <family val="2"/>
        <scheme val="minor"/>
      </rPr>
      <t>No</t>
    </r>
    <r>
      <rPr>
        <sz val="11"/>
        <color theme="1"/>
        <rFont val="Calibri"/>
        <family val="2"/>
        <scheme val="minor"/>
      </rPr>
      <t xml:space="preserve"> - No
</t>
    </r>
  </si>
  <si>
    <r>
      <t>AdultEducationCertification</t>
    </r>
    <r>
      <rPr>
        <sz val="11"/>
        <color theme="1"/>
        <rFont val="Calibri"/>
        <family val="2"/>
        <scheme val="minor"/>
      </rPr>
      <t xml:space="preserve"> - Adult Education Certification
</t>
    </r>
    <r>
      <rPr>
        <b/>
        <sz val="11"/>
        <color theme="1"/>
        <rFont val="Calibri"/>
        <family val="2"/>
        <scheme val="minor"/>
      </rPr>
      <t>K-12Certification</t>
    </r>
    <r>
      <rPr>
        <sz val="11"/>
        <color theme="1"/>
        <rFont val="Calibri"/>
        <family val="2"/>
        <scheme val="minor"/>
      </rPr>
      <t xml:space="preserve"> - K-12 Certification
</t>
    </r>
    <r>
      <rPr>
        <b/>
        <sz val="11"/>
        <color theme="1"/>
        <rFont val="Calibri"/>
        <family val="2"/>
        <scheme val="minor"/>
      </rPr>
      <t>SpecialEducationCertification</t>
    </r>
    <r>
      <rPr>
        <sz val="11"/>
        <color theme="1"/>
        <rFont val="Calibri"/>
        <family val="2"/>
        <scheme val="minor"/>
      </rPr>
      <t xml:space="preserve"> - Special Education Certification
</t>
    </r>
    <r>
      <rPr>
        <b/>
        <sz val="11"/>
        <color theme="1"/>
        <rFont val="Calibri"/>
        <family val="2"/>
        <scheme val="minor"/>
      </rPr>
      <t>TESOLCertification</t>
    </r>
    <r>
      <rPr>
        <sz val="11"/>
        <color theme="1"/>
        <rFont val="Calibri"/>
        <family val="2"/>
        <scheme val="minor"/>
      </rPr>
      <t xml:space="preserve"> - Teachers of English to Speakers of Other Languages (TESOL) Certification
</t>
    </r>
    <r>
      <rPr>
        <b/>
        <sz val="11"/>
        <color theme="1"/>
        <rFont val="Calibri"/>
        <family val="2"/>
        <scheme val="minor"/>
      </rPr>
      <t>None</t>
    </r>
    <r>
      <rPr>
        <sz val="11"/>
        <color theme="1"/>
        <rFont val="Calibri"/>
        <family val="2"/>
        <scheme val="minor"/>
      </rPr>
      <t xml:space="preserve"> - None
</t>
    </r>
  </si>
  <si>
    <r>
      <t>ABE</t>
    </r>
    <r>
      <rPr>
        <sz val="11"/>
        <color theme="1"/>
        <rFont val="Calibri"/>
        <family val="2"/>
        <scheme val="minor"/>
      </rPr>
      <t xml:space="preserve"> - Adult Basic Education
</t>
    </r>
    <r>
      <rPr>
        <b/>
        <sz val="11"/>
        <color theme="1"/>
        <rFont val="Calibri"/>
        <family val="2"/>
        <scheme val="minor"/>
      </rPr>
      <t>ASE</t>
    </r>
    <r>
      <rPr>
        <sz val="11"/>
        <color theme="1"/>
        <rFont val="Calibri"/>
        <family val="2"/>
        <scheme val="minor"/>
      </rPr>
      <t xml:space="preserve"> - Adult Secondary Education
</t>
    </r>
    <r>
      <rPr>
        <b/>
        <sz val="11"/>
        <color theme="1"/>
        <rFont val="Calibri"/>
        <family val="2"/>
        <scheme val="minor"/>
      </rPr>
      <t>ESL</t>
    </r>
    <r>
      <rPr>
        <sz val="11"/>
        <color theme="1"/>
        <rFont val="Calibri"/>
        <family val="2"/>
        <scheme val="minor"/>
      </rPr>
      <t xml:space="preserve"> - English as a Second Language/Civics
</t>
    </r>
  </si>
  <si>
    <r>
      <t>NoInformation</t>
    </r>
    <r>
      <rPr>
        <sz val="11"/>
        <color theme="1"/>
        <rFont val="Calibri"/>
        <family val="2"/>
        <scheme val="minor"/>
      </rPr>
      <t xml:space="preserve"> - No information
</t>
    </r>
    <r>
      <rPr>
        <b/>
        <sz val="11"/>
        <color theme="1"/>
        <rFont val="Calibri"/>
        <family val="2"/>
        <scheme val="minor"/>
      </rPr>
      <t>Enrolled</t>
    </r>
    <r>
      <rPr>
        <sz val="11"/>
        <color theme="1"/>
        <rFont val="Calibri"/>
        <family val="2"/>
        <scheme val="minor"/>
      </rPr>
      <t xml:space="preserve"> - Enrolled
</t>
    </r>
    <r>
      <rPr>
        <b/>
        <sz val="11"/>
        <color theme="1"/>
        <rFont val="Calibri"/>
        <family val="2"/>
        <scheme val="minor"/>
      </rPr>
      <t>NotEnrolled</t>
    </r>
    <r>
      <rPr>
        <sz val="11"/>
        <color theme="1"/>
        <rFont val="Calibri"/>
        <family val="2"/>
        <scheme val="minor"/>
      </rPr>
      <t xml:space="preserve"> - Not enrolled
</t>
    </r>
  </si>
  <si>
    <r>
      <t>LEA</t>
    </r>
    <r>
      <rPr>
        <sz val="11"/>
        <color theme="1"/>
        <rFont val="Calibri"/>
        <family val="2"/>
        <scheme val="minor"/>
      </rPr>
      <t xml:space="preserve"> - Local Education Agency
</t>
    </r>
    <r>
      <rPr>
        <b/>
        <sz val="11"/>
        <color theme="1"/>
        <rFont val="Calibri"/>
        <family val="2"/>
        <scheme val="minor"/>
      </rPr>
      <t>PostsecondaryInstitution</t>
    </r>
    <r>
      <rPr>
        <sz val="11"/>
        <color theme="1"/>
        <rFont val="Calibri"/>
        <family val="2"/>
        <scheme val="minor"/>
      </rPr>
      <t xml:space="preserve"> - Postsecondary Institution
</t>
    </r>
    <r>
      <rPr>
        <b/>
        <sz val="11"/>
        <color theme="1"/>
        <rFont val="Calibri"/>
        <family val="2"/>
        <scheme val="minor"/>
      </rPr>
      <t>CommunityBasedOrganization</t>
    </r>
    <r>
      <rPr>
        <sz val="11"/>
        <color theme="1"/>
        <rFont val="Calibri"/>
        <family val="2"/>
        <scheme val="minor"/>
      </rPr>
      <t xml:space="preserve"> - Community-Based Organization
</t>
    </r>
    <r>
      <rPr>
        <b/>
        <sz val="11"/>
        <color theme="1"/>
        <rFont val="Calibri"/>
        <family val="2"/>
        <scheme val="minor"/>
      </rPr>
      <t>Library</t>
    </r>
    <r>
      <rPr>
        <sz val="11"/>
        <color theme="1"/>
        <rFont val="Calibri"/>
        <family val="2"/>
        <scheme val="minor"/>
      </rPr>
      <t xml:space="preserve"> - Library
</t>
    </r>
    <r>
      <rPr>
        <b/>
        <sz val="11"/>
        <color theme="1"/>
        <rFont val="Calibri"/>
        <family val="2"/>
        <scheme val="minor"/>
      </rPr>
      <t>CorrectionalInstitution</t>
    </r>
    <r>
      <rPr>
        <sz val="11"/>
        <color theme="1"/>
        <rFont val="Calibri"/>
        <family val="2"/>
        <scheme val="minor"/>
      </rPr>
      <t xml:space="preserve"> - Correctional Institution
</t>
    </r>
    <r>
      <rPr>
        <b/>
        <sz val="11"/>
        <color theme="1"/>
        <rFont val="Calibri"/>
        <family val="2"/>
        <scheme val="minor"/>
      </rPr>
      <t>OtherInstitution</t>
    </r>
    <r>
      <rPr>
        <sz val="11"/>
        <color theme="1"/>
        <rFont val="Calibri"/>
        <family val="2"/>
        <scheme val="minor"/>
      </rPr>
      <t xml:space="preserve"> - Other Institution
</t>
    </r>
    <r>
      <rPr>
        <b/>
        <sz val="11"/>
        <color theme="1"/>
        <rFont val="Calibri"/>
        <family val="2"/>
        <scheme val="minor"/>
      </rPr>
      <t>OtherAgency</t>
    </r>
    <r>
      <rPr>
        <sz val="11"/>
        <color theme="1"/>
        <rFont val="Calibri"/>
        <family val="2"/>
        <scheme val="minor"/>
      </rPr>
      <t xml:space="preserve"> - Other state or local government agency
</t>
    </r>
    <r>
      <rPr>
        <b/>
        <sz val="11"/>
        <color theme="1"/>
        <rFont val="Calibri"/>
        <family val="2"/>
        <scheme val="minor"/>
      </rPr>
      <t>Other</t>
    </r>
    <r>
      <rPr>
        <sz val="11"/>
        <color theme="1"/>
        <rFont val="Calibri"/>
        <family val="2"/>
        <scheme val="minor"/>
      </rPr>
      <t xml:space="preserve"> - Other
</t>
    </r>
  </si>
  <si>
    <r>
      <t>School</t>
    </r>
    <r>
      <rPr>
        <sz val="11"/>
        <color theme="1"/>
        <rFont val="Calibri"/>
        <family val="2"/>
        <scheme val="minor"/>
      </rPr>
      <t xml:space="preserve"> - School-assigned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LEA</t>
    </r>
    <r>
      <rPr>
        <sz val="11"/>
        <color theme="1"/>
        <rFont val="Calibri"/>
        <family val="2"/>
        <scheme val="minor"/>
      </rPr>
      <t xml:space="preserve"> - Local Education Agency assigned number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Other</t>
    </r>
    <r>
      <rPr>
        <sz val="11"/>
        <color theme="1"/>
        <rFont val="Calibri"/>
        <family val="2"/>
        <scheme val="minor"/>
      </rPr>
      <t xml:space="preserve"> - Other
</t>
    </r>
  </si>
  <si>
    <r>
      <t>CorrectionalEducation</t>
    </r>
    <r>
      <rPr>
        <sz val="11"/>
        <color theme="1"/>
        <rFont val="Calibri"/>
        <family val="2"/>
        <scheme val="minor"/>
      </rPr>
      <t xml:space="preserve"> - Correctional education program in facility or community
</t>
    </r>
    <r>
      <rPr>
        <b/>
        <sz val="11"/>
        <color theme="1"/>
        <rFont val="Calibri"/>
        <family val="2"/>
        <scheme val="minor"/>
      </rPr>
      <t>FamilyLiteracy</t>
    </r>
    <r>
      <rPr>
        <sz val="11"/>
        <color theme="1"/>
        <rFont val="Calibri"/>
        <family val="2"/>
        <scheme val="minor"/>
      </rPr>
      <t xml:space="preserve"> - Family Literacy
</t>
    </r>
    <r>
      <rPr>
        <b/>
        <sz val="11"/>
        <color theme="1"/>
        <rFont val="Calibri"/>
        <family val="2"/>
        <scheme val="minor"/>
      </rPr>
      <t>WorkplaceLiteracy</t>
    </r>
    <r>
      <rPr>
        <sz val="11"/>
        <color theme="1"/>
        <rFont val="Calibri"/>
        <family val="2"/>
        <scheme val="minor"/>
      </rPr>
      <t xml:space="preserve"> - Workplace Literacy
</t>
    </r>
    <r>
      <rPr>
        <b/>
        <sz val="11"/>
        <color theme="1"/>
        <rFont val="Calibri"/>
        <family val="2"/>
        <scheme val="minor"/>
      </rPr>
      <t>Homeless</t>
    </r>
    <r>
      <rPr>
        <sz val="11"/>
        <color theme="1"/>
        <rFont val="Calibri"/>
        <family val="2"/>
        <scheme val="minor"/>
      </rPr>
      <t xml:space="preserve"> - Program for the Homeless
</t>
    </r>
    <r>
      <rPr>
        <b/>
        <sz val="11"/>
        <color theme="1"/>
        <rFont val="Calibri"/>
        <family val="2"/>
        <scheme val="minor"/>
      </rPr>
      <t>Co-enrollment</t>
    </r>
    <r>
      <rPr>
        <sz val="11"/>
        <color theme="1"/>
        <rFont val="Calibri"/>
        <family val="2"/>
        <scheme val="minor"/>
      </rPr>
      <t xml:space="preserve"> - Co-enrollment in adult education and postsecondary education
</t>
    </r>
    <r>
      <rPr>
        <b/>
        <sz val="11"/>
        <color theme="1"/>
        <rFont val="Calibri"/>
        <family val="2"/>
        <scheme val="minor"/>
      </rPr>
      <t>DistanceEducation</t>
    </r>
    <r>
      <rPr>
        <sz val="11"/>
        <color theme="1"/>
        <rFont val="Calibri"/>
        <family val="2"/>
        <scheme val="minor"/>
      </rPr>
      <t xml:space="preserve"> - Distance Education
</t>
    </r>
  </si>
  <si>
    <r>
      <t>01</t>
    </r>
    <r>
      <rPr>
        <sz val="11"/>
        <color theme="1"/>
        <rFont val="Calibri"/>
        <family val="2"/>
        <scheme val="minor"/>
      </rPr>
      <t xml:space="preserve"> - State-level administrative/supervisory/ancillary services
</t>
    </r>
    <r>
      <rPr>
        <b/>
        <sz val="11"/>
        <color theme="1"/>
        <rFont val="Calibri"/>
        <family val="2"/>
        <scheme val="minor"/>
      </rPr>
      <t>02</t>
    </r>
    <r>
      <rPr>
        <sz val="11"/>
        <color theme="1"/>
        <rFont val="Calibri"/>
        <family val="2"/>
        <scheme val="minor"/>
      </rPr>
      <t xml:space="preserve"> - Local-level administrative/supervisory/ancillary services
</t>
    </r>
    <r>
      <rPr>
        <b/>
        <sz val="11"/>
        <color theme="1"/>
        <rFont val="Calibri"/>
        <family val="2"/>
        <scheme val="minor"/>
      </rPr>
      <t>03</t>
    </r>
    <r>
      <rPr>
        <sz val="11"/>
        <color theme="1"/>
        <rFont val="Calibri"/>
        <family val="2"/>
        <scheme val="minor"/>
      </rPr>
      <t xml:space="preserve"> - Local teacher
</t>
    </r>
    <r>
      <rPr>
        <b/>
        <sz val="11"/>
        <color theme="1"/>
        <rFont val="Calibri"/>
        <family val="2"/>
        <scheme val="minor"/>
      </rPr>
      <t>04</t>
    </r>
    <r>
      <rPr>
        <sz val="11"/>
        <color theme="1"/>
        <rFont val="Calibri"/>
        <family val="2"/>
        <scheme val="minor"/>
      </rPr>
      <t xml:space="preserve"> - Local counselor
</t>
    </r>
    <r>
      <rPr>
        <b/>
        <sz val="11"/>
        <color theme="1"/>
        <rFont val="Calibri"/>
        <family val="2"/>
        <scheme val="minor"/>
      </rPr>
      <t>05</t>
    </r>
    <r>
      <rPr>
        <sz val="11"/>
        <color theme="1"/>
        <rFont val="Calibri"/>
        <family val="2"/>
        <scheme val="minor"/>
      </rPr>
      <t xml:space="preserve"> - Local paraprofessional
</t>
    </r>
    <r>
      <rPr>
        <b/>
        <sz val="11"/>
        <color theme="1"/>
        <rFont val="Calibri"/>
        <family val="2"/>
        <scheme val="minor"/>
      </rPr>
      <t>06</t>
    </r>
    <r>
      <rPr>
        <sz val="11"/>
        <color theme="1"/>
        <rFont val="Calibri"/>
        <family val="2"/>
        <scheme val="minor"/>
      </rPr>
      <t xml:space="preserve"> - State Professional Development Staff
</t>
    </r>
    <r>
      <rPr>
        <b/>
        <sz val="11"/>
        <color theme="1"/>
        <rFont val="Calibri"/>
        <family val="2"/>
        <scheme val="minor"/>
      </rPr>
      <t>07</t>
    </r>
    <r>
      <rPr>
        <sz val="11"/>
        <color theme="1"/>
        <rFont val="Calibri"/>
        <family val="2"/>
        <scheme val="minor"/>
      </rPr>
      <t xml:space="preserve"> - Regional Professional Development Staff
</t>
    </r>
    <r>
      <rPr>
        <b/>
        <sz val="11"/>
        <color theme="1"/>
        <rFont val="Calibri"/>
        <family val="2"/>
        <scheme val="minor"/>
      </rPr>
      <t>08</t>
    </r>
    <r>
      <rPr>
        <sz val="11"/>
        <color theme="1"/>
        <rFont val="Calibri"/>
        <family val="2"/>
        <scheme val="minor"/>
      </rPr>
      <t xml:space="preserve"> - Local Professional Development Staff
</t>
    </r>
  </si>
  <si>
    <r>
      <t>FullTimePaid</t>
    </r>
    <r>
      <rPr>
        <sz val="11"/>
        <color theme="1"/>
        <rFont val="Calibri"/>
        <family val="2"/>
        <scheme val="minor"/>
      </rPr>
      <t xml:space="preserve"> - Full-time paid
</t>
    </r>
    <r>
      <rPr>
        <b/>
        <sz val="11"/>
        <color theme="1"/>
        <rFont val="Calibri"/>
        <family val="2"/>
        <scheme val="minor"/>
      </rPr>
      <t>PartTimePaid</t>
    </r>
    <r>
      <rPr>
        <sz val="11"/>
        <color theme="1"/>
        <rFont val="Calibri"/>
        <family val="2"/>
        <scheme val="minor"/>
      </rPr>
      <t xml:space="preserve"> - Part-time paid
</t>
    </r>
    <r>
      <rPr>
        <b/>
        <sz val="11"/>
        <color theme="1"/>
        <rFont val="Calibri"/>
        <family val="2"/>
        <scheme val="minor"/>
      </rPr>
      <t>FullTimeVolunteer</t>
    </r>
    <r>
      <rPr>
        <sz val="11"/>
        <color theme="1"/>
        <rFont val="Calibri"/>
        <family val="2"/>
        <scheme val="minor"/>
      </rPr>
      <t xml:space="preserve"> - Full-time volunteer
</t>
    </r>
    <r>
      <rPr>
        <b/>
        <sz val="11"/>
        <color theme="1"/>
        <rFont val="Calibri"/>
        <family val="2"/>
        <scheme val="minor"/>
      </rPr>
      <t>PartTimeVolunteer</t>
    </r>
    <r>
      <rPr>
        <sz val="11"/>
        <color theme="1"/>
        <rFont val="Calibri"/>
        <family val="2"/>
        <scheme val="minor"/>
      </rPr>
      <t xml:space="preserve"> - Part-time volunteer
</t>
    </r>
  </si>
  <si>
    <r>
      <t>ABEBegLit</t>
    </r>
    <r>
      <rPr>
        <sz val="11"/>
        <color theme="1"/>
        <rFont val="Calibri"/>
        <family val="2"/>
        <scheme val="minor"/>
      </rPr>
      <t xml:space="preserve"> - ABE Beginning Literacy
</t>
    </r>
    <r>
      <rPr>
        <b/>
        <sz val="11"/>
        <color theme="1"/>
        <rFont val="Calibri"/>
        <family val="2"/>
        <scheme val="minor"/>
      </rPr>
      <t>ABEBegBasic</t>
    </r>
    <r>
      <rPr>
        <sz val="11"/>
        <color theme="1"/>
        <rFont val="Calibri"/>
        <family val="2"/>
        <scheme val="minor"/>
      </rPr>
      <t xml:space="preserve"> - Beginning Basic Education
</t>
    </r>
    <r>
      <rPr>
        <b/>
        <sz val="11"/>
        <color theme="1"/>
        <rFont val="Calibri"/>
        <family val="2"/>
        <scheme val="minor"/>
      </rPr>
      <t>ABEIntLow</t>
    </r>
    <r>
      <rPr>
        <sz val="11"/>
        <color theme="1"/>
        <rFont val="Calibri"/>
        <family val="2"/>
        <scheme val="minor"/>
      </rPr>
      <t xml:space="preserve"> - Low Intermediate Basic Education
</t>
    </r>
    <r>
      <rPr>
        <b/>
        <sz val="11"/>
        <color theme="1"/>
        <rFont val="Calibri"/>
        <family val="2"/>
        <scheme val="minor"/>
      </rPr>
      <t>ABEIntHigh</t>
    </r>
    <r>
      <rPr>
        <sz val="11"/>
        <color theme="1"/>
        <rFont val="Calibri"/>
        <family val="2"/>
        <scheme val="minor"/>
      </rPr>
      <t xml:space="preserve"> - High Intermediate Basic Education
</t>
    </r>
    <r>
      <rPr>
        <b/>
        <sz val="11"/>
        <color theme="1"/>
        <rFont val="Calibri"/>
        <family val="2"/>
        <scheme val="minor"/>
      </rPr>
      <t>ASELow</t>
    </r>
    <r>
      <rPr>
        <sz val="11"/>
        <color theme="1"/>
        <rFont val="Calibri"/>
        <family val="2"/>
        <scheme val="minor"/>
      </rPr>
      <t xml:space="preserve"> - Adult Secondary Education Low
</t>
    </r>
    <r>
      <rPr>
        <b/>
        <sz val="11"/>
        <color theme="1"/>
        <rFont val="Calibri"/>
        <family val="2"/>
        <scheme val="minor"/>
      </rPr>
      <t>ASEHigh</t>
    </r>
    <r>
      <rPr>
        <sz val="11"/>
        <color theme="1"/>
        <rFont val="Calibri"/>
        <family val="2"/>
        <scheme val="minor"/>
      </rPr>
      <t xml:space="preserve"> - Adult Secondary Education High
</t>
    </r>
    <r>
      <rPr>
        <b/>
        <sz val="11"/>
        <color theme="1"/>
        <rFont val="Calibri"/>
        <family val="2"/>
        <scheme val="minor"/>
      </rPr>
      <t>ESLBegLit</t>
    </r>
    <r>
      <rPr>
        <sz val="11"/>
        <color theme="1"/>
        <rFont val="Calibri"/>
        <family val="2"/>
        <scheme val="minor"/>
      </rPr>
      <t xml:space="preserve"> - Beginning ESL Literacy
</t>
    </r>
    <r>
      <rPr>
        <b/>
        <sz val="11"/>
        <color theme="1"/>
        <rFont val="Calibri"/>
        <family val="2"/>
        <scheme val="minor"/>
      </rPr>
      <t>ESLBegLow</t>
    </r>
    <r>
      <rPr>
        <sz val="11"/>
        <color theme="1"/>
        <rFont val="Calibri"/>
        <family val="2"/>
        <scheme val="minor"/>
      </rPr>
      <t xml:space="preserve"> - ESL Low Beginning
</t>
    </r>
    <r>
      <rPr>
        <b/>
        <sz val="11"/>
        <color theme="1"/>
        <rFont val="Calibri"/>
        <family val="2"/>
        <scheme val="minor"/>
      </rPr>
      <t>ESLBegHigh</t>
    </r>
    <r>
      <rPr>
        <sz val="11"/>
        <color theme="1"/>
        <rFont val="Calibri"/>
        <family val="2"/>
        <scheme val="minor"/>
      </rPr>
      <t xml:space="preserve"> - ESL High Beginning
</t>
    </r>
    <r>
      <rPr>
        <b/>
        <sz val="11"/>
        <color theme="1"/>
        <rFont val="Calibri"/>
        <family val="2"/>
        <scheme val="minor"/>
      </rPr>
      <t>ESLIntLow</t>
    </r>
    <r>
      <rPr>
        <sz val="11"/>
        <color theme="1"/>
        <rFont val="Calibri"/>
        <family val="2"/>
        <scheme val="minor"/>
      </rPr>
      <t xml:space="preserve"> - ESL Low Intermediate
</t>
    </r>
    <r>
      <rPr>
        <b/>
        <sz val="11"/>
        <color theme="1"/>
        <rFont val="Calibri"/>
        <family val="2"/>
        <scheme val="minor"/>
      </rPr>
      <t>ESLIntHigh</t>
    </r>
    <r>
      <rPr>
        <sz val="11"/>
        <color theme="1"/>
        <rFont val="Calibri"/>
        <family val="2"/>
        <scheme val="minor"/>
      </rPr>
      <t xml:space="preserve"> - ESL Intermediate High
</t>
    </r>
    <r>
      <rPr>
        <b/>
        <sz val="11"/>
        <color theme="1"/>
        <rFont val="Calibri"/>
        <family val="2"/>
        <scheme val="minor"/>
      </rPr>
      <t>ESLAdv</t>
    </r>
    <r>
      <rPr>
        <sz val="11"/>
        <color theme="1"/>
        <rFont val="Calibri"/>
        <family val="2"/>
        <scheme val="minor"/>
      </rPr>
      <t xml:space="preserve"> - ESL Advanced
</t>
    </r>
  </si>
  <si>
    <r>
      <t>ArtHistory</t>
    </r>
    <r>
      <rPr>
        <sz val="11"/>
        <color theme="1"/>
        <rFont val="Calibri"/>
        <family val="2"/>
        <scheme val="minor"/>
      </rPr>
      <t xml:space="preserve"> - Art History
</t>
    </r>
    <r>
      <rPr>
        <b/>
        <sz val="11"/>
        <color theme="1"/>
        <rFont val="Calibri"/>
        <family val="2"/>
        <scheme val="minor"/>
      </rPr>
      <t>Biology</t>
    </r>
    <r>
      <rPr>
        <sz val="11"/>
        <color theme="1"/>
        <rFont val="Calibri"/>
        <family val="2"/>
        <scheme val="minor"/>
      </rPr>
      <t xml:space="preserve"> - Biology
</t>
    </r>
    <r>
      <rPr>
        <b/>
        <sz val="11"/>
        <color theme="1"/>
        <rFont val="Calibri"/>
        <family val="2"/>
        <scheme val="minor"/>
      </rPr>
      <t>CalculusAB</t>
    </r>
    <r>
      <rPr>
        <sz val="11"/>
        <color theme="1"/>
        <rFont val="Calibri"/>
        <family val="2"/>
        <scheme val="minor"/>
      </rPr>
      <t xml:space="preserve"> - Calculus AB
</t>
    </r>
    <r>
      <rPr>
        <b/>
        <sz val="11"/>
        <color theme="1"/>
        <rFont val="Calibri"/>
        <family val="2"/>
        <scheme val="minor"/>
      </rPr>
      <t>CalculusBC</t>
    </r>
    <r>
      <rPr>
        <sz val="11"/>
        <color theme="1"/>
        <rFont val="Calibri"/>
        <family val="2"/>
        <scheme val="minor"/>
      </rPr>
      <t xml:space="preserve"> - Calculus BC
</t>
    </r>
    <r>
      <rPr>
        <b/>
        <sz val="11"/>
        <color theme="1"/>
        <rFont val="Calibri"/>
        <family val="2"/>
        <scheme val="minor"/>
      </rPr>
      <t>Chemistry</t>
    </r>
    <r>
      <rPr>
        <sz val="11"/>
        <color theme="1"/>
        <rFont val="Calibri"/>
        <family val="2"/>
        <scheme val="minor"/>
      </rPr>
      <t xml:space="preserve"> - Chemistry
</t>
    </r>
    <r>
      <rPr>
        <b/>
        <sz val="11"/>
        <color theme="1"/>
        <rFont val="Calibri"/>
        <family val="2"/>
        <scheme val="minor"/>
      </rPr>
      <t>ComputerScienceA</t>
    </r>
    <r>
      <rPr>
        <sz val="11"/>
        <color theme="1"/>
        <rFont val="Calibri"/>
        <family val="2"/>
        <scheme val="minor"/>
      </rPr>
      <t xml:space="preserve"> - Computer Science A
</t>
    </r>
    <r>
      <rPr>
        <b/>
        <sz val="11"/>
        <color theme="1"/>
        <rFont val="Calibri"/>
        <family val="2"/>
        <scheme val="minor"/>
      </rPr>
      <t>ComputerScienceAB</t>
    </r>
    <r>
      <rPr>
        <sz val="11"/>
        <color theme="1"/>
        <rFont val="Calibri"/>
        <family val="2"/>
        <scheme val="minor"/>
      </rPr>
      <t xml:space="preserve"> - Computer Science AB
</t>
    </r>
    <r>
      <rPr>
        <b/>
        <sz val="11"/>
        <color theme="1"/>
        <rFont val="Calibri"/>
        <family val="2"/>
        <scheme val="minor"/>
      </rPr>
      <t>Macroeconomics</t>
    </r>
    <r>
      <rPr>
        <sz val="11"/>
        <color theme="1"/>
        <rFont val="Calibri"/>
        <family val="2"/>
        <scheme val="minor"/>
      </rPr>
      <t xml:space="preserve"> - Macroeconomics
</t>
    </r>
    <r>
      <rPr>
        <b/>
        <sz val="11"/>
        <color theme="1"/>
        <rFont val="Calibri"/>
        <family val="2"/>
        <scheme val="minor"/>
      </rPr>
      <t>Microeconomics</t>
    </r>
    <r>
      <rPr>
        <sz val="11"/>
        <color theme="1"/>
        <rFont val="Calibri"/>
        <family val="2"/>
        <scheme val="minor"/>
      </rPr>
      <t xml:space="preserve"> - Microeconomics
</t>
    </r>
    <r>
      <rPr>
        <b/>
        <sz val="11"/>
        <color theme="1"/>
        <rFont val="Calibri"/>
        <family val="2"/>
        <scheme val="minor"/>
      </rPr>
      <t>EnglishLanguage</t>
    </r>
    <r>
      <rPr>
        <sz val="11"/>
        <color theme="1"/>
        <rFont val="Calibri"/>
        <family val="2"/>
        <scheme val="minor"/>
      </rPr>
      <t xml:space="preserve"> - English Language
</t>
    </r>
    <r>
      <rPr>
        <b/>
        <sz val="11"/>
        <color theme="1"/>
        <rFont val="Calibri"/>
        <family val="2"/>
        <scheme val="minor"/>
      </rPr>
      <t>EnglishLiterature</t>
    </r>
    <r>
      <rPr>
        <sz val="11"/>
        <color theme="1"/>
        <rFont val="Calibri"/>
        <family val="2"/>
        <scheme val="minor"/>
      </rPr>
      <t xml:space="preserve"> - English Literature
</t>
    </r>
    <r>
      <rPr>
        <b/>
        <sz val="11"/>
        <color theme="1"/>
        <rFont val="Calibri"/>
        <family val="2"/>
        <scheme val="minor"/>
      </rPr>
      <t>EnvironmentalScience</t>
    </r>
    <r>
      <rPr>
        <sz val="11"/>
        <color theme="1"/>
        <rFont val="Calibri"/>
        <family val="2"/>
        <scheme val="minor"/>
      </rPr>
      <t xml:space="preserve"> - Environmental Science
</t>
    </r>
    <r>
      <rPr>
        <b/>
        <sz val="11"/>
        <color theme="1"/>
        <rFont val="Calibri"/>
        <family val="2"/>
        <scheme val="minor"/>
      </rPr>
      <t>EuropeanHistory</t>
    </r>
    <r>
      <rPr>
        <sz val="11"/>
        <color theme="1"/>
        <rFont val="Calibri"/>
        <family val="2"/>
        <scheme val="minor"/>
      </rPr>
      <t xml:space="preserve"> - European History
</t>
    </r>
    <r>
      <rPr>
        <b/>
        <sz val="11"/>
        <color theme="1"/>
        <rFont val="Calibri"/>
        <family val="2"/>
        <scheme val="minor"/>
      </rPr>
      <t>FrenchLanguage</t>
    </r>
    <r>
      <rPr>
        <sz val="11"/>
        <color theme="1"/>
        <rFont val="Calibri"/>
        <family val="2"/>
        <scheme val="minor"/>
      </rPr>
      <t xml:space="preserve"> - French Language
</t>
    </r>
    <r>
      <rPr>
        <b/>
        <sz val="11"/>
        <color theme="1"/>
        <rFont val="Calibri"/>
        <family val="2"/>
        <scheme val="minor"/>
      </rPr>
      <t>FrenchLiterature</t>
    </r>
    <r>
      <rPr>
        <sz val="11"/>
        <color theme="1"/>
        <rFont val="Calibri"/>
        <family val="2"/>
        <scheme val="minor"/>
      </rPr>
      <t xml:space="preserve"> - French Literature
</t>
    </r>
    <r>
      <rPr>
        <b/>
        <sz val="11"/>
        <color theme="1"/>
        <rFont val="Calibri"/>
        <family val="2"/>
        <scheme val="minor"/>
      </rPr>
      <t>GermanLanguage</t>
    </r>
    <r>
      <rPr>
        <sz val="11"/>
        <color theme="1"/>
        <rFont val="Calibri"/>
        <family val="2"/>
        <scheme val="minor"/>
      </rPr>
      <t xml:space="preserve"> - German Language
</t>
    </r>
    <r>
      <rPr>
        <b/>
        <sz val="11"/>
        <color theme="1"/>
        <rFont val="Calibri"/>
        <family val="2"/>
        <scheme val="minor"/>
      </rPr>
      <t>CompGovernmentAndPolitics</t>
    </r>
    <r>
      <rPr>
        <sz val="11"/>
        <color theme="1"/>
        <rFont val="Calibri"/>
        <family val="2"/>
        <scheme val="minor"/>
      </rPr>
      <t xml:space="preserve"> - Comp Government And Politics
</t>
    </r>
    <r>
      <rPr>
        <b/>
        <sz val="11"/>
        <color theme="1"/>
        <rFont val="Calibri"/>
        <family val="2"/>
        <scheme val="minor"/>
      </rPr>
      <t>USGovernmentAndPolitics</t>
    </r>
    <r>
      <rPr>
        <sz val="11"/>
        <color theme="1"/>
        <rFont val="Calibri"/>
        <family val="2"/>
        <scheme val="minor"/>
      </rPr>
      <t xml:space="preserve"> - US Government And Politics
</t>
    </r>
    <r>
      <rPr>
        <b/>
        <sz val="11"/>
        <color theme="1"/>
        <rFont val="Calibri"/>
        <family val="2"/>
        <scheme val="minor"/>
      </rPr>
      <t>HumanGeography</t>
    </r>
    <r>
      <rPr>
        <sz val="11"/>
        <color theme="1"/>
        <rFont val="Calibri"/>
        <family val="2"/>
        <scheme val="minor"/>
      </rPr>
      <t xml:space="preserve"> - Human Geography
</t>
    </r>
    <r>
      <rPr>
        <b/>
        <sz val="11"/>
        <color theme="1"/>
        <rFont val="Calibri"/>
        <family val="2"/>
        <scheme val="minor"/>
      </rPr>
      <t>ItalianLanguageAndCulture</t>
    </r>
    <r>
      <rPr>
        <sz val="11"/>
        <color theme="1"/>
        <rFont val="Calibri"/>
        <family val="2"/>
        <scheme val="minor"/>
      </rPr>
      <t xml:space="preserve"> - Italian Language And Culture
</t>
    </r>
    <r>
      <rPr>
        <b/>
        <sz val="11"/>
        <color theme="1"/>
        <rFont val="Calibri"/>
        <family val="2"/>
        <scheme val="minor"/>
      </rPr>
      <t>LatinLiterature</t>
    </r>
    <r>
      <rPr>
        <sz val="11"/>
        <color theme="1"/>
        <rFont val="Calibri"/>
        <family val="2"/>
        <scheme val="minor"/>
      </rPr>
      <t xml:space="preserve"> - Latin Literature
</t>
    </r>
    <r>
      <rPr>
        <b/>
        <sz val="11"/>
        <color theme="1"/>
        <rFont val="Calibri"/>
        <family val="2"/>
        <scheme val="minor"/>
      </rPr>
      <t>LatinVergil</t>
    </r>
    <r>
      <rPr>
        <sz val="11"/>
        <color theme="1"/>
        <rFont val="Calibri"/>
        <family val="2"/>
        <scheme val="minor"/>
      </rPr>
      <t xml:space="preserve"> - Latin Vergil
</t>
    </r>
    <r>
      <rPr>
        <b/>
        <sz val="11"/>
        <color theme="1"/>
        <rFont val="Calibri"/>
        <family val="2"/>
        <scheme val="minor"/>
      </rPr>
      <t>MusicTheory</t>
    </r>
    <r>
      <rPr>
        <sz val="11"/>
        <color theme="1"/>
        <rFont val="Calibri"/>
        <family val="2"/>
        <scheme val="minor"/>
      </rPr>
      <t xml:space="preserve"> - Music Theory
</t>
    </r>
    <r>
      <rPr>
        <b/>
        <sz val="11"/>
        <color theme="1"/>
        <rFont val="Calibri"/>
        <family val="2"/>
        <scheme val="minor"/>
      </rPr>
      <t>PhysicsB</t>
    </r>
    <r>
      <rPr>
        <sz val="11"/>
        <color theme="1"/>
        <rFont val="Calibri"/>
        <family val="2"/>
        <scheme val="minor"/>
      </rPr>
      <t xml:space="preserve"> - Physics B
</t>
    </r>
    <r>
      <rPr>
        <b/>
        <sz val="11"/>
        <color theme="1"/>
        <rFont val="Calibri"/>
        <family val="2"/>
        <scheme val="minor"/>
      </rPr>
      <t>PhysicsC</t>
    </r>
    <r>
      <rPr>
        <sz val="11"/>
        <color theme="1"/>
        <rFont val="Calibri"/>
        <family val="2"/>
        <scheme val="minor"/>
      </rPr>
      <t xml:space="preserve"> - Physics C
</t>
    </r>
    <r>
      <rPr>
        <b/>
        <sz val="11"/>
        <color theme="1"/>
        <rFont val="Calibri"/>
        <family val="2"/>
        <scheme val="minor"/>
      </rPr>
      <t>Psychology</t>
    </r>
    <r>
      <rPr>
        <sz val="11"/>
        <color theme="1"/>
        <rFont val="Calibri"/>
        <family val="2"/>
        <scheme val="minor"/>
      </rPr>
      <t xml:space="preserve"> - Psychology
</t>
    </r>
    <r>
      <rPr>
        <b/>
        <sz val="11"/>
        <color theme="1"/>
        <rFont val="Calibri"/>
        <family val="2"/>
        <scheme val="minor"/>
      </rPr>
      <t>SpanishLanguage</t>
    </r>
    <r>
      <rPr>
        <sz val="11"/>
        <color theme="1"/>
        <rFont val="Calibri"/>
        <family val="2"/>
        <scheme val="minor"/>
      </rPr>
      <t xml:space="preserve"> - Spanish Language
</t>
    </r>
    <r>
      <rPr>
        <b/>
        <sz val="11"/>
        <color theme="1"/>
        <rFont val="Calibri"/>
        <family val="2"/>
        <scheme val="minor"/>
      </rPr>
      <t>SpanishLiterature</t>
    </r>
    <r>
      <rPr>
        <sz val="11"/>
        <color theme="1"/>
        <rFont val="Calibri"/>
        <family val="2"/>
        <scheme val="minor"/>
      </rPr>
      <t xml:space="preserve"> - Spanish Literature
</t>
    </r>
    <r>
      <rPr>
        <b/>
        <sz val="11"/>
        <color theme="1"/>
        <rFont val="Calibri"/>
        <family val="2"/>
        <scheme val="minor"/>
      </rPr>
      <t>Statistics</t>
    </r>
    <r>
      <rPr>
        <sz val="11"/>
        <color theme="1"/>
        <rFont val="Calibri"/>
        <family val="2"/>
        <scheme val="minor"/>
      </rPr>
      <t xml:space="preserve"> - Statistics
</t>
    </r>
    <r>
      <rPr>
        <b/>
        <sz val="11"/>
        <color theme="1"/>
        <rFont val="Calibri"/>
        <family val="2"/>
        <scheme val="minor"/>
      </rPr>
      <t>StudioArt</t>
    </r>
    <r>
      <rPr>
        <sz val="11"/>
        <color theme="1"/>
        <rFont val="Calibri"/>
        <family val="2"/>
        <scheme val="minor"/>
      </rPr>
      <t xml:space="preserve"> - Studio Art
</t>
    </r>
    <r>
      <rPr>
        <b/>
        <sz val="11"/>
        <color theme="1"/>
        <rFont val="Calibri"/>
        <family val="2"/>
        <scheme val="minor"/>
      </rPr>
      <t>USHistory</t>
    </r>
    <r>
      <rPr>
        <sz val="11"/>
        <color theme="1"/>
        <rFont val="Calibri"/>
        <family val="2"/>
        <scheme val="minor"/>
      </rPr>
      <t xml:space="preserve"> - US History
</t>
    </r>
    <r>
      <rPr>
        <b/>
        <sz val="11"/>
        <color theme="1"/>
        <rFont val="Calibri"/>
        <family val="2"/>
        <scheme val="minor"/>
      </rPr>
      <t>WorldHistory</t>
    </r>
    <r>
      <rPr>
        <sz val="11"/>
        <color theme="1"/>
        <rFont val="Calibri"/>
        <family val="2"/>
        <scheme val="minor"/>
      </rPr>
      <t xml:space="preserve"> - World History
</t>
    </r>
  </si>
  <si>
    <r>
      <t>417930000</t>
    </r>
    <r>
      <rPr>
        <sz val="11"/>
        <color theme="1"/>
        <rFont val="Calibri"/>
        <family val="2"/>
        <scheme val="minor"/>
      </rPr>
      <t xml:space="preserve"> - Allergy to adhesive
</t>
    </r>
    <r>
      <rPr>
        <b/>
        <sz val="11"/>
        <color theme="1"/>
        <rFont val="Calibri"/>
        <family val="2"/>
        <scheme val="minor"/>
      </rPr>
      <t>419238009</t>
    </r>
    <r>
      <rPr>
        <sz val="11"/>
        <color theme="1"/>
        <rFont val="Calibri"/>
        <family val="2"/>
        <scheme val="minor"/>
      </rPr>
      <t xml:space="preserve"> - Allergy to adhesive bandage
</t>
    </r>
    <r>
      <rPr>
        <b/>
        <sz val="11"/>
        <color theme="1"/>
        <rFont val="Calibri"/>
        <family val="2"/>
        <scheme val="minor"/>
      </rPr>
      <t>420140004</t>
    </r>
    <r>
      <rPr>
        <sz val="11"/>
        <color theme="1"/>
        <rFont val="Calibri"/>
        <family val="2"/>
        <scheme val="minor"/>
      </rPr>
      <t xml:space="preserve"> - Allergy to alcohol
</t>
    </r>
    <r>
      <rPr>
        <b/>
        <sz val="11"/>
        <color theme="1"/>
        <rFont val="Calibri"/>
        <family val="2"/>
        <scheme val="minor"/>
      </rPr>
      <t>418606003</t>
    </r>
    <r>
      <rPr>
        <sz val="11"/>
        <color theme="1"/>
        <rFont val="Calibri"/>
        <family val="2"/>
        <scheme val="minor"/>
      </rPr>
      <t xml:space="preserve"> - Allergy to almond oil
</t>
    </r>
    <r>
      <rPr>
        <b/>
        <sz val="11"/>
        <color theme="1"/>
        <rFont val="Calibri"/>
        <family val="2"/>
        <scheme val="minor"/>
      </rPr>
      <t>439109008</t>
    </r>
    <r>
      <rPr>
        <sz val="11"/>
        <color theme="1"/>
        <rFont val="Calibri"/>
        <family val="2"/>
        <scheme val="minor"/>
      </rPr>
      <t xml:space="preserve"> - Allergy to alpha glucoside inhibitor
</t>
    </r>
    <r>
      <rPr>
        <b/>
        <sz val="11"/>
        <color theme="1"/>
        <rFont val="Calibri"/>
        <family val="2"/>
        <scheme val="minor"/>
      </rPr>
      <t>402306009</t>
    </r>
    <r>
      <rPr>
        <sz val="11"/>
        <color theme="1"/>
        <rFont val="Calibri"/>
        <family val="2"/>
        <scheme val="minor"/>
      </rPr>
      <t xml:space="preserve"> - Allergy to aluminum
</t>
    </r>
    <r>
      <rPr>
        <b/>
        <sz val="11"/>
        <color theme="1"/>
        <rFont val="Calibri"/>
        <family val="2"/>
        <scheme val="minor"/>
      </rPr>
      <t>439405005</t>
    </r>
    <r>
      <rPr>
        <sz val="11"/>
        <color theme="1"/>
        <rFont val="Calibri"/>
        <family val="2"/>
        <scheme val="minor"/>
      </rPr>
      <t xml:space="preserve"> - Allergy to angiotensin II receptor antagonist
</t>
    </r>
    <r>
      <rPr>
        <b/>
        <sz val="11"/>
        <color theme="1"/>
        <rFont val="Calibri"/>
        <family val="2"/>
        <scheme val="minor"/>
      </rPr>
      <t>232347008</t>
    </r>
    <r>
      <rPr>
        <sz val="11"/>
        <color theme="1"/>
        <rFont val="Calibri"/>
        <family val="2"/>
        <scheme val="minor"/>
      </rPr>
      <t xml:space="preserve"> - Allergy to animal
</t>
    </r>
    <r>
      <rPr>
        <b/>
        <sz val="11"/>
        <color theme="1"/>
        <rFont val="Calibri"/>
        <family val="2"/>
        <scheme val="minor"/>
      </rPr>
      <t>300911008</t>
    </r>
    <r>
      <rPr>
        <sz val="11"/>
        <color theme="1"/>
        <rFont val="Calibri"/>
        <family val="2"/>
        <scheme val="minor"/>
      </rPr>
      <t xml:space="preserve"> - Allergy to animal hair
</t>
    </r>
    <r>
      <rPr>
        <b/>
        <sz val="11"/>
        <color theme="1"/>
        <rFont val="Calibri"/>
        <family val="2"/>
        <scheme val="minor"/>
      </rPr>
      <t>91929009</t>
    </r>
    <r>
      <rPr>
        <sz val="11"/>
        <color theme="1"/>
        <rFont val="Calibri"/>
        <family val="2"/>
        <scheme val="minor"/>
      </rPr>
      <t xml:space="preserve"> - Allergy to anti-infective agent
</t>
    </r>
    <r>
      <rPr>
        <b/>
        <sz val="11"/>
        <color theme="1"/>
        <rFont val="Calibri"/>
        <family val="2"/>
        <scheme val="minor"/>
      </rPr>
      <t>418314004</t>
    </r>
    <r>
      <rPr>
        <sz val="11"/>
        <color theme="1"/>
        <rFont val="Calibri"/>
        <family val="2"/>
        <scheme val="minor"/>
      </rPr>
      <t xml:space="preserve"> - Allergy to apple juice
</t>
    </r>
    <r>
      <rPr>
        <b/>
        <sz val="11"/>
        <color theme="1"/>
        <rFont val="Calibri"/>
        <family val="2"/>
        <scheme val="minor"/>
      </rPr>
      <t>419180003</t>
    </r>
    <r>
      <rPr>
        <sz val="11"/>
        <color theme="1"/>
        <rFont val="Calibri"/>
        <family val="2"/>
        <scheme val="minor"/>
      </rPr>
      <t xml:space="preserve"> - Allergy to aspartame
</t>
    </r>
    <r>
      <rPr>
        <b/>
        <sz val="11"/>
        <color theme="1"/>
        <rFont val="Calibri"/>
        <family val="2"/>
        <scheme val="minor"/>
      </rPr>
      <t>294314002</t>
    </r>
    <r>
      <rPr>
        <sz val="11"/>
        <color theme="1"/>
        <rFont val="Calibri"/>
        <family val="2"/>
        <scheme val="minor"/>
      </rPr>
      <t xml:space="preserve"> - Allergy to bases and inactive substances
</t>
    </r>
    <r>
      <rPr>
        <b/>
        <sz val="11"/>
        <color theme="1"/>
        <rFont val="Calibri"/>
        <family val="2"/>
        <scheme val="minor"/>
      </rPr>
      <t>424213003</t>
    </r>
    <r>
      <rPr>
        <sz val="11"/>
        <color theme="1"/>
        <rFont val="Calibri"/>
        <family val="2"/>
        <scheme val="minor"/>
      </rPr>
      <t xml:space="preserve"> - Allergy to bee venom
</t>
    </r>
    <r>
      <rPr>
        <b/>
        <sz val="11"/>
        <color theme="1"/>
        <rFont val="Calibri"/>
        <family val="2"/>
        <scheme val="minor"/>
      </rPr>
      <t>402591008</t>
    </r>
    <r>
      <rPr>
        <sz val="11"/>
        <color theme="1"/>
        <rFont val="Calibri"/>
        <family val="2"/>
        <scheme val="minor"/>
      </rPr>
      <t xml:space="preserve"> - Allergy to biocide
</t>
    </r>
    <r>
      <rPr>
        <b/>
        <sz val="11"/>
        <color theme="1"/>
        <rFont val="Calibri"/>
        <family val="2"/>
        <scheme val="minor"/>
      </rPr>
      <t>402590009</t>
    </r>
    <r>
      <rPr>
        <sz val="11"/>
        <color theme="1"/>
        <rFont val="Calibri"/>
        <family val="2"/>
        <scheme val="minor"/>
      </rPr>
      <t xml:space="preserve"> - Allergy to biocide in cosmetic
</t>
    </r>
    <r>
      <rPr>
        <b/>
        <sz val="11"/>
        <color theme="1"/>
        <rFont val="Calibri"/>
        <family val="2"/>
        <scheme val="minor"/>
      </rPr>
      <t>418344001</t>
    </r>
    <r>
      <rPr>
        <sz val="11"/>
        <color theme="1"/>
        <rFont val="Calibri"/>
        <family val="2"/>
        <scheme val="minor"/>
      </rPr>
      <t xml:space="preserve"> - Allergy to caffeine
</t>
    </r>
    <r>
      <rPr>
        <b/>
        <sz val="11"/>
        <color theme="1"/>
        <rFont val="Calibri"/>
        <family val="2"/>
        <scheme val="minor"/>
      </rPr>
      <t>420080006</t>
    </r>
    <r>
      <rPr>
        <sz val="11"/>
        <color theme="1"/>
        <rFont val="Calibri"/>
        <family val="2"/>
        <scheme val="minor"/>
      </rPr>
      <t xml:space="preserve"> - Allergy to carrot
</t>
    </r>
    <r>
      <rPr>
        <b/>
        <sz val="11"/>
        <color theme="1"/>
        <rFont val="Calibri"/>
        <family val="2"/>
        <scheme val="minor"/>
      </rPr>
      <t>232346004</t>
    </r>
    <r>
      <rPr>
        <sz val="11"/>
        <color theme="1"/>
        <rFont val="Calibri"/>
        <family val="2"/>
        <scheme val="minor"/>
      </rPr>
      <t xml:space="preserve"> - Allergy to cat dander
</t>
    </r>
    <r>
      <rPr>
        <b/>
        <sz val="11"/>
        <color theme="1"/>
        <rFont val="Calibri"/>
        <family val="2"/>
        <scheme val="minor"/>
      </rPr>
      <t>418051002</t>
    </r>
    <r>
      <rPr>
        <sz val="11"/>
        <color theme="1"/>
        <rFont val="Calibri"/>
        <family val="2"/>
        <scheme val="minor"/>
      </rPr>
      <t xml:space="preserve"> - Allergy to cherry
</t>
    </r>
    <r>
      <rPr>
        <b/>
        <sz val="11"/>
        <color theme="1"/>
        <rFont val="Calibri"/>
        <family val="2"/>
        <scheme val="minor"/>
      </rPr>
      <t>441931002</t>
    </r>
    <r>
      <rPr>
        <sz val="11"/>
        <color theme="1"/>
        <rFont val="Calibri"/>
        <family val="2"/>
        <scheme val="minor"/>
      </rPr>
      <t xml:space="preserve"> - Allergy to chloroprocaine
</t>
    </r>
    <r>
      <rPr>
        <b/>
        <sz val="11"/>
        <color theme="1"/>
        <rFont val="Calibri"/>
        <family val="2"/>
        <scheme val="minor"/>
      </rPr>
      <t>418397007</t>
    </r>
    <r>
      <rPr>
        <sz val="11"/>
        <color theme="1"/>
        <rFont val="Calibri"/>
        <family val="2"/>
        <scheme val="minor"/>
      </rPr>
      <t xml:space="preserve"> - Allergy to cinnamon
</t>
    </r>
    <r>
      <rPr>
        <b/>
        <sz val="11"/>
        <color theme="1"/>
        <rFont val="Calibri"/>
        <family val="2"/>
        <scheme val="minor"/>
      </rPr>
      <t>448438007</t>
    </r>
    <r>
      <rPr>
        <sz val="11"/>
        <color theme="1"/>
        <rFont val="Calibri"/>
        <family val="2"/>
        <scheme val="minor"/>
      </rPr>
      <t xml:space="preserve"> - Allergy to cisatracurium
</t>
    </r>
    <r>
      <rPr>
        <b/>
        <sz val="11"/>
        <color theme="1"/>
        <rFont val="Calibri"/>
        <family val="2"/>
        <scheme val="minor"/>
      </rPr>
      <t>418085001</t>
    </r>
    <r>
      <rPr>
        <sz val="11"/>
        <color theme="1"/>
        <rFont val="Calibri"/>
        <family val="2"/>
        <scheme val="minor"/>
      </rPr>
      <t xml:space="preserve"> - Allergy to citrus fruit
</t>
    </r>
    <r>
      <rPr>
        <b/>
        <sz val="11"/>
        <color theme="1"/>
        <rFont val="Calibri"/>
        <family val="2"/>
        <scheme val="minor"/>
      </rPr>
      <t>419814004</t>
    </r>
    <r>
      <rPr>
        <sz val="11"/>
        <color theme="1"/>
        <rFont val="Calibri"/>
        <family val="2"/>
        <scheme val="minor"/>
      </rPr>
      <t xml:space="preserve"> - Allergy to coconut oil
</t>
    </r>
    <r>
      <rPr>
        <b/>
        <sz val="11"/>
        <color theme="1"/>
        <rFont val="Calibri"/>
        <family val="2"/>
        <scheme val="minor"/>
      </rPr>
      <t>419573007</t>
    </r>
    <r>
      <rPr>
        <sz val="11"/>
        <color theme="1"/>
        <rFont val="Calibri"/>
        <family val="2"/>
        <scheme val="minor"/>
      </rPr>
      <t xml:space="preserve"> - Allergy to corn
</t>
    </r>
    <r>
      <rPr>
        <b/>
        <sz val="11"/>
        <color theme="1"/>
        <rFont val="Calibri"/>
        <family val="2"/>
        <scheme val="minor"/>
      </rPr>
      <t>417982003</t>
    </r>
    <r>
      <rPr>
        <sz val="11"/>
        <color theme="1"/>
        <rFont val="Calibri"/>
        <family val="2"/>
        <scheme val="minor"/>
      </rPr>
      <t xml:space="preserve"> - Allergy to cosmetic
</t>
    </r>
    <r>
      <rPr>
        <b/>
        <sz val="11"/>
        <color theme="1"/>
        <rFont val="Calibri"/>
        <family val="2"/>
        <scheme val="minor"/>
      </rPr>
      <t>425525006</t>
    </r>
    <r>
      <rPr>
        <sz val="11"/>
        <color theme="1"/>
        <rFont val="Calibri"/>
        <family val="2"/>
        <scheme val="minor"/>
      </rPr>
      <t xml:space="preserve"> - Allergy to dairy product
</t>
    </r>
    <r>
      <rPr>
        <b/>
        <sz val="11"/>
        <color theme="1"/>
        <rFont val="Calibri"/>
        <family val="2"/>
        <scheme val="minor"/>
      </rPr>
      <t>447961002</t>
    </r>
    <r>
      <rPr>
        <sz val="11"/>
        <color theme="1"/>
        <rFont val="Calibri"/>
        <family val="2"/>
        <scheme val="minor"/>
      </rPr>
      <t xml:space="preserve"> - Allergy to dietary mushroom
</t>
    </r>
    <r>
      <rPr>
        <b/>
        <sz val="11"/>
        <color theme="1"/>
        <rFont val="Calibri"/>
        <family val="2"/>
        <scheme val="minor"/>
      </rPr>
      <t>419271008</t>
    </r>
    <r>
      <rPr>
        <sz val="11"/>
        <color theme="1"/>
        <rFont val="Calibri"/>
        <family val="2"/>
        <scheme val="minor"/>
      </rPr>
      <t xml:space="preserve"> - Allergy to dog dander
</t>
    </r>
    <r>
      <rPr>
        <b/>
        <sz val="11"/>
        <color theme="1"/>
        <rFont val="Calibri"/>
        <family val="2"/>
        <scheme val="minor"/>
      </rPr>
      <t>449324007</t>
    </r>
    <r>
      <rPr>
        <sz val="11"/>
        <color theme="1"/>
        <rFont val="Calibri"/>
        <family val="2"/>
        <scheme val="minor"/>
      </rPr>
      <t xml:space="preserve"> - Allergy to doxacurium
</t>
    </r>
    <r>
      <rPr>
        <b/>
        <sz val="11"/>
        <color theme="1"/>
        <rFont val="Calibri"/>
        <family val="2"/>
        <scheme val="minor"/>
      </rPr>
      <t>416098002</t>
    </r>
    <r>
      <rPr>
        <sz val="11"/>
        <color theme="1"/>
        <rFont val="Calibri"/>
        <family val="2"/>
        <scheme val="minor"/>
      </rPr>
      <t xml:space="preserve"> - Allergy to drug
</t>
    </r>
    <r>
      <rPr>
        <b/>
        <sz val="11"/>
        <color theme="1"/>
        <rFont val="Calibri"/>
        <family val="2"/>
        <scheme val="minor"/>
      </rPr>
      <t>402592001</t>
    </r>
    <r>
      <rPr>
        <sz val="11"/>
        <color theme="1"/>
        <rFont val="Calibri"/>
        <family val="2"/>
        <scheme val="minor"/>
      </rPr>
      <t xml:space="preserve"> - Allergy to drug in contact with skin
</t>
    </r>
    <r>
      <rPr>
        <b/>
        <sz val="11"/>
        <color theme="1"/>
        <rFont val="Calibri"/>
        <family val="2"/>
        <scheme val="minor"/>
      </rPr>
      <t>402593006</t>
    </r>
    <r>
      <rPr>
        <sz val="11"/>
        <color theme="1"/>
        <rFont val="Calibri"/>
        <family val="2"/>
        <scheme val="minor"/>
      </rPr>
      <t xml:space="preserve"> - Allergy to drug vehicle
</t>
    </r>
    <r>
      <rPr>
        <b/>
        <sz val="11"/>
        <color theme="1"/>
        <rFont val="Calibri"/>
        <family val="2"/>
        <scheme val="minor"/>
      </rPr>
      <t>418545001</t>
    </r>
    <r>
      <rPr>
        <sz val="11"/>
        <color theme="1"/>
        <rFont val="Calibri"/>
        <family val="2"/>
        <scheme val="minor"/>
      </rPr>
      <t xml:space="preserve"> - Allergy to dye
</t>
    </r>
    <r>
      <rPr>
        <b/>
        <sz val="11"/>
        <color theme="1"/>
        <rFont val="Calibri"/>
        <family val="2"/>
        <scheme val="minor"/>
      </rPr>
      <t>91930004</t>
    </r>
    <r>
      <rPr>
        <sz val="11"/>
        <color theme="1"/>
        <rFont val="Calibri"/>
        <family val="2"/>
        <scheme val="minor"/>
      </rPr>
      <t xml:space="preserve"> - Allergy to eggs
</t>
    </r>
    <r>
      <rPr>
        <b/>
        <sz val="11"/>
        <color theme="1"/>
        <rFont val="Calibri"/>
        <family val="2"/>
        <scheme val="minor"/>
      </rPr>
      <t>441725009</t>
    </r>
    <r>
      <rPr>
        <sz val="11"/>
        <color theme="1"/>
        <rFont val="Calibri"/>
        <family val="2"/>
        <scheme val="minor"/>
      </rPr>
      <t xml:space="preserve"> - Allergy to ertapenem
</t>
    </r>
    <r>
      <rPr>
        <b/>
        <sz val="11"/>
        <color theme="1"/>
        <rFont val="Calibri"/>
        <family val="2"/>
        <scheme val="minor"/>
      </rPr>
      <t>91931000</t>
    </r>
    <r>
      <rPr>
        <sz val="11"/>
        <color theme="1"/>
        <rFont val="Calibri"/>
        <family val="2"/>
        <scheme val="minor"/>
      </rPr>
      <t xml:space="preserve"> - Allergy to erythromycin
</t>
    </r>
    <r>
      <rPr>
        <b/>
        <sz val="11"/>
        <color theme="1"/>
        <rFont val="Calibri"/>
        <family val="2"/>
        <scheme val="minor"/>
      </rPr>
      <t>420140004</t>
    </r>
    <r>
      <rPr>
        <sz val="11"/>
        <color theme="1"/>
        <rFont val="Calibri"/>
        <family val="2"/>
        <scheme val="minor"/>
      </rPr>
      <t xml:space="preserve"> - Allergy to ethanol
</t>
    </r>
    <r>
      <rPr>
        <b/>
        <sz val="11"/>
        <color theme="1"/>
        <rFont val="Calibri"/>
        <family val="2"/>
        <scheme val="minor"/>
      </rPr>
      <t>420140004</t>
    </r>
    <r>
      <rPr>
        <sz val="11"/>
        <color theme="1"/>
        <rFont val="Calibri"/>
        <family val="2"/>
        <scheme val="minor"/>
      </rPr>
      <t xml:space="preserve"> - Allergy to ethyl alcohol
</t>
    </r>
    <r>
      <rPr>
        <b/>
        <sz val="11"/>
        <color theme="1"/>
        <rFont val="Calibri"/>
        <family val="2"/>
        <scheme val="minor"/>
      </rPr>
      <t>417532002</t>
    </r>
    <r>
      <rPr>
        <sz val="11"/>
        <color theme="1"/>
        <rFont val="Calibri"/>
        <family val="2"/>
        <scheme val="minor"/>
      </rPr>
      <t xml:space="preserve"> - Allergy to fish
</t>
    </r>
    <r>
      <rPr>
        <b/>
        <sz val="11"/>
        <color theme="1"/>
        <rFont val="Calibri"/>
        <family val="2"/>
        <scheme val="minor"/>
      </rPr>
      <t>402598002</t>
    </r>
    <r>
      <rPr>
        <sz val="11"/>
        <color theme="1"/>
        <rFont val="Calibri"/>
        <family val="2"/>
        <scheme val="minor"/>
      </rPr>
      <t xml:space="preserve"> - Allergy to flavor
</t>
    </r>
    <r>
      <rPr>
        <b/>
        <sz val="11"/>
        <color theme="1"/>
        <rFont val="Calibri"/>
        <family val="2"/>
        <scheme val="minor"/>
      </rPr>
      <t>91932007</t>
    </r>
    <r>
      <rPr>
        <sz val="11"/>
        <color theme="1"/>
        <rFont val="Calibri"/>
        <family val="2"/>
        <scheme val="minor"/>
      </rPr>
      <t xml:space="preserve"> - Allergy to fruit
</t>
    </r>
    <r>
      <rPr>
        <b/>
        <sz val="11"/>
        <color theme="1"/>
        <rFont val="Calibri"/>
        <family val="2"/>
        <scheme val="minor"/>
      </rPr>
      <t>418968001</t>
    </r>
    <r>
      <rPr>
        <sz val="11"/>
        <color theme="1"/>
        <rFont val="Calibri"/>
        <family val="2"/>
        <scheme val="minor"/>
      </rPr>
      <t xml:space="preserve"> - Allergy to gauze
</t>
    </r>
    <r>
      <rPr>
        <b/>
        <sz val="11"/>
        <color theme="1"/>
        <rFont val="Calibri"/>
        <family val="2"/>
        <scheme val="minor"/>
      </rPr>
      <t>418689008</t>
    </r>
    <r>
      <rPr>
        <sz val="11"/>
        <color theme="1"/>
        <rFont val="Calibri"/>
        <family val="2"/>
        <scheme val="minor"/>
      </rPr>
      <t xml:space="preserve"> - Allergy to grass pollen
</t>
    </r>
    <r>
      <rPr>
        <b/>
        <sz val="11"/>
        <color theme="1"/>
        <rFont val="Calibri"/>
        <family val="2"/>
        <scheme val="minor"/>
      </rPr>
      <t>418689008</t>
    </r>
    <r>
      <rPr>
        <sz val="11"/>
        <color theme="1"/>
        <rFont val="Calibri"/>
        <family val="2"/>
        <scheme val="minor"/>
      </rPr>
      <t xml:space="preserve"> - Allergy to hay
</t>
    </r>
    <r>
      <rPr>
        <b/>
        <sz val="11"/>
        <color theme="1"/>
        <rFont val="Calibri"/>
        <family val="2"/>
        <scheme val="minor"/>
      </rPr>
      <t>419063004</t>
    </r>
    <r>
      <rPr>
        <sz val="11"/>
        <color theme="1"/>
        <rFont val="Calibri"/>
        <family val="2"/>
        <scheme val="minor"/>
      </rPr>
      <t xml:space="preserve"> - Allergy to horse dander
</t>
    </r>
    <r>
      <rPr>
        <b/>
        <sz val="11"/>
        <color theme="1"/>
        <rFont val="Calibri"/>
        <family val="2"/>
        <scheme val="minor"/>
      </rPr>
      <t>442408006</t>
    </r>
    <r>
      <rPr>
        <sz val="11"/>
        <color theme="1"/>
        <rFont val="Calibri"/>
        <family val="2"/>
        <scheme val="minor"/>
      </rPr>
      <t xml:space="preserve"> - Allergy to imipenem
</t>
    </r>
    <r>
      <rPr>
        <b/>
        <sz val="11"/>
        <color theme="1"/>
        <rFont val="Calibri"/>
        <family val="2"/>
        <scheme val="minor"/>
      </rPr>
      <t>294162002</t>
    </r>
    <r>
      <rPr>
        <sz val="11"/>
        <color theme="1"/>
        <rFont val="Calibri"/>
        <family val="2"/>
        <scheme val="minor"/>
      </rPr>
      <t xml:space="preserve"> - Allergy to inhaled corticosteroids
</t>
    </r>
    <r>
      <rPr>
        <b/>
        <sz val="11"/>
        <color theme="1"/>
        <rFont val="Calibri"/>
        <family val="2"/>
        <scheme val="minor"/>
      </rPr>
      <t>409136006</t>
    </r>
    <r>
      <rPr>
        <sz val="11"/>
        <color theme="1"/>
        <rFont val="Calibri"/>
        <family val="2"/>
        <scheme val="minor"/>
      </rPr>
      <t xml:space="preserve"> - Allergy to legumes
</t>
    </r>
    <r>
      <rPr>
        <b/>
        <sz val="11"/>
        <color theme="1"/>
        <rFont val="Calibri"/>
        <family val="2"/>
        <scheme val="minor"/>
      </rPr>
      <t>402596003</t>
    </r>
    <r>
      <rPr>
        <sz val="11"/>
        <color theme="1"/>
        <rFont val="Calibri"/>
        <family val="2"/>
        <scheme val="minor"/>
      </rPr>
      <t xml:space="preserve"> - Allergy to lichen
</t>
    </r>
    <r>
      <rPr>
        <b/>
        <sz val="11"/>
        <color theme="1"/>
        <rFont val="Calibri"/>
        <family val="2"/>
        <scheme val="minor"/>
      </rPr>
      <t>418626004</t>
    </r>
    <r>
      <rPr>
        <sz val="11"/>
        <color theme="1"/>
        <rFont val="Calibri"/>
        <family val="2"/>
        <scheme val="minor"/>
      </rPr>
      <t xml:space="preserve"> - Allergy to lobster
</t>
    </r>
    <r>
      <rPr>
        <b/>
        <sz val="11"/>
        <color theme="1"/>
        <rFont val="Calibri"/>
        <family val="2"/>
        <scheme val="minor"/>
      </rPr>
      <t>91933002</t>
    </r>
    <r>
      <rPr>
        <sz val="11"/>
        <color theme="1"/>
        <rFont val="Calibri"/>
        <family val="2"/>
        <scheme val="minor"/>
      </rPr>
      <t xml:space="preserve"> - Allergy to macrolide antibiotic
</t>
    </r>
    <r>
      <rPr>
        <b/>
        <sz val="11"/>
        <color theme="1"/>
        <rFont val="Calibri"/>
        <family val="2"/>
        <scheme val="minor"/>
      </rPr>
      <t>439406006</t>
    </r>
    <r>
      <rPr>
        <sz val="11"/>
        <color theme="1"/>
        <rFont val="Calibri"/>
        <family val="2"/>
        <scheme val="minor"/>
      </rPr>
      <t xml:space="preserve"> - Allergy to meglitinide
</t>
    </r>
    <r>
      <rPr>
        <b/>
        <sz val="11"/>
        <color theme="1"/>
        <rFont val="Calibri"/>
        <family val="2"/>
        <scheme val="minor"/>
      </rPr>
      <t>442022002</t>
    </r>
    <r>
      <rPr>
        <sz val="11"/>
        <color theme="1"/>
        <rFont val="Calibri"/>
        <family val="2"/>
        <scheme val="minor"/>
      </rPr>
      <t xml:space="preserve"> - Allergy to meropenem
</t>
    </r>
    <r>
      <rPr>
        <b/>
        <sz val="11"/>
        <color theme="1"/>
        <rFont val="Calibri"/>
        <family val="2"/>
        <scheme val="minor"/>
      </rPr>
      <t>419474003</t>
    </r>
    <r>
      <rPr>
        <sz val="11"/>
        <color theme="1"/>
        <rFont val="Calibri"/>
        <family val="2"/>
        <scheme val="minor"/>
      </rPr>
      <t xml:space="preserve"> - Allergy to mildew
</t>
    </r>
    <r>
      <rPr>
        <b/>
        <sz val="11"/>
        <color theme="1"/>
        <rFont val="Calibri"/>
        <family val="2"/>
        <scheme val="minor"/>
      </rPr>
      <t>419474003</t>
    </r>
    <r>
      <rPr>
        <sz val="11"/>
        <color theme="1"/>
        <rFont val="Calibri"/>
        <family val="2"/>
        <scheme val="minor"/>
      </rPr>
      <t xml:space="preserve"> - Allergy to mold
</t>
    </r>
    <r>
      <rPr>
        <b/>
        <sz val="11"/>
        <color theme="1"/>
        <rFont val="Calibri"/>
        <family val="2"/>
        <scheme val="minor"/>
      </rPr>
      <t>419474003</t>
    </r>
    <r>
      <rPr>
        <sz val="11"/>
        <color theme="1"/>
        <rFont val="Calibri"/>
        <family val="2"/>
        <scheme val="minor"/>
      </rPr>
      <t xml:space="preserve"> - Allergy to mould
</t>
    </r>
    <r>
      <rPr>
        <b/>
        <sz val="11"/>
        <color theme="1"/>
        <rFont val="Calibri"/>
        <family val="2"/>
        <scheme val="minor"/>
      </rPr>
      <t>445395006</t>
    </r>
    <r>
      <rPr>
        <sz val="11"/>
        <color theme="1"/>
        <rFont val="Calibri"/>
        <family val="2"/>
        <scheme val="minor"/>
      </rPr>
      <t xml:space="preserve"> - Allergy to Myroxylon pereirae
</t>
    </r>
    <r>
      <rPr>
        <b/>
        <sz val="11"/>
        <color theme="1"/>
        <rFont val="Calibri"/>
        <family val="2"/>
        <scheme val="minor"/>
      </rPr>
      <t>419788000</t>
    </r>
    <r>
      <rPr>
        <sz val="11"/>
        <color theme="1"/>
        <rFont val="Calibri"/>
        <family val="2"/>
        <scheme val="minor"/>
      </rPr>
      <t xml:space="preserve"> - Allergy to nickel
</t>
    </r>
    <r>
      <rPr>
        <b/>
        <sz val="11"/>
        <color theme="1"/>
        <rFont val="Calibri"/>
        <family val="2"/>
        <scheme val="minor"/>
      </rPr>
      <t>91934008</t>
    </r>
    <r>
      <rPr>
        <sz val="11"/>
        <color theme="1"/>
        <rFont val="Calibri"/>
        <family val="2"/>
        <scheme val="minor"/>
      </rPr>
      <t xml:space="preserve"> - Allergy to nuts
</t>
    </r>
    <r>
      <rPr>
        <b/>
        <sz val="11"/>
        <color theme="1"/>
        <rFont val="Calibri"/>
        <family val="2"/>
        <scheme val="minor"/>
      </rPr>
      <t>419342009</t>
    </r>
    <r>
      <rPr>
        <sz val="11"/>
        <color theme="1"/>
        <rFont val="Calibri"/>
        <family val="2"/>
        <scheme val="minor"/>
      </rPr>
      <t xml:space="preserve"> - Allergy to oats
</t>
    </r>
    <r>
      <rPr>
        <b/>
        <sz val="11"/>
        <color theme="1"/>
        <rFont val="Calibri"/>
        <family val="2"/>
        <scheme val="minor"/>
      </rPr>
      <t>293580007</t>
    </r>
    <r>
      <rPr>
        <sz val="11"/>
        <color theme="1"/>
        <rFont val="Calibri"/>
        <family val="2"/>
        <scheme val="minor"/>
      </rPr>
      <t xml:space="preserve"> - Allergy to over-the-counter drug
</t>
    </r>
    <r>
      <rPr>
        <b/>
        <sz val="11"/>
        <color theme="1"/>
        <rFont val="Calibri"/>
        <family val="2"/>
        <scheme val="minor"/>
      </rPr>
      <t>419967000</t>
    </r>
    <r>
      <rPr>
        <sz val="11"/>
        <color theme="1"/>
        <rFont val="Calibri"/>
        <family val="2"/>
        <scheme val="minor"/>
      </rPr>
      <t xml:space="preserve"> - Allergy to oyster
</t>
    </r>
    <r>
      <rPr>
        <b/>
        <sz val="11"/>
        <color theme="1"/>
        <rFont val="Calibri"/>
        <family val="2"/>
        <scheme val="minor"/>
      </rPr>
      <t>91935009</t>
    </r>
    <r>
      <rPr>
        <sz val="11"/>
        <color theme="1"/>
        <rFont val="Calibri"/>
        <family val="2"/>
        <scheme val="minor"/>
      </rPr>
      <t xml:space="preserve"> - Allergy to peanuts
</t>
    </r>
    <r>
      <rPr>
        <b/>
        <sz val="11"/>
        <color theme="1"/>
        <rFont val="Calibri"/>
        <family val="2"/>
        <scheme val="minor"/>
      </rPr>
      <t>91936005</t>
    </r>
    <r>
      <rPr>
        <sz val="11"/>
        <color theme="1"/>
        <rFont val="Calibri"/>
        <family val="2"/>
        <scheme val="minor"/>
      </rPr>
      <t xml:space="preserve"> - Allergy to penicillin
</t>
    </r>
    <r>
      <rPr>
        <b/>
        <sz val="11"/>
        <color theme="1"/>
        <rFont val="Calibri"/>
        <family val="2"/>
        <scheme val="minor"/>
      </rPr>
      <t>448690007</t>
    </r>
    <r>
      <rPr>
        <sz val="11"/>
        <color theme="1"/>
        <rFont val="Calibri"/>
        <family val="2"/>
        <scheme val="minor"/>
      </rPr>
      <t xml:space="preserve"> - Allergy to phosphodiesterase 5 inhibitor
</t>
    </r>
    <r>
      <rPr>
        <b/>
        <sz val="11"/>
        <color theme="1"/>
        <rFont val="Calibri"/>
        <family val="2"/>
        <scheme val="minor"/>
      </rPr>
      <t>402594000</t>
    </r>
    <r>
      <rPr>
        <sz val="11"/>
        <color theme="1"/>
        <rFont val="Calibri"/>
        <family val="2"/>
        <scheme val="minor"/>
      </rPr>
      <t xml:space="preserve"> - Allergy to plant
</t>
    </r>
    <r>
      <rPr>
        <b/>
        <sz val="11"/>
        <color theme="1"/>
        <rFont val="Calibri"/>
        <family val="2"/>
        <scheme val="minor"/>
      </rPr>
      <t>300910009</t>
    </r>
    <r>
      <rPr>
        <sz val="11"/>
        <color theme="1"/>
        <rFont val="Calibri"/>
        <family val="2"/>
        <scheme val="minor"/>
      </rPr>
      <t xml:space="preserve"> - Allergy to pollen
</t>
    </r>
    <r>
      <rPr>
        <b/>
        <sz val="11"/>
        <color theme="1"/>
        <rFont val="Calibri"/>
        <family val="2"/>
        <scheme val="minor"/>
      </rPr>
      <t>417918006</t>
    </r>
    <r>
      <rPr>
        <sz val="11"/>
        <color theme="1"/>
        <rFont val="Calibri"/>
        <family val="2"/>
        <scheme val="minor"/>
      </rPr>
      <t xml:space="preserve"> - Allergy to pork
</t>
    </r>
    <r>
      <rPr>
        <b/>
        <sz val="11"/>
        <color theme="1"/>
        <rFont val="Calibri"/>
        <family val="2"/>
        <scheme val="minor"/>
      </rPr>
      <t>419619007</t>
    </r>
    <r>
      <rPr>
        <sz val="11"/>
        <color theme="1"/>
        <rFont val="Calibri"/>
        <family val="2"/>
        <scheme val="minor"/>
      </rPr>
      <t xml:space="preserve"> - Allergy to potato
</t>
    </r>
    <r>
      <rPr>
        <b/>
        <sz val="11"/>
        <color theme="1"/>
        <rFont val="Calibri"/>
        <family val="2"/>
        <scheme val="minor"/>
      </rPr>
      <t>409136006</t>
    </r>
    <r>
      <rPr>
        <sz val="11"/>
        <color theme="1"/>
        <rFont val="Calibri"/>
        <family val="2"/>
        <scheme val="minor"/>
      </rPr>
      <t xml:space="preserve"> - Allergy to pulse vegetables
</t>
    </r>
    <r>
      <rPr>
        <b/>
        <sz val="11"/>
        <color theme="1"/>
        <rFont val="Calibri"/>
        <family val="2"/>
        <scheme val="minor"/>
      </rPr>
      <t>418561004</t>
    </r>
    <r>
      <rPr>
        <sz val="11"/>
        <color theme="1"/>
        <rFont val="Calibri"/>
        <family val="2"/>
        <scheme val="minor"/>
      </rPr>
      <t xml:space="preserve"> - Allergy to ragweed pollen
</t>
    </r>
    <r>
      <rPr>
        <b/>
        <sz val="11"/>
        <color theme="1"/>
        <rFont val="Calibri"/>
        <family val="2"/>
        <scheme val="minor"/>
      </rPr>
      <t>473078001</t>
    </r>
    <r>
      <rPr>
        <sz val="11"/>
        <color theme="1"/>
        <rFont val="Calibri"/>
        <family val="2"/>
        <scheme val="minor"/>
      </rPr>
      <t xml:space="preserve"> - Allergy to raloxifene
</t>
    </r>
    <r>
      <rPr>
        <b/>
        <sz val="11"/>
        <color theme="1"/>
        <rFont val="Calibri"/>
        <family val="2"/>
        <scheme val="minor"/>
      </rPr>
      <t>449414003</t>
    </r>
    <r>
      <rPr>
        <sz val="11"/>
        <color theme="1"/>
        <rFont val="Calibri"/>
        <family val="2"/>
        <scheme val="minor"/>
      </rPr>
      <t xml:space="preserve"> - Allergy to rapacuronium
</t>
    </r>
    <r>
      <rPr>
        <b/>
        <sz val="11"/>
        <color theme="1"/>
        <rFont val="Calibri"/>
        <family val="2"/>
        <scheme val="minor"/>
      </rPr>
      <t>418815008</t>
    </r>
    <r>
      <rPr>
        <sz val="11"/>
        <color theme="1"/>
        <rFont val="Calibri"/>
        <family val="2"/>
        <scheme val="minor"/>
      </rPr>
      <t xml:space="preserve"> - Allergy to red meat
</t>
    </r>
    <r>
      <rPr>
        <b/>
        <sz val="11"/>
        <color theme="1"/>
        <rFont val="Calibri"/>
        <family val="2"/>
        <scheme val="minor"/>
      </rPr>
      <t>441992007</t>
    </r>
    <r>
      <rPr>
        <sz val="11"/>
        <color theme="1"/>
        <rFont val="Calibri"/>
        <family val="2"/>
        <scheme val="minor"/>
      </rPr>
      <t xml:space="preserve"> - Allergy to remifentanil
</t>
    </r>
    <r>
      <rPr>
        <b/>
        <sz val="11"/>
        <color theme="1"/>
        <rFont val="Calibri"/>
        <family val="2"/>
        <scheme val="minor"/>
      </rPr>
      <t>419412007</t>
    </r>
    <r>
      <rPr>
        <sz val="11"/>
        <color theme="1"/>
        <rFont val="Calibri"/>
        <family val="2"/>
        <scheme val="minor"/>
      </rPr>
      <t xml:space="preserve"> - Allergy to rubber
</t>
    </r>
    <r>
      <rPr>
        <b/>
        <sz val="11"/>
        <color theme="1"/>
        <rFont val="Calibri"/>
        <family val="2"/>
        <scheme val="minor"/>
      </rPr>
      <t>418184004</t>
    </r>
    <r>
      <rPr>
        <sz val="11"/>
        <color theme="1"/>
        <rFont val="Calibri"/>
        <family val="2"/>
        <scheme val="minor"/>
      </rPr>
      <t xml:space="preserve"> - Allergy to rye
</t>
    </r>
    <r>
      <rPr>
        <b/>
        <sz val="11"/>
        <color theme="1"/>
        <rFont val="Calibri"/>
        <family val="2"/>
        <scheme val="minor"/>
      </rPr>
      <t>422921000</t>
    </r>
    <r>
      <rPr>
        <sz val="11"/>
        <color theme="1"/>
        <rFont val="Calibri"/>
        <family val="2"/>
        <scheme val="minor"/>
      </rPr>
      <t xml:space="preserve"> - Allergy to scorpion venom
</t>
    </r>
    <r>
      <rPr>
        <b/>
        <sz val="11"/>
        <color theme="1"/>
        <rFont val="Calibri"/>
        <family val="2"/>
        <scheme val="minor"/>
      </rPr>
      <t>91937001</t>
    </r>
    <r>
      <rPr>
        <sz val="11"/>
        <color theme="1"/>
        <rFont val="Calibri"/>
        <family val="2"/>
        <scheme val="minor"/>
      </rPr>
      <t xml:space="preserve"> - Allergy to seafood
</t>
    </r>
    <r>
      <rPr>
        <b/>
        <sz val="11"/>
        <color theme="1"/>
        <rFont val="Calibri"/>
        <family val="2"/>
        <scheme val="minor"/>
      </rPr>
      <t>419101002</t>
    </r>
    <r>
      <rPr>
        <sz val="11"/>
        <color theme="1"/>
        <rFont val="Calibri"/>
        <family val="2"/>
        <scheme val="minor"/>
      </rPr>
      <t xml:space="preserve"> - Allergy to seed
</t>
    </r>
    <r>
      <rPr>
        <b/>
        <sz val="11"/>
        <color theme="1"/>
        <rFont val="Calibri"/>
        <family val="2"/>
        <scheme val="minor"/>
      </rPr>
      <t>441954006</t>
    </r>
    <r>
      <rPr>
        <sz val="11"/>
        <color theme="1"/>
        <rFont val="Calibri"/>
        <family val="2"/>
        <scheme val="minor"/>
      </rPr>
      <t xml:space="preserve"> - Allergy to sevoflurane
</t>
    </r>
    <r>
      <rPr>
        <b/>
        <sz val="11"/>
        <color theme="1"/>
        <rFont val="Calibri"/>
        <family val="2"/>
        <scheme val="minor"/>
      </rPr>
      <t>419972009</t>
    </r>
    <r>
      <rPr>
        <sz val="11"/>
        <color theme="1"/>
        <rFont val="Calibri"/>
        <family val="2"/>
        <scheme val="minor"/>
      </rPr>
      <t xml:space="preserve"> - Allergy to shrimp
</t>
    </r>
    <r>
      <rPr>
        <b/>
        <sz val="11"/>
        <color theme="1"/>
        <rFont val="Calibri"/>
        <family val="2"/>
        <scheme val="minor"/>
      </rPr>
      <t>427487000</t>
    </r>
    <r>
      <rPr>
        <sz val="11"/>
        <color theme="1"/>
        <rFont val="Calibri"/>
        <family val="2"/>
        <scheme val="minor"/>
      </rPr>
      <t xml:space="preserve"> - Allergy to spider venom
</t>
    </r>
    <r>
      <rPr>
        <b/>
        <sz val="11"/>
        <color theme="1"/>
        <rFont val="Calibri"/>
        <family val="2"/>
        <scheme val="minor"/>
      </rPr>
      <t>91938006</t>
    </r>
    <r>
      <rPr>
        <sz val="11"/>
        <color theme="1"/>
        <rFont val="Calibri"/>
        <family val="2"/>
        <scheme val="minor"/>
      </rPr>
      <t xml:space="preserve"> - Allergy to strawberries
</t>
    </r>
    <r>
      <rPr>
        <b/>
        <sz val="11"/>
        <color theme="1"/>
        <rFont val="Calibri"/>
        <family val="2"/>
        <scheme val="minor"/>
      </rPr>
      <t>419199007</t>
    </r>
    <r>
      <rPr>
        <sz val="11"/>
        <color theme="1"/>
        <rFont val="Calibri"/>
        <family val="2"/>
        <scheme val="minor"/>
      </rPr>
      <t xml:space="preserve"> - Allergy to substance
</t>
    </r>
    <r>
      <rPr>
        <b/>
        <sz val="11"/>
        <color theme="1"/>
        <rFont val="Calibri"/>
        <family val="2"/>
        <scheme val="minor"/>
      </rPr>
      <t>441955007</t>
    </r>
    <r>
      <rPr>
        <sz val="11"/>
        <color theme="1"/>
        <rFont val="Calibri"/>
        <family val="2"/>
        <scheme val="minor"/>
      </rPr>
      <t xml:space="preserve"> - Allergy to sufentanil
</t>
    </r>
    <r>
      <rPr>
        <b/>
        <sz val="11"/>
        <color theme="1"/>
        <rFont val="Calibri"/>
        <family val="2"/>
        <scheme val="minor"/>
      </rPr>
      <t>419421008</t>
    </r>
    <r>
      <rPr>
        <sz val="11"/>
        <color theme="1"/>
        <rFont val="Calibri"/>
        <family val="2"/>
        <scheme val="minor"/>
      </rPr>
      <t xml:space="preserve"> - Allergy to sulfite based food preservative
</t>
    </r>
    <r>
      <rPr>
        <b/>
        <sz val="11"/>
        <color theme="1"/>
        <rFont val="Calibri"/>
        <family val="2"/>
        <scheme val="minor"/>
      </rPr>
      <t>429239002</t>
    </r>
    <r>
      <rPr>
        <sz val="11"/>
        <color theme="1"/>
        <rFont val="Calibri"/>
        <family val="2"/>
        <scheme val="minor"/>
      </rPr>
      <t xml:space="preserve"> - Allergy to sulfonamide antibiotic
</t>
    </r>
    <r>
      <rPr>
        <b/>
        <sz val="11"/>
        <color theme="1"/>
        <rFont val="Calibri"/>
        <family val="2"/>
        <scheme val="minor"/>
      </rPr>
      <t>91939003</t>
    </r>
    <r>
      <rPr>
        <sz val="11"/>
        <color theme="1"/>
        <rFont val="Calibri"/>
        <family val="2"/>
        <scheme val="minor"/>
      </rPr>
      <t xml:space="preserve"> - Allergy to sulfonamides
</t>
    </r>
    <r>
      <rPr>
        <b/>
        <sz val="11"/>
        <color theme="1"/>
        <rFont val="Calibri"/>
        <family val="2"/>
        <scheme val="minor"/>
      </rPr>
      <t>419421008</t>
    </r>
    <r>
      <rPr>
        <sz val="11"/>
        <color theme="1"/>
        <rFont val="Calibri"/>
        <family val="2"/>
        <scheme val="minor"/>
      </rPr>
      <t xml:space="preserve"> - Allergy to sulphite based food preservative
</t>
    </r>
    <r>
      <rPr>
        <b/>
        <sz val="11"/>
        <color theme="1"/>
        <rFont val="Calibri"/>
        <family val="2"/>
        <scheme val="minor"/>
      </rPr>
      <t>429239002</t>
    </r>
    <r>
      <rPr>
        <sz val="11"/>
        <color theme="1"/>
        <rFont val="Calibri"/>
        <family val="2"/>
        <scheme val="minor"/>
      </rPr>
      <t xml:space="preserve"> - Allergy to sulphonamide antibiotic
</t>
    </r>
    <r>
      <rPr>
        <b/>
        <sz val="11"/>
        <color theme="1"/>
        <rFont val="Calibri"/>
        <family val="2"/>
        <scheme val="minor"/>
      </rPr>
      <t>91939003</t>
    </r>
    <r>
      <rPr>
        <sz val="11"/>
        <color theme="1"/>
        <rFont val="Calibri"/>
        <family val="2"/>
        <scheme val="minor"/>
      </rPr>
      <t xml:space="preserve"> - Allergy to sulphonamides
</t>
    </r>
    <r>
      <rPr>
        <b/>
        <sz val="11"/>
        <color theme="1"/>
        <rFont val="Calibri"/>
        <family val="2"/>
        <scheme val="minor"/>
      </rPr>
      <t>258155009</t>
    </r>
    <r>
      <rPr>
        <sz val="11"/>
        <color theme="1"/>
        <rFont val="Calibri"/>
        <family val="2"/>
        <scheme val="minor"/>
      </rPr>
      <t xml:space="preserve"> - Allergy to sunlight
</t>
    </r>
    <r>
      <rPr>
        <b/>
        <sz val="11"/>
        <color theme="1"/>
        <rFont val="Calibri"/>
        <family val="2"/>
        <scheme val="minor"/>
      </rPr>
      <t>473077006</t>
    </r>
    <r>
      <rPr>
        <sz val="11"/>
        <color theme="1"/>
        <rFont val="Calibri"/>
        <family val="2"/>
        <scheme val="minor"/>
      </rPr>
      <t xml:space="preserve"> - Allergy to teriparatide
</t>
    </r>
    <r>
      <rPr>
        <b/>
        <sz val="11"/>
        <color theme="1"/>
        <rFont val="Calibri"/>
        <family val="2"/>
        <scheme val="minor"/>
      </rPr>
      <t>439954005</t>
    </r>
    <r>
      <rPr>
        <sz val="11"/>
        <color theme="1"/>
        <rFont val="Calibri"/>
        <family val="2"/>
        <scheme val="minor"/>
      </rPr>
      <t xml:space="preserve"> - Allergy to thiazolidinedione
</t>
    </r>
    <r>
      <rPr>
        <b/>
        <sz val="11"/>
        <color theme="1"/>
        <rFont val="Calibri"/>
        <family val="2"/>
        <scheme val="minor"/>
      </rPr>
      <t>418779002</t>
    </r>
    <r>
      <rPr>
        <sz val="11"/>
        <color theme="1"/>
        <rFont val="Calibri"/>
        <family val="2"/>
        <scheme val="minor"/>
      </rPr>
      <t xml:space="preserve"> - Allergy to tomato
</t>
    </r>
    <r>
      <rPr>
        <b/>
        <sz val="11"/>
        <color theme="1"/>
        <rFont val="Calibri"/>
        <family val="2"/>
        <scheme val="minor"/>
      </rPr>
      <t>450767000</t>
    </r>
    <r>
      <rPr>
        <sz val="11"/>
        <color theme="1"/>
        <rFont val="Calibri"/>
        <family val="2"/>
        <scheme val="minor"/>
      </rPr>
      <t xml:space="preserve"> - Allergy to tramadol
</t>
    </r>
    <r>
      <rPr>
        <b/>
        <sz val="11"/>
        <color theme="1"/>
        <rFont val="Calibri"/>
        <family val="2"/>
        <scheme val="minor"/>
      </rPr>
      <t>419263009</t>
    </r>
    <r>
      <rPr>
        <sz val="11"/>
        <color theme="1"/>
        <rFont val="Calibri"/>
        <family val="2"/>
        <scheme val="minor"/>
      </rPr>
      <t xml:space="preserve"> - Allergy to tree pollen
</t>
    </r>
    <r>
      <rPr>
        <b/>
        <sz val="11"/>
        <color theme="1"/>
        <rFont val="Calibri"/>
        <family val="2"/>
        <scheme val="minor"/>
      </rPr>
      <t>402597007</t>
    </r>
    <r>
      <rPr>
        <sz val="11"/>
        <color theme="1"/>
        <rFont val="Calibri"/>
        <family val="2"/>
        <scheme val="minor"/>
      </rPr>
      <t xml:space="preserve"> - Allergy to tree resin
</t>
    </r>
    <r>
      <rPr>
        <b/>
        <sz val="11"/>
        <color theme="1"/>
        <rFont val="Calibri"/>
        <family val="2"/>
        <scheme val="minor"/>
      </rPr>
      <t>91940001</t>
    </r>
    <r>
      <rPr>
        <sz val="11"/>
        <color theme="1"/>
        <rFont val="Calibri"/>
        <family val="2"/>
        <scheme val="minor"/>
      </rPr>
      <t xml:space="preserve"> - Allergy to walnuts
</t>
    </r>
    <r>
      <rPr>
        <b/>
        <sz val="11"/>
        <color theme="1"/>
        <rFont val="Calibri"/>
        <family val="2"/>
        <scheme val="minor"/>
      </rPr>
      <t>423058007</t>
    </r>
    <r>
      <rPr>
        <sz val="11"/>
        <color theme="1"/>
        <rFont val="Calibri"/>
        <family val="2"/>
        <scheme val="minor"/>
      </rPr>
      <t xml:space="preserve"> - Allergy to wasp venom
</t>
    </r>
    <r>
      <rPr>
        <b/>
        <sz val="11"/>
        <color theme="1"/>
        <rFont val="Calibri"/>
        <family val="2"/>
        <scheme val="minor"/>
      </rPr>
      <t>419298007</t>
    </r>
    <r>
      <rPr>
        <sz val="11"/>
        <color theme="1"/>
        <rFont val="Calibri"/>
        <family val="2"/>
        <scheme val="minor"/>
      </rPr>
      <t xml:space="preserve"> - Allergy to watermelon
</t>
    </r>
    <r>
      <rPr>
        <b/>
        <sz val="11"/>
        <color theme="1"/>
        <rFont val="Calibri"/>
        <family val="2"/>
        <scheme val="minor"/>
      </rPr>
      <t>419210001</t>
    </r>
    <r>
      <rPr>
        <sz val="11"/>
        <color theme="1"/>
        <rFont val="Calibri"/>
        <family val="2"/>
        <scheme val="minor"/>
      </rPr>
      <t xml:space="preserve"> - Allergy to weed pollen
</t>
    </r>
    <r>
      <rPr>
        <b/>
        <sz val="11"/>
        <color theme="1"/>
        <rFont val="Calibri"/>
        <family val="2"/>
        <scheme val="minor"/>
      </rPr>
      <t>420174000</t>
    </r>
    <r>
      <rPr>
        <sz val="11"/>
        <color theme="1"/>
        <rFont val="Calibri"/>
        <family val="2"/>
        <scheme val="minor"/>
      </rPr>
      <t xml:space="preserve"> - Allergy to wheat
</t>
    </r>
    <r>
      <rPr>
        <b/>
        <sz val="11"/>
        <color theme="1"/>
        <rFont val="Calibri"/>
        <family val="2"/>
        <scheme val="minor"/>
      </rPr>
      <t>402595004</t>
    </r>
    <r>
      <rPr>
        <sz val="11"/>
        <color theme="1"/>
        <rFont val="Calibri"/>
        <family val="2"/>
        <scheme val="minor"/>
      </rPr>
      <t xml:space="preserve"> - Allergy to wood
</t>
    </r>
    <r>
      <rPr>
        <b/>
        <sz val="11"/>
        <color theme="1"/>
        <rFont val="Calibri"/>
        <family val="2"/>
        <scheme val="minor"/>
      </rPr>
      <t>425605001</t>
    </r>
    <r>
      <rPr>
        <sz val="11"/>
        <color theme="1"/>
        <rFont val="Calibri"/>
        <family val="2"/>
        <scheme val="minor"/>
      </rPr>
      <t xml:space="preserve"> - Allergy to wool
</t>
    </r>
  </si>
  <si>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NA</t>
    </r>
    <r>
      <rPr>
        <sz val="11"/>
        <color theme="1"/>
        <rFont val="Calibri"/>
        <family val="2"/>
        <scheme val="minor"/>
      </rPr>
      <t xml:space="preserve"> - Not applicable
</t>
    </r>
  </si>
  <si>
    <r>
      <t>Academic</t>
    </r>
    <r>
      <rPr>
        <sz val="11"/>
        <color theme="1"/>
        <rFont val="Calibri"/>
        <family val="2"/>
        <scheme val="minor"/>
      </rPr>
      <t xml:space="preserve"> - Alternative school for students with academic difficulties
</t>
    </r>
    <r>
      <rPr>
        <b/>
        <sz val="11"/>
        <color theme="1"/>
        <rFont val="Calibri"/>
        <family val="2"/>
        <scheme val="minor"/>
      </rPr>
      <t>Discipline</t>
    </r>
    <r>
      <rPr>
        <sz val="11"/>
        <color theme="1"/>
        <rFont val="Calibri"/>
        <family val="2"/>
        <scheme val="minor"/>
      </rPr>
      <t xml:space="preserve"> - Alternative school for students with discipline problems
</t>
    </r>
    <r>
      <rPr>
        <b/>
        <sz val="11"/>
        <color theme="1"/>
        <rFont val="Calibri"/>
        <family val="2"/>
        <scheme val="minor"/>
      </rPr>
      <t>Both</t>
    </r>
    <r>
      <rPr>
        <sz val="11"/>
        <color theme="1"/>
        <rFont val="Calibri"/>
        <family val="2"/>
        <scheme val="minor"/>
      </rPr>
      <t xml:space="preserve"> - Alternative school for students with both discipline and academic problems 
</t>
    </r>
  </si>
  <si>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NotSelected</t>
    </r>
    <r>
      <rPr>
        <sz val="11"/>
        <color theme="1"/>
        <rFont val="Calibri"/>
        <family val="2"/>
        <scheme val="minor"/>
      </rPr>
      <t xml:space="preserve"> - Not selected
</t>
    </r>
  </si>
  <si>
    <r>
      <t>Met</t>
    </r>
    <r>
      <rPr>
        <sz val="11"/>
        <color theme="1"/>
        <rFont val="Calibri"/>
        <family val="2"/>
        <scheme val="minor"/>
      </rPr>
      <t xml:space="preserve"> - Met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NoTitleIII</t>
    </r>
    <r>
      <rPr>
        <sz val="11"/>
        <color theme="1"/>
        <rFont val="Calibri"/>
        <family val="2"/>
        <scheme val="minor"/>
      </rPr>
      <t xml:space="preserve"> - No Title III
</t>
    </r>
    <r>
      <rPr>
        <b/>
        <sz val="11"/>
        <color theme="1"/>
        <rFont val="Calibri"/>
        <family val="2"/>
        <scheme val="minor"/>
      </rPr>
      <t>NA</t>
    </r>
    <r>
      <rPr>
        <sz val="11"/>
        <color theme="1"/>
        <rFont val="Calibri"/>
        <family val="2"/>
        <scheme val="minor"/>
      </rPr>
      <t xml:space="preserve"> - Not applicable
</t>
    </r>
  </si>
  <si>
    <r>
      <t>13371</t>
    </r>
    <r>
      <rPr>
        <sz val="11"/>
        <color theme="1"/>
        <rFont val="Calibri"/>
        <family val="2"/>
        <scheme val="minor"/>
      </rPr>
      <t xml:space="preserve"> - Arts
</t>
    </r>
    <r>
      <rPr>
        <b/>
        <sz val="11"/>
        <color theme="1"/>
        <rFont val="Calibri"/>
        <family val="2"/>
        <scheme val="minor"/>
      </rPr>
      <t>73065</t>
    </r>
    <r>
      <rPr>
        <sz val="11"/>
        <color theme="1"/>
        <rFont val="Calibri"/>
        <family val="2"/>
        <scheme val="minor"/>
      </rPr>
      <t xml:space="preserve"> - Career and Technical Education
</t>
    </r>
    <r>
      <rPr>
        <b/>
        <sz val="11"/>
        <color theme="1"/>
        <rFont val="Calibri"/>
        <family val="2"/>
        <scheme val="minor"/>
      </rPr>
      <t>13372</t>
    </r>
    <r>
      <rPr>
        <sz val="11"/>
        <color theme="1"/>
        <rFont val="Calibri"/>
        <family val="2"/>
        <scheme val="minor"/>
      </rPr>
      <t xml:space="preserve"> - English
</t>
    </r>
    <r>
      <rPr>
        <b/>
        <sz val="11"/>
        <color theme="1"/>
        <rFont val="Calibri"/>
        <family val="2"/>
        <scheme val="minor"/>
      </rPr>
      <t>00256</t>
    </r>
    <r>
      <rPr>
        <sz val="11"/>
        <color theme="1"/>
        <rFont val="Calibri"/>
        <family val="2"/>
        <scheme val="minor"/>
      </rPr>
      <t xml:space="preserve"> - English as a second language (ESL)
</t>
    </r>
    <r>
      <rPr>
        <b/>
        <sz val="11"/>
        <color theme="1"/>
        <rFont val="Calibri"/>
        <family val="2"/>
        <scheme val="minor"/>
      </rPr>
      <t>00546</t>
    </r>
    <r>
      <rPr>
        <sz val="11"/>
        <color theme="1"/>
        <rFont val="Calibri"/>
        <family val="2"/>
        <scheme val="minor"/>
      </rPr>
      <t xml:space="preserve"> - Foreign Languages
</t>
    </r>
    <r>
      <rPr>
        <b/>
        <sz val="11"/>
        <color theme="1"/>
        <rFont val="Calibri"/>
        <family val="2"/>
        <scheme val="minor"/>
      </rPr>
      <t>73088</t>
    </r>
    <r>
      <rPr>
        <sz val="11"/>
        <color theme="1"/>
        <rFont val="Calibri"/>
        <family val="2"/>
        <scheme val="minor"/>
      </rPr>
      <t xml:space="preserve"> - History Government - US
</t>
    </r>
    <r>
      <rPr>
        <b/>
        <sz val="11"/>
        <color theme="1"/>
        <rFont val="Calibri"/>
        <family val="2"/>
        <scheme val="minor"/>
      </rPr>
      <t>73089</t>
    </r>
    <r>
      <rPr>
        <sz val="11"/>
        <color theme="1"/>
        <rFont val="Calibri"/>
        <family val="2"/>
        <scheme val="minor"/>
      </rPr>
      <t xml:space="preserve"> - History Government - World
</t>
    </r>
    <r>
      <rPr>
        <b/>
        <sz val="11"/>
        <color theme="1"/>
        <rFont val="Calibri"/>
        <family val="2"/>
        <scheme val="minor"/>
      </rPr>
      <t>00554</t>
    </r>
    <r>
      <rPr>
        <sz val="11"/>
        <color theme="1"/>
        <rFont val="Calibri"/>
        <family val="2"/>
        <scheme val="minor"/>
      </rPr>
      <t xml:space="preserve"> - Language arts
</t>
    </r>
    <r>
      <rPr>
        <b/>
        <sz val="11"/>
        <color theme="1"/>
        <rFont val="Calibri"/>
        <family val="2"/>
        <scheme val="minor"/>
      </rPr>
      <t>01166</t>
    </r>
    <r>
      <rPr>
        <sz val="11"/>
        <color theme="1"/>
        <rFont val="Calibri"/>
        <family val="2"/>
        <scheme val="minor"/>
      </rPr>
      <t xml:space="preserve"> - Mathematics
</t>
    </r>
    <r>
      <rPr>
        <b/>
        <sz val="11"/>
        <color theme="1"/>
        <rFont val="Calibri"/>
        <family val="2"/>
        <scheme val="minor"/>
      </rPr>
      <t>00560</t>
    </r>
    <r>
      <rPr>
        <sz val="11"/>
        <color theme="1"/>
        <rFont val="Calibri"/>
        <family val="2"/>
        <scheme val="minor"/>
      </rPr>
      <t xml:space="preserve"> - Reading
</t>
    </r>
    <r>
      <rPr>
        <b/>
        <sz val="11"/>
        <color theme="1"/>
        <rFont val="Calibri"/>
        <family val="2"/>
        <scheme val="minor"/>
      </rPr>
      <t>13373</t>
    </r>
    <r>
      <rPr>
        <sz val="11"/>
        <color theme="1"/>
        <rFont val="Calibri"/>
        <family val="2"/>
        <scheme val="minor"/>
      </rPr>
      <t xml:space="preserve"> - Reading/Language Arts
</t>
    </r>
    <r>
      <rPr>
        <b/>
        <sz val="11"/>
        <color theme="1"/>
        <rFont val="Calibri"/>
        <family val="2"/>
        <scheme val="minor"/>
      </rPr>
      <t>00562</t>
    </r>
    <r>
      <rPr>
        <sz val="11"/>
        <color theme="1"/>
        <rFont val="Calibri"/>
        <family val="2"/>
        <scheme val="minor"/>
      </rPr>
      <t xml:space="preserve"> - Science
</t>
    </r>
    <r>
      <rPr>
        <b/>
        <sz val="11"/>
        <color theme="1"/>
        <rFont val="Calibri"/>
        <family val="2"/>
        <scheme val="minor"/>
      </rPr>
      <t>73086</t>
    </r>
    <r>
      <rPr>
        <sz val="11"/>
        <color theme="1"/>
        <rFont val="Calibri"/>
        <family val="2"/>
        <scheme val="minor"/>
      </rPr>
      <t xml:space="preserve"> - Science - Life
</t>
    </r>
    <r>
      <rPr>
        <b/>
        <sz val="11"/>
        <color theme="1"/>
        <rFont val="Calibri"/>
        <family val="2"/>
        <scheme val="minor"/>
      </rPr>
      <t>73087</t>
    </r>
    <r>
      <rPr>
        <sz val="11"/>
        <color theme="1"/>
        <rFont val="Calibri"/>
        <family val="2"/>
        <scheme val="minor"/>
      </rPr>
      <t xml:space="preserve"> - Science - Physical
</t>
    </r>
    <r>
      <rPr>
        <b/>
        <sz val="11"/>
        <color theme="1"/>
        <rFont val="Calibri"/>
        <family val="2"/>
        <scheme val="minor"/>
      </rPr>
      <t>13374</t>
    </r>
    <r>
      <rPr>
        <sz val="11"/>
        <color theme="1"/>
        <rFont val="Calibri"/>
        <family val="2"/>
        <scheme val="minor"/>
      </rPr>
      <t xml:space="preserve"> - Social Sciences (History, Geography, Economics, Civics and Government)
</t>
    </r>
    <r>
      <rPr>
        <b/>
        <sz val="11"/>
        <color theme="1"/>
        <rFont val="Calibri"/>
        <family val="2"/>
        <scheme val="minor"/>
      </rPr>
      <t>02043</t>
    </r>
    <r>
      <rPr>
        <sz val="11"/>
        <color theme="1"/>
        <rFont val="Calibri"/>
        <family val="2"/>
        <scheme val="minor"/>
      </rPr>
      <t xml:space="preserve"> - Special education
</t>
    </r>
    <r>
      <rPr>
        <b/>
        <sz val="11"/>
        <color theme="1"/>
        <rFont val="Calibri"/>
        <family val="2"/>
        <scheme val="minor"/>
      </rPr>
      <t>01287</t>
    </r>
    <r>
      <rPr>
        <sz val="11"/>
        <color theme="1"/>
        <rFont val="Calibri"/>
        <family val="2"/>
        <scheme val="minor"/>
      </rPr>
      <t xml:space="preserve"> - Writing
</t>
    </r>
    <r>
      <rPr>
        <b/>
        <sz val="11"/>
        <color theme="1"/>
        <rFont val="Calibri"/>
        <family val="2"/>
        <scheme val="minor"/>
      </rPr>
      <t>09999</t>
    </r>
    <r>
      <rPr>
        <sz val="11"/>
        <color theme="1"/>
        <rFont val="Calibri"/>
        <family val="2"/>
        <scheme val="minor"/>
      </rPr>
      <t xml:space="preserve"> - Other
</t>
    </r>
  </si>
  <si>
    <r>
      <t>Scheduling</t>
    </r>
    <r>
      <rPr>
        <sz val="11"/>
        <color theme="1"/>
        <rFont val="Calibri"/>
        <family val="2"/>
        <scheme val="minor"/>
      </rPr>
      <t xml:space="preserve"> - Scheduling accommodations
</t>
    </r>
    <r>
      <rPr>
        <b/>
        <sz val="11"/>
        <color theme="1"/>
        <rFont val="Calibri"/>
        <family val="2"/>
        <scheme val="minor"/>
      </rPr>
      <t>Setting</t>
    </r>
    <r>
      <rPr>
        <sz val="11"/>
        <color theme="1"/>
        <rFont val="Calibri"/>
        <family val="2"/>
        <scheme val="minor"/>
      </rPr>
      <t xml:space="preserve"> - Settings accommodations
</t>
    </r>
    <r>
      <rPr>
        <b/>
        <sz val="11"/>
        <color theme="1"/>
        <rFont val="Calibri"/>
        <family val="2"/>
        <scheme val="minor"/>
      </rPr>
      <t>EquipmentOrTechnology</t>
    </r>
    <r>
      <rPr>
        <sz val="11"/>
        <color theme="1"/>
        <rFont val="Calibri"/>
        <family val="2"/>
        <scheme val="minor"/>
      </rPr>
      <t xml:space="preserve"> - Student equipment/technology
</t>
    </r>
    <r>
      <rPr>
        <b/>
        <sz val="11"/>
        <color theme="1"/>
        <rFont val="Calibri"/>
        <family val="2"/>
        <scheme val="minor"/>
      </rPr>
      <t>TestAdministration</t>
    </r>
    <r>
      <rPr>
        <sz val="11"/>
        <color theme="1"/>
        <rFont val="Calibri"/>
        <family val="2"/>
        <scheme val="minor"/>
      </rPr>
      <t xml:space="preserve"> - Test administration accommodation
</t>
    </r>
    <r>
      <rPr>
        <b/>
        <sz val="11"/>
        <color theme="1"/>
        <rFont val="Calibri"/>
        <family val="2"/>
        <scheme val="minor"/>
      </rPr>
      <t>TestMaterial</t>
    </r>
    <r>
      <rPr>
        <sz val="11"/>
        <color theme="1"/>
        <rFont val="Calibri"/>
        <family val="2"/>
        <scheme val="minor"/>
      </rPr>
      <t xml:space="preserve"> - Test material accommodations
</t>
    </r>
    <r>
      <rPr>
        <b/>
        <sz val="11"/>
        <color theme="1"/>
        <rFont val="Calibri"/>
        <family val="2"/>
        <scheme val="minor"/>
      </rPr>
      <t>TestResponse</t>
    </r>
    <r>
      <rPr>
        <sz val="11"/>
        <color theme="1"/>
        <rFont val="Calibri"/>
        <family val="2"/>
        <scheme val="minor"/>
      </rPr>
      <t xml:space="preserve"> - Test response accommodation
</t>
    </r>
    <r>
      <rPr>
        <b/>
        <sz val="11"/>
        <color theme="1"/>
        <rFont val="Calibri"/>
        <family val="2"/>
        <scheme val="minor"/>
      </rPr>
      <t>ELL</t>
    </r>
    <r>
      <rPr>
        <sz val="11"/>
        <color theme="1"/>
        <rFont val="Calibri"/>
        <family val="2"/>
        <scheme val="minor"/>
      </rPr>
      <t xml:space="preserve"> - English language learner accommodation
</t>
    </r>
    <r>
      <rPr>
        <b/>
        <sz val="11"/>
        <color theme="1"/>
        <rFont val="Calibri"/>
        <family val="2"/>
        <scheme val="minor"/>
      </rPr>
      <t>504</t>
    </r>
    <r>
      <rPr>
        <sz val="11"/>
        <color theme="1"/>
        <rFont val="Calibri"/>
        <family val="2"/>
        <scheme val="minor"/>
      </rPr>
      <t xml:space="preserve"> - 504 accommodation
</t>
    </r>
    <r>
      <rPr>
        <b/>
        <sz val="11"/>
        <color theme="1"/>
        <rFont val="Calibri"/>
        <family val="2"/>
        <scheme val="minor"/>
      </rPr>
      <t>Other</t>
    </r>
    <r>
      <rPr>
        <sz val="11"/>
        <color theme="1"/>
        <rFont val="Calibri"/>
        <family val="2"/>
        <scheme val="minor"/>
      </rPr>
      <t xml:space="preserve"> - Other
</t>
    </r>
  </si>
  <si>
    <r>
      <t>03513</t>
    </r>
    <r>
      <rPr>
        <sz val="11"/>
        <color theme="1"/>
        <rFont val="Calibri"/>
        <family val="2"/>
        <scheme val="minor"/>
      </rPr>
      <t xml:space="preserve"> - Additional example items/tasks
</t>
    </r>
    <r>
      <rPr>
        <b/>
        <sz val="11"/>
        <color theme="1"/>
        <rFont val="Calibri"/>
        <family val="2"/>
        <scheme val="minor"/>
      </rPr>
      <t>00461</t>
    </r>
    <r>
      <rPr>
        <sz val="11"/>
        <color theme="1"/>
        <rFont val="Calibri"/>
        <family val="2"/>
        <scheme val="minor"/>
      </rPr>
      <t xml:space="preserve"> - Adjustable swivel arm
</t>
    </r>
    <r>
      <rPr>
        <b/>
        <sz val="11"/>
        <color theme="1"/>
        <rFont val="Calibri"/>
        <family val="2"/>
        <scheme val="minor"/>
      </rPr>
      <t>00462</t>
    </r>
    <r>
      <rPr>
        <sz val="11"/>
        <color theme="1"/>
        <rFont val="Calibri"/>
        <family val="2"/>
        <scheme val="minor"/>
      </rPr>
      <t xml:space="preserve"> - Adjustable table height
</t>
    </r>
    <r>
      <rPr>
        <b/>
        <sz val="11"/>
        <color theme="1"/>
        <rFont val="Calibri"/>
        <family val="2"/>
        <scheme val="minor"/>
      </rPr>
      <t>03514</t>
    </r>
    <r>
      <rPr>
        <sz val="11"/>
        <color theme="1"/>
        <rFont val="Calibri"/>
        <family val="2"/>
        <scheme val="minor"/>
      </rPr>
      <t xml:space="preserve"> - Administration in several sessions
</t>
    </r>
    <r>
      <rPr>
        <b/>
        <sz val="11"/>
        <color theme="1"/>
        <rFont val="Calibri"/>
        <family val="2"/>
        <scheme val="minor"/>
      </rPr>
      <t>13803</t>
    </r>
    <r>
      <rPr>
        <sz val="11"/>
        <color theme="1"/>
        <rFont val="Calibri"/>
        <family val="2"/>
        <scheme val="minor"/>
      </rPr>
      <t xml:space="preserve"> - Alternate representation
</t>
    </r>
    <r>
      <rPr>
        <b/>
        <sz val="11"/>
        <color theme="1"/>
        <rFont val="Calibri"/>
        <family val="2"/>
        <scheme val="minor"/>
      </rPr>
      <t>13793</t>
    </r>
    <r>
      <rPr>
        <sz val="11"/>
        <color theme="1"/>
        <rFont val="Calibri"/>
        <family val="2"/>
        <scheme val="minor"/>
      </rPr>
      <t xml:space="preserve"> - Answer masking
</t>
    </r>
    <r>
      <rPr>
        <b/>
        <sz val="11"/>
        <color theme="1"/>
        <rFont val="Calibri"/>
        <family val="2"/>
        <scheme val="minor"/>
      </rPr>
      <t>03515</t>
    </r>
    <r>
      <rPr>
        <sz val="11"/>
        <color theme="1"/>
        <rFont val="Calibri"/>
        <family val="2"/>
        <scheme val="minor"/>
      </rPr>
      <t xml:space="preserve"> - Answers written directly in test booklet
</t>
    </r>
    <r>
      <rPr>
        <b/>
        <sz val="11"/>
        <color theme="1"/>
        <rFont val="Calibri"/>
        <family val="2"/>
        <scheme val="minor"/>
      </rPr>
      <t>03517</t>
    </r>
    <r>
      <rPr>
        <sz val="11"/>
        <color theme="1"/>
        <rFont val="Calibri"/>
        <family val="2"/>
        <scheme val="minor"/>
      </rPr>
      <t xml:space="preserve"> - Arithmetic table (math or science)
</t>
    </r>
    <r>
      <rPr>
        <b/>
        <sz val="11"/>
        <color theme="1"/>
        <rFont val="Calibri"/>
        <family val="2"/>
        <scheme val="minor"/>
      </rPr>
      <t>03516</t>
    </r>
    <r>
      <rPr>
        <sz val="11"/>
        <color theme="1"/>
        <rFont val="Calibri"/>
        <family val="2"/>
        <scheme val="minor"/>
      </rPr>
      <t xml:space="preserve"> - Assessment in native language
</t>
    </r>
    <r>
      <rPr>
        <b/>
        <sz val="11"/>
        <color theme="1"/>
        <rFont val="Calibri"/>
        <family val="2"/>
        <scheme val="minor"/>
      </rPr>
      <t>03519</t>
    </r>
    <r>
      <rPr>
        <sz val="11"/>
        <color theme="1"/>
        <rFont val="Calibri"/>
        <family val="2"/>
        <scheme val="minor"/>
      </rPr>
      <t xml:space="preserve"> - Assistive device that does interfere with independent work of the student
</t>
    </r>
    <r>
      <rPr>
        <b/>
        <sz val="11"/>
        <color theme="1"/>
        <rFont val="Calibri"/>
        <family val="2"/>
        <scheme val="minor"/>
      </rPr>
      <t>03518</t>
    </r>
    <r>
      <rPr>
        <sz val="11"/>
        <color theme="1"/>
        <rFont val="Calibri"/>
        <family val="2"/>
        <scheme val="minor"/>
      </rPr>
      <t xml:space="preserve"> - Assistive device that does not interfere with independent work of the student
</t>
    </r>
    <r>
      <rPr>
        <b/>
        <sz val="11"/>
        <color theme="1"/>
        <rFont val="Calibri"/>
        <family val="2"/>
        <scheme val="minor"/>
      </rPr>
      <t>03521</t>
    </r>
    <r>
      <rPr>
        <sz val="11"/>
        <color theme="1"/>
        <rFont val="Calibri"/>
        <family val="2"/>
        <scheme val="minor"/>
      </rPr>
      <t xml:space="preserve"> - Audio cassette player
</t>
    </r>
    <r>
      <rPr>
        <b/>
        <sz val="11"/>
        <color theme="1"/>
        <rFont val="Calibri"/>
        <family val="2"/>
        <scheme val="minor"/>
      </rPr>
      <t>03520</t>
    </r>
    <r>
      <rPr>
        <sz val="11"/>
        <color theme="1"/>
        <rFont val="Calibri"/>
        <family val="2"/>
        <scheme val="minor"/>
      </rPr>
      <t xml:space="preserve"> - Audiotape or CD
</t>
    </r>
    <r>
      <rPr>
        <b/>
        <sz val="11"/>
        <color theme="1"/>
        <rFont val="Calibri"/>
        <family val="2"/>
        <scheme val="minor"/>
      </rPr>
      <t>13791</t>
    </r>
    <r>
      <rPr>
        <sz val="11"/>
        <color theme="1"/>
        <rFont val="Calibri"/>
        <family val="2"/>
        <scheme val="minor"/>
      </rPr>
      <t xml:space="preserve"> - Auditory calming
</t>
    </r>
    <r>
      <rPr>
        <b/>
        <sz val="11"/>
        <color theme="1"/>
        <rFont val="Calibri"/>
        <family val="2"/>
        <scheme val="minor"/>
      </rPr>
      <t>00463</t>
    </r>
    <r>
      <rPr>
        <sz val="11"/>
        <color theme="1"/>
        <rFont val="Calibri"/>
        <family val="2"/>
        <scheme val="minor"/>
      </rPr>
      <t xml:space="preserve"> - Braille
</t>
    </r>
    <r>
      <rPr>
        <b/>
        <sz val="11"/>
        <color theme="1"/>
        <rFont val="Calibri"/>
        <family val="2"/>
        <scheme val="minor"/>
      </rPr>
      <t>03522</t>
    </r>
    <r>
      <rPr>
        <sz val="11"/>
        <color theme="1"/>
        <rFont val="Calibri"/>
        <family val="2"/>
        <scheme val="minor"/>
      </rPr>
      <t xml:space="preserve"> - Braille writer, no thesaurus, spell- or grammar-checker
</t>
    </r>
    <r>
      <rPr>
        <b/>
        <sz val="11"/>
        <color theme="1"/>
        <rFont val="Calibri"/>
        <family val="2"/>
        <scheme val="minor"/>
      </rPr>
      <t>03523</t>
    </r>
    <r>
      <rPr>
        <sz val="11"/>
        <color theme="1"/>
        <rFont val="Calibri"/>
        <family val="2"/>
        <scheme val="minor"/>
      </rPr>
      <t xml:space="preserve"> - Breaks during testing
</t>
    </r>
    <r>
      <rPr>
        <b/>
        <sz val="11"/>
        <color theme="1"/>
        <rFont val="Calibri"/>
        <family val="2"/>
        <scheme val="minor"/>
      </rPr>
      <t>03524</t>
    </r>
    <r>
      <rPr>
        <sz val="11"/>
        <color theme="1"/>
        <rFont val="Calibri"/>
        <family val="2"/>
        <scheme val="minor"/>
      </rPr>
      <t xml:space="preserve"> - Calculator (math or science)
</t>
    </r>
    <r>
      <rPr>
        <b/>
        <sz val="11"/>
        <color theme="1"/>
        <rFont val="Calibri"/>
        <family val="2"/>
        <scheme val="minor"/>
      </rPr>
      <t>13800</t>
    </r>
    <r>
      <rPr>
        <sz val="11"/>
        <color theme="1"/>
        <rFont val="Calibri"/>
        <family val="2"/>
        <scheme val="minor"/>
      </rPr>
      <t xml:space="preserve"> - Chunking
</t>
    </r>
    <r>
      <rPr>
        <b/>
        <sz val="11"/>
        <color theme="1"/>
        <rFont val="Calibri"/>
        <family val="2"/>
        <scheme val="minor"/>
      </rPr>
      <t>03525</t>
    </r>
    <r>
      <rPr>
        <sz val="11"/>
        <color theme="1"/>
        <rFont val="Calibri"/>
        <family val="2"/>
        <scheme val="minor"/>
      </rPr>
      <t xml:space="preserve"> - Clarify directions
</t>
    </r>
    <r>
      <rPr>
        <b/>
        <sz val="11"/>
        <color theme="1"/>
        <rFont val="Calibri"/>
        <family val="2"/>
        <scheme val="minor"/>
      </rPr>
      <t>03526</t>
    </r>
    <r>
      <rPr>
        <sz val="11"/>
        <color theme="1"/>
        <rFont val="Calibri"/>
        <family val="2"/>
        <scheme val="minor"/>
      </rPr>
      <t xml:space="preserve"> - Colored lenses
</t>
    </r>
    <r>
      <rPr>
        <b/>
        <sz val="11"/>
        <color theme="1"/>
        <rFont val="Calibri"/>
        <family val="2"/>
        <scheme val="minor"/>
      </rPr>
      <t>03527</t>
    </r>
    <r>
      <rPr>
        <sz val="11"/>
        <color theme="1"/>
        <rFont val="Calibri"/>
        <family val="2"/>
        <scheme val="minor"/>
      </rPr>
      <t xml:space="preserve"> - Computer administration
</t>
    </r>
    <r>
      <rPr>
        <b/>
        <sz val="11"/>
        <color theme="1"/>
        <rFont val="Calibri"/>
        <family val="2"/>
        <scheme val="minor"/>
      </rPr>
      <t>03528</t>
    </r>
    <r>
      <rPr>
        <sz val="11"/>
        <color theme="1"/>
        <rFont val="Calibri"/>
        <family val="2"/>
        <scheme val="minor"/>
      </rPr>
      <t xml:space="preserve"> - Cranmer abacus
</t>
    </r>
    <r>
      <rPr>
        <b/>
        <sz val="11"/>
        <color theme="1"/>
        <rFont val="Calibri"/>
        <family val="2"/>
        <scheme val="minor"/>
      </rPr>
      <t>03529</t>
    </r>
    <r>
      <rPr>
        <sz val="11"/>
        <color theme="1"/>
        <rFont val="Calibri"/>
        <family val="2"/>
        <scheme val="minor"/>
      </rPr>
      <t xml:space="preserve"> - Cueing
</t>
    </r>
    <r>
      <rPr>
        <b/>
        <sz val="11"/>
        <color theme="1"/>
        <rFont val="Calibri"/>
        <family val="2"/>
        <scheme val="minor"/>
      </rPr>
      <t>03532</t>
    </r>
    <r>
      <rPr>
        <sz val="11"/>
        <color theme="1"/>
        <rFont val="Calibri"/>
        <family val="2"/>
        <scheme val="minor"/>
      </rPr>
      <t xml:space="preserve"> - Dictated oral response (to a proctor)
</t>
    </r>
    <r>
      <rPr>
        <b/>
        <sz val="11"/>
        <color theme="1"/>
        <rFont val="Calibri"/>
        <family val="2"/>
        <scheme val="minor"/>
      </rPr>
      <t>03530</t>
    </r>
    <r>
      <rPr>
        <sz val="11"/>
        <color theme="1"/>
        <rFont val="Calibri"/>
        <family val="2"/>
        <scheme val="minor"/>
      </rPr>
      <t xml:space="preserve"> - Dictionary in English
</t>
    </r>
    <r>
      <rPr>
        <b/>
        <sz val="11"/>
        <color theme="1"/>
        <rFont val="Calibri"/>
        <family val="2"/>
        <scheme val="minor"/>
      </rPr>
      <t>03531</t>
    </r>
    <r>
      <rPr>
        <sz val="11"/>
        <color theme="1"/>
        <rFont val="Calibri"/>
        <family val="2"/>
        <scheme val="minor"/>
      </rPr>
      <t xml:space="preserve"> - Dictionary in native language
</t>
    </r>
    <r>
      <rPr>
        <b/>
        <sz val="11"/>
        <color theme="1"/>
        <rFont val="Calibri"/>
        <family val="2"/>
        <scheme val="minor"/>
      </rPr>
      <t>03533</t>
    </r>
    <r>
      <rPr>
        <sz val="11"/>
        <color theme="1"/>
        <rFont val="Calibri"/>
        <family val="2"/>
        <scheme val="minor"/>
      </rPr>
      <t xml:space="preserve"> - Directions read aloud or explained
</t>
    </r>
    <r>
      <rPr>
        <b/>
        <sz val="11"/>
        <color theme="1"/>
        <rFont val="Calibri"/>
        <family val="2"/>
        <scheme val="minor"/>
      </rPr>
      <t>13795</t>
    </r>
    <r>
      <rPr>
        <sz val="11"/>
        <color theme="1"/>
        <rFont val="Calibri"/>
        <family val="2"/>
        <scheme val="minor"/>
      </rPr>
      <t xml:space="preserve"> - Encouraging prompts
</t>
    </r>
    <r>
      <rPr>
        <b/>
        <sz val="11"/>
        <color theme="1"/>
        <rFont val="Calibri"/>
        <family val="2"/>
        <scheme val="minor"/>
      </rPr>
      <t>00937</t>
    </r>
    <r>
      <rPr>
        <sz val="11"/>
        <color theme="1"/>
        <rFont val="Calibri"/>
        <family val="2"/>
        <scheme val="minor"/>
      </rPr>
      <t xml:space="preserve"> - Enlarged keyboard
</t>
    </r>
    <r>
      <rPr>
        <b/>
        <sz val="11"/>
        <color theme="1"/>
        <rFont val="Calibri"/>
        <family val="2"/>
        <scheme val="minor"/>
      </rPr>
      <t>00464</t>
    </r>
    <r>
      <rPr>
        <sz val="11"/>
        <color theme="1"/>
        <rFont val="Calibri"/>
        <family val="2"/>
        <scheme val="minor"/>
      </rPr>
      <t xml:space="preserve"> - Enlarged monitor view
</t>
    </r>
    <r>
      <rPr>
        <b/>
        <sz val="11"/>
        <color theme="1"/>
        <rFont val="Calibri"/>
        <family val="2"/>
        <scheme val="minor"/>
      </rPr>
      <t>03534</t>
    </r>
    <r>
      <rPr>
        <sz val="11"/>
        <color theme="1"/>
        <rFont val="Calibri"/>
        <family val="2"/>
        <scheme val="minor"/>
      </rPr>
      <t xml:space="preserve"> - Examiner familiarity
</t>
    </r>
    <r>
      <rPr>
        <b/>
        <sz val="11"/>
        <color theme="1"/>
        <rFont val="Calibri"/>
        <family val="2"/>
        <scheme val="minor"/>
      </rPr>
      <t>00465</t>
    </r>
    <r>
      <rPr>
        <sz val="11"/>
        <color theme="1"/>
        <rFont val="Calibri"/>
        <family val="2"/>
        <scheme val="minor"/>
      </rPr>
      <t xml:space="preserve"> - Extra time
</t>
    </r>
    <r>
      <rPr>
        <b/>
        <sz val="11"/>
        <color theme="1"/>
        <rFont val="Calibri"/>
        <family val="2"/>
        <scheme val="minor"/>
      </rPr>
      <t>13797</t>
    </r>
    <r>
      <rPr>
        <sz val="11"/>
        <color theme="1"/>
        <rFont val="Calibri"/>
        <family val="2"/>
        <scheme val="minor"/>
      </rPr>
      <t xml:space="preserve"> - Flagging
</t>
    </r>
    <r>
      <rPr>
        <b/>
        <sz val="11"/>
        <color theme="1"/>
        <rFont val="Calibri"/>
        <family val="2"/>
        <scheme val="minor"/>
      </rPr>
      <t>03535</t>
    </r>
    <r>
      <rPr>
        <sz val="11"/>
        <color theme="1"/>
        <rFont val="Calibri"/>
        <family val="2"/>
        <scheme val="minor"/>
      </rPr>
      <t xml:space="preserve"> - Font enlarged beyond print version requirements
</t>
    </r>
    <r>
      <rPr>
        <b/>
        <sz val="11"/>
        <color theme="1"/>
        <rFont val="Calibri"/>
        <family val="2"/>
        <scheme val="minor"/>
      </rPr>
      <t>13789</t>
    </r>
    <r>
      <rPr>
        <sz val="11"/>
        <color theme="1"/>
        <rFont val="Calibri"/>
        <family val="2"/>
        <scheme val="minor"/>
      </rPr>
      <t xml:space="preserve"> - Foreground/Background colors
</t>
    </r>
    <r>
      <rPr>
        <b/>
        <sz val="11"/>
        <color theme="1"/>
        <rFont val="Calibri"/>
        <family val="2"/>
        <scheme val="minor"/>
      </rPr>
      <t>03536</t>
    </r>
    <r>
      <rPr>
        <sz val="11"/>
        <color theme="1"/>
        <rFont val="Calibri"/>
        <family val="2"/>
        <scheme val="minor"/>
      </rPr>
      <t xml:space="preserve"> - Foreign language interpreter
</t>
    </r>
    <r>
      <rPr>
        <b/>
        <sz val="11"/>
        <color theme="1"/>
        <rFont val="Calibri"/>
        <family val="2"/>
        <scheme val="minor"/>
      </rPr>
      <t>03537</t>
    </r>
    <r>
      <rPr>
        <sz val="11"/>
        <color theme="1"/>
        <rFont val="Calibri"/>
        <family val="2"/>
        <scheme val="minor"/>
      </rPr>
      <t xml:space="preserve"> - Foreign language interpreter for instructions, ask questions
</t>
    </r>
    <r>
      <rPr>
        <b/>
        <sz val="11"/>
        <color theme="1"/>
        <rFont val="Calibri"/>
        <family val="2"/>
        <scheme val="minor"/>
      </rPr>
      <t>03538</t>
    </r>
    <r>
      <rPr>
        <sz val="11"/>
        <color theme="1"/>
        <rFont val="Calibri"/>
        <family val="2"/>
        <scheme val="minor"/>
      </rPr>
      <t xml:space="preserve"> - Format
</t>
    </r>
    <r>
      <rPr>
        <b/>
        <sz val="11"/>
        <color theme="1"/>
        <rFont val="Calibri"/>
        <family val="2"/>
        <scheme val="minor"/>
      </rPr>
      <t>03539</t>
    </r>
    <r>
      <rPr>
        <sz val="11"/>
        <color theme="1"/>
        <rFont val="Calibri"/>
        <family val="2"/>
        <scheme val="minor"/>
      </rPr>
      <t xml:space="preserve"> - Hospital/home testing
</t>
    </r>
    <r>
      <rPr>
        <b/>
        <sz val="11"/>
        <color theme="1"/>
        <rFont val="Calibri"/>
        <family val="2"/>
        <scheme val="minor"/>
      </rPr>
      <t>13790</t>
    </r>
    <r>
      <rPr>
        <sz val="11"/>
        <color theme="1"/>
        <rFont val="Calibri"/>
        <family val="2"/>
        <scheme val="minor"/>
      </rPr>
      <t xml:space="preserve"> - Increase white space
</t>
    </r>
    <r>
      <rPr>
        <b/>
        <sz val="11"/>
        <color theme="1"/>
        <rFont val="Calibri"/>
        <family val="2"/>
        <scheme val="minor"/>
      </rPr>
      <t>13805</t>
    </r>
    <r>
      <rPr>
        <sz val="11"/>
        <color theme="1"/>
        <rFont val="Calibri"/>
        <family val="2"/>
        <scheme val="minor"/>
      </rPr>
      <t xml:space="preserve"> - Item translation
</t>
    </r>
    <r>
      <rPr>
        <b/>
        <sz val="11"/>
        <color theme="1"/>
        <rFont val="Calibri"/>
        <family val="2"/>
        <scheme val="minor"/>
      </rPr>
      <t>13798</t>
    </r>
    <r>
      <rPr>
        <sz val="11"/>
        <color theme="1"/>
        <rFont val="Calibri"/>
        <family val="2"/>
        <scheme val="minor"/>
      </rPr>
      <t xml:space="preserve"> - Keyword highlighting
</t>
    </r>
    <r>
      <rPr>
        <b/>
        <sz val="11"/>
        <color theme="1"/>
        <rFont val="Calibri"/>
        <family val="2"/>
        <scheme val="minor"/>
      </rPr>
      <t>13804</t>
    </r>
    <r>
      <rPr>
        <sz val="11"/>
        <color theme="1"/>
        <rFont val="Calibri"/>
        <family val="2"/>
        <scheme val="minor"/>
      </rPr>
      <t xml:space="preserve"> - Keyword translation
</t>
    </r>
    <r>
      <rPr>
        <b/>
        <sz val="11"/>
        <color theme="1"/>
        <rFont val="Calibri"/>
        <family val="2"/>
        <scheme val="minor"/>
      </rPr>
      <t>00468</t>
    </r>
    <r>
      <rPr>
        <sz val="11"/>
        <color theme="1"/>
        <rFont val="Calibri"/>
        <family val="2"/>
        <scheme val="minor"/>
      </rPr>
      <t xml:space="preserve"> - Large print booklet
</t>
    </r>
    <r>
      <rPr>
        <b/>
        <sz val="11"/>
        <color theme="1"/>
        <rFont val="Calibri"/>
        <family val="2"/>
        <scheme val="minor"/>
      </rPr>
      <t>13796</t>
    </r>
    <r>
      <rPr>
        <sz val="11"/>
        <color theme="1"/>
        <rFont val="Calibri"/>
        <family val="2"/>
        <scheme val="minor"/>
      </rPr>
      <t xml:space="preserve"> - Line reader
</t>
    </r>
    <r>
      <rPr>
        <b/>
        <sz val="11"/>
        <color theme="1"/>
        <rFont val="Calibri"/>
        <family val="2"/>
        <scheme val="minor"/>
      </rPr>
      <t>03540</t>
    </r>
    <r>
      <rPr>
        <sz val="11"/>
        <color theme="1"/>
        <rFont val="Calibri"/>
        <family val="2"/>
        <scheme val="minor"/>
      </rPr>
      <t xml:space="preserve"> - Linguistic modification of test directions
</t>
    </r>
    <r>
      <rPr>
        <b/>
        <sz val="11"/>
        <color theme="1"/>
        <rFont val="Calibri"/>
        <family val="2"/>
        <scheme val="minor"/>
      </rPr>
      <t>03541</t>
    </r>
    <r>
      <rPr>
        <sz val="11"/>
        <color theme="1"/>
        <rFont val="Calibri"/>
        <family val="2"/>
        <scheme val="minor"/>
      </rPr>
      <t xml:space="preserve"> - Magnification device
</t>
    </r>
    <r>
      <rPr>
        <b/>
        <sz val="11"/>
        <color theme="1"/>
        <rFont val="Calibri"/>
        <family val="2"/>
        <scheme val="minor"/>
      </rPr>
      <t>03542</t>
    </r>
    <r>
      <rPr>
        <sz val="11"/>
        <color theme="1"/>
        <rFont val="Calibri"/>
        <family val="2"/>
        <scheme val="minor"/>
      </rPr>
      <t xml:space="preserve"> - Manually coded English or American Sign Language to present test questions
</t>
    </r>
    <r>
      <rPr>
        <b/>
        <sz val="11"/>
        <color theme="1"/>
        <rFont val="Calibri"/>
        <family val="2"/>
        <scheme val="minor"/>
      </rPr>
      <t>13792</t>
    </r>
    <r>
      <rPr>
        <sz val="11"/>
        <color theme="1"/>
        <rFont val="Calibri"/>
        <family val="2"/>
        <scheme val="minor"/>
      </rPr>
      <t xml:space="preserve"> - Masking
</t>
    </r>
    <r>
      <rPr>
        <b/>
        <sz val="11"/>
        <color theme="1"/>
        <rFont val="Calibri"/>
        <family val="2"/>
        <scheme val="minor"/>
      </rPr>
      <t>03543</t>
    </r>
    <r>
      <rPr>
        <sz val="11"/>
        <color theme="1"/>
        <rFont val="Calibri"/>
        <family val="2"/>
        <scheme val="minor"/>
      </rPr>
      <t xml:space="preserve"> - Math manipulatives (math or science)
</t>
    </r>
    <r>
      <rPr>
        <b/>
        <sz val="11"/>
        <color theme="1"/>
        <rFont val="Calibri"/>
        <family val="2"/>
        <scheme val="minor"/>
      </rPr>
      <t>03544</t>
    </r>
    <r>
      <rPr>
        <sz val="11"/>
        <color theme="1"/>
        <rFont val="Calibri"/>
        <family val="2"/>
        <scheme val="minor"/>
      </rPr>
      <t xml:space="preserve"> - Modification of linguistic complexity
</t>
    </r>
    <r>
      <rPr>
        <b/>
        <sz val="11"/>
        <color theme="1"/>
        <rFont val="Calibri"/>
        <family val="2"/>
        <scheme val="minor"/>
      </rPr>
      <t>00469</t>
    </r>
    <r>
      <rPr>
        <sz val="11"/>
        <color theme="1"/>
        <rFont val="Calibri"/>
        <family val="2"/>
        <scheme val="minor"/>
      </rPr>
      <t xml:space="preserve"> - Multi-day administration
</t>
    </r>
    <r>
      <rPr>
        <b/>
        <sz val="11"/>
        <color theme="1"/>
        <rFont val="Calibri"/>
        <family val="2"/>
        <scheme val="minor"/>
      </rPr>
      <t>03545</t>
    </r>
    <r>
      <rPr>
        <sz val="11"/>
        <color theme="1"/>
        <rFont val="Calibri"/>
        <family val="2"/>
        <scheme val="minor"/>
      </rPr>
      <t xml:space="preserve"> - Multiple test sessions
</t>
    </r>
    <r>
      <rPr>
        <b/>
        <sz val="11"/>
        <color theme="1"/>
        <rFont val="Calibri"/>
        <family val="2"/>
        <scheme val="minor"/>
      </rPr>
      <t>13802</t>
    </r>
    <r>
      <rPr>
        <sz val="11"/>
        <color theme="1"/>
        <rFont val="Calibri"/>
        <family val="2"/>
        <scheme val="minor"/>
      </rPr>
      <t xml:space="preserve"> - Negatives removed
</t>
    </r>
    <r>
      <rPr>
        <b/>
        <sz val="11"/>
        <color theme="1"/>
        <rFont val="Calibri"/>
        <family val="2"/>
        <scheme val="minor"/>
      </rPr>
      <t>03546</t>
    </r>
    <r>
      <rPr>
        <sz val="11"/>
        <color theme="1"/>
        <rFont val="Calibri"/>
        <family val="2"/>
        <scheme val="minor"/>
      </rPr>
      <t xml:space="preserve"> - Oral directions in the native language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03547</t>
    </r>
    <r>
      <rPr>
        <sz val="11"/>
        <color theme="1"/>
        <rFont val="Calibri"/>
        <family val="2"/>
        <scheme val="minor"/>
      </rPr>
      <t xml:space="preserve"> - Paraphrasing
</t>
    </r>
    <r>
      <rPr>
        <b/>
        <sz val="11"/>
        <color theme="1"/>
        <rFont val="Calibri"/>
        <family val="2"/>
        <scheme val="minor"/>
      </rPr>
      <t>03548</t>
    </r>
    <r>
      <rPr>
        <sz val="11"/>
        <color theme="1"/>
        <rFont val="Calibri"/>
        <family val="2"/>
        <scheme val="minor"/>
      </rPr>
      <t xml:space="preserve"> - Physical supports
</t>
    </r>
    <r>
      <rPr>
        <b/>
        <sz val="11"/>
        <color theme="1"/>
        <rFont val="Calibri"/>
        <family val="2"/>
        <scheme val="minor"/>
      </rPr>
      <t>00471</t>
    </r>
    <r>
      <rPr>
        <sz val="11"/>
        <color theme="1"/>
        <rFont val="Calibri"/>
        <family val="2"/>
        <scheme val="minor"/>
      </rPr>
      <t xml:space="preserve"> - Recorder or amanuensis
</t>
    </r>
    <r>
      <rPr>
        <b/>
        <sz val="11"/>
        <color theme="1"/>
        <rFont val="Calibri"/>
        <family val="2"/>
        <scheme val="minor"/>
      </rPr>
      <t>13801</t>
    </r>
    <r>
      <rPr>
        <sz val="11"/>
        <color theme="1"/>
        <rFont val="Calibri"/>
        <family val="2"/>
        <scheme val="minor"/>
      </rPr>
      <t xml:space="preserve"> - Reduced answer choices
</t>
    </r>
    <r>
      <rPr>
        <b/>
        <sz val="11"/>
        <color theme="1"/>
        <rFont val="Calibri"/>
        <family val="2"/>
        <scheme val="minor"/>
      </rPr>
      <t>03549</t>
    </r>
    <r>
      <rPr>
        <sz val="11"/>
        <color theme="1"/>
        <rFont val="Calibri"/>
        <family val="2"/>
        <scheme val="minor"/>
      </rPr>
      <t xml:space="preserve"> - Response dictated in American Sign Language
</t>
    </r>
    <r>
      <rPr>
        <b/>
        <sz val="11"/>
        <color theme="1"/>
        <rFont val="Calibri"/>
        <family val="2"/>
        <scheme val="minor"/>
      </rPr>
      <t>03550</t>
    </r>
    <r>
      <rPr>
        <sz val="11"/>
        <color theme="1"/>
        <rFont val="Calibri"/>
        <family val="2"/>
        <scheme val="minor"/>
      </rPr>
      <t xml:space="preserve"> - Response in native language
</t>
    </r>
    <r>
      <rPr>
        <b/>
        <sz val="11"/>
        <color theme="1"/>
        <rFont val="Calibri"/>
        <family val="2"/>
        <scheme val="minor"/>
      </rPr>
      <t>13788</t>
    </r>
    <r>
      <rPr>
        <sz val="11"/>
        <color theme="1"/>
        <rFont val="Calibri"/>
        <family val="2"/>
        <scheme val="minor"/>
      </rPr>
      <t xml:space="preserve"> - Reverse contrast
</t>
    </r>
    <r>
      <rPr>
        <b/>
        <sz val="11"/>
        <color theme="1"/>
        <rFont val="Calibri"/>
        <family val="2"/>
        <scheme val="minor"/>
      </rPr>
      <t>13799</t>
    </r>
    <r>
      <rPr>
        <sz val="11"/>
        <color theme="1"/>
        <rFont val="Calibri"/>
        <family val="2"/>
        <scheme val="minor"/>
      </rPr>
      <t xml:space="preserve"> - Scaffolding
</t>
    </r>
    <r>
      <rPr>
        <b/>
        <sz val="11"/>
        <color theme="1"/>
        <rFont val="Calibri"/>
        <family val="2"/>
        <scheme val="minor"/>
      </rPr>
      <t>03551</t>
    </r>
    <r>
      <rPr>
        <sz val="11"/>
        <color theme="1"/>
        <rFont val="Calibri"/>
        <family val="2"/>
        <scheme val="minor"/>
      </rPr>
      <t xml:space="preserve"> - Scheduled extended time
</t>
    </r>
    <r>
      <rPr>
        <b/>
        <sz val="11"/>
        <color theme="1"/>
        <rFont val="Calibri"/>
        <family val="2"/>
        <scheme val="minor"/>
      </rPr>
      <t>00473</t>
    </r>
    <r>
      <rPr>
        <sz val="11"/>
        <color theme="1"/>
        <rFont val="Calibri"/>
        <family val="2"/>
        <scheme val="minor"/>
      </rPr>
      <t xml:space="preserve"> - Separate room
</t>
    </r>
    <r>
      <rPr>
        <b/>
        <sz val="11"/>
        <color theme="1"/>
        <rFont val="Calibri"/>
        <family val="2"/>
        <scheme val="minor"/>
      </rPr>
      <t>03552</t>
    </r>
    <r>
      <rPr>
        <sz val="11"/>
        <color theme="1"/>
        <rFont val="Calibri"/>
        <family val="2"/>
        <scheme val="minor"/>
      </rPr>
      <t xml:space="preserve"> - Separate room with other English Learners under supervision of district employee
</t>
    </r>
    <r>
      <rPr>
        <b/>
        <sz val="11"/>
        <color theme="1"/>
        <rFont val="Calibri"/>
        <family val="2"/>
        <scheme val="minor"/>
      </rPr>
      <t>73070</t>
    </r>
    <r>
      <rPr>
        <sz val="11"/>
        <color theme="1"/>
        <rFont val="Calibri"/>
        <family val="2"/>
        <scheme val="minor"/>
      </rPr>
      <t xml:space="preserve"> - Sign Language Video
</t>
    </r>
    <r>
      <rPr>
        <b/>
        <sz val="11"/>
        <color theme="1"/>
        <rFont val="Calibri"/>
        <family val="2"/>
        <scheme val="minor"/>
      </rPr>
      <t>03553</t>
    </r>
    <r>
      <rPr>
        <sz val="11"/>
        <color theme="1"/>
        <rFont val="Calibri"/>
        <family val="2"/>
        <scheme val="minor"/>
      </rPr>
      <t xml:space="preserve"> - Signer/sign language for instructions, ask questions
</t>
    </r>
    <r>
      <rPr>
        <b/>
        <sz val="11"/>
        <color theme="1"/>
        <rFont val="Calibri"/>
        <family val="2"/>
        <scheme val="minor"/>
      </rPr>
      <t>00474</t>
    </r>
    <r>
      <rPr>
        <sz val="11"/>
        <color theme="1"/>
        <rFont val="Calibri"/>
        <family val="2"/>
        <scheme val="minor"/>
      </rPr>
      <t xml:space="preserve"> - Signer/sign language interpreter
</t>
    </r>
    <r>
      <rPr>
        <b/>
        <sz val="11"/>
        <color theme="1"/>
        <rFont val="Calibri"/>
        <family val="2"/>
        <scheme val="minor"/>
      </rPr>
      <t>03554</t>
    </r>
    <r>
      <rPr>
        <sz val="11"/>
        <color theme="1"/>
        <rFont val="Calibri"/>
        <family val="2"/>
        <scheme val="minor"/>
      </rPr>
      <t xml:space="preserve"> - Simplified language
</t>
    </r>
    <r>
      <rPr>
        <b/>
        <sz val="11"/>
        <color theme="1"/>
        <rFont val="Calibri"/>
        <family val="2"/>
        <scheme val="minor"/>
      </rPr>
      <t>03555</t>
    </r>
    <r>
      <rPr>
        <sz val="11"/>
        <color theme="1"/>
        <rFont val="Calibri"/>
        <family val="2"/>
        <scheme val="minor"/>
      </rPr>
      <t xml:space="preserve"> - Small-group or individual administration
</t>
    </r>
    <r>
      <rPr>
        <b/>
        <sz val="11"/>
        <color theme="1"/>
        <rFont val="Calibri"/>
        <family val="2"/>
        <scheme val="minor"/>
      </rPr>
      <t>00475</t>
    </r>
    <r>
      <rPr>
        <sz val="11"/>
        <color theme="1"/>
        <rFont val="Calibri"/>
        <family val="2"/>
        <scheme val="minor"/>
      </rPr>
      <t xml:space="preserve"> - Special furniture
</t>
    </r>
    <r>
      <rPr>
        <b/>
        <sz val="11"/>
        <color theme="1"/>
        <rFont val="Calibri"/>
        <family val="2"/>
        <scheme val="minor"/>
      </rPr>
      <t>00476</t>
    </r>
    <r>
      <rPr>
        <sz val="11"/>
        <color theme="1"/>
        <rFont val="Calibri"/>
        <family val="2"/>
        <scheme val="minor"/>
      </rPr>
      <t xml:space="preserve"> - Special lighting
</t>
    </r>
    <r>
      <rPr>
        <b/>
        <sz val="11"/>
        <color theme="1"/>
        <rFont val="Calibri"/>
        <family val="2"/>
        <scheme val="minor"/>
      </rPr>
      <t>03558</t>
    </r>
    <r>
      <rPr>
        <sz val="11"/>
        <color theme="1"/>
        <rFont val="Calibri"/>
        <family val="2"/>
        <scheme val="minor"/>
      </rPr>
      <t xml:space="preserve"> - Specialized setting
</t>
    </r>
    <r>
      <rPr>
        <b/>
        <sz val="11"/>
        <color theme="1"/>
        <rFont val="Calibri"/>
        <family val="2"/>
        <scheme val="minor"/>
      </rPr>
      <t>03556</t>
    </r>
    <r>
      <rPr>
        <sz val="11"/>
        <color theme="1"/>
        <rFont val="Calibri"/>
        <family val="2"/>
        <scheme val="minor"/>
      </rPr>
      <t xml:space="preserve"> - Speech recognition system
</t>
    </r>
    <r>
      <rPr>
        <b/>
        <sz val="11"/>
        <color theme="1"/>
        <rFont val="Calibri"/>
        <family val="2"/>
        <scheme val="minor"/>
      </rPr>
      <t>03557</t>
    </r>
    <r>
      <rPr>
        <sz val="11"/>
        <color theme="1"/>
        <rFont val="Calibri"/>
        <family val="2"/>
        <scheme val="minor"/>
      </rPr>
      <t xml:space="preserve"> - Spell-checker
</t>
    </r>
    <r>
      <rPr>
        <b/>
        <sz val="11"/>
        <color theme="1"/>
        <rFont val="Calibri"/>
        <family val="2"/>
        <scheme val="minor"/>
      </rPr>
      <t>13794</t>
    </r>
    <r>
      <rPr>
        <sz val="11"/>
        <color theme="1"/>
        <rFont val="Calibri"/>
        <family val="2"/>
        <scheme val="minor"/>
      </rPr>
      <t xml:space="preserve"> - Structured masking
</t>
    </r>
    <r>
      <rPr>
        <b/>
        <sz val="11"/>
        <color theme="1"/>
        <rFont val="Calibri"/>
        <family val="2"/>
        <scheme val="minor"/>
      </rPr>
      <t>03559</t>
    </r>
    <r>
      <rPr>
        <sz val="11"/>
        <color theme="1"/>
        <rFont val="Calibri"/>
        <family val="2"/>
        <scheme val="minor"/>
      </rPr>
      <t xml:space="preserve"> - Student read aloud
</t>
    </r>
    <r>
      <rPr>
        <b/>
        <sz val="11"/>
        <color theme="1"/>
        <rFont val="Calibri"/>
        <family val="2"/>
        <scheme val="minor"/>
      </rPr>
      <t>03560</t>
    </r>
    <r>
      <rPr>
        <sz val="11"/>
        <color theme="1"/>
        <rFont val="Calibri"/>
        <family val="2"/>
        <scheme val="minor"/>
      </rPr>
      <t xml:space="preserve"> - Student-requested extended time
</t>
    </r>
    <r>
      <rPr>
        <b/>
        <sz val="11"/>
        <color theme="1"/>
        <rFont val="Calibri"/>
        <family val="2"/>
        <scheme val="minor"/>
      </rPr>
      <t>03561</t>
    </r>
    <r>
      <rPr>
        <sz val="11"/>
        <color theme="1"/>
        <rFont val="Calibri"/>
        <family val="2"/>
        <scheme val="minor"/>
      </rPr>
      <t xml:space="preserve"> - Supervised test breaks
</t>
    </r>
    <r>
      <rPr>
        <b/>
        <sz val="11"/>
        <color theme="1"/>
        <rFont val="Calibri"/>
        <family val="2"/>
        <scheme val="minor"/>
      </rPr>
      <t>13806</t>
    </r>
    <r>
      <rPr>
        <sz val="11"/>
        <color theme="1"/>
        <rFont val="Calibri"/>
        <family val="2"/>
        <scheme val="minor"/>
      </rPr>
      <t xml:space="preserve"> - Tactile
</t>
    </r>
    <r>
      <rPr>
        <b/>
        <sz val="11"/>
        <color theme="1"/>
        <rFont val="Calibri"/>
        <family val="2"/>
        <scheme val="minor"/>
      </rPr>
      <t>03562</t>
    </r>
    <r>
      <rPr>
        <sz val="11"/>
        <color theme="1"/>
        <rFont val="Calibri"/>
        <family val="2"/>
        <scheme val="minor"/>
      </rPr>
      <t xml:space="preserve"> - Technological aid
</t>
    </r>
    <r>
      <rPr>
        <b/>
        <sz val="11"/>
        <color theme="1"/>
        <rFont val="Calibri"/>
        <family val="2"/>
        <scheme val="minor"/>
      </rPr>
      <t>03565</t>
    </r>
    <r>
      <rPr>
        <sz val="11"/>
        <color theme="1"/>
        <rFont val="Calibri"/>
        <family val="2"/>
        <scheme val="minor"/>
      </rPr>
      <t xml:space="preserve"> - Test administered at best time of day for student handwriting issues
</t>
    </r>
    <r>
      <rPr>
        <b/>
        <sz val="11"/>
        <color theme="1"/>
        <rFont val="Calibri"/>
        <family val="2"/>
        <scheme val="minor"/>
      </rPr>
      <t>03563</t>
    </r>
    <r>
      <rPr>
        <sz val="11"/>
        <color theme="1"/>
        <rFont val="Calibri"/>
        <family val="2"/>
        <scheme val="minor"/>
      </rPr>
      <t xml:space="preserve"> - Test administrator marked / wrote test at student's direction
</t>
    </r>
    <r>
      <rPr>
        <b/>
        <sz val="11"/>
        <color theme="1"/>
        <rFont val="Calibri"/>
        <family val="2"/>
        <scheme val="minor"/>
      </rPr>
      <t>03564</t>
    </r>
    <r>
      <rPr>
        <sz val="11"/>
        <color theme="1"/>
        <rFont val="Calibri"/>
        <family val="2"/>
        <scheme val="minor"/>
      </rPr>
      <t xml:space="preserve"> - Test administrator read questions aloud
</t>
    </r>
    <r>
      <rPr>
        <b/>
        <sz val="11"/>
        <color theme="1"/>
        <rFont val="Calibri"/>
        <family val="2"/>
        <scheme val="minor"/>
      </rPr>
      <t>03566</t>
    </r>
    <r>
      <rPr>
        <sz val="11"/>
        <color theme="1"/>
        <rFont val="Calibri"/>
        <family val="2"/>
        <scheme val="minor"/>
      </rPr>
      <t xml:space="preserve"> - Text changes in vocabulary
</t>
    </r>
    <r>
      <rPr>
        <b/>
        <sz val="11"/>
        <color theme="1"/>
        <rFont val="Calibri"/>
        <family val="2"/>
        <scheme val="minor"/>
      </rPr>
      <t>00477</t>
    </r>
    <r>
      <rPr>
        <sz val="11"/>
        <color theme="1"/>
        <rFont val="Calibri"/>
        <family val="2"/>
        <scheme val="minor"/>
      </rPr>
      <t xml:space="preserve"> - Track ball
</t>
    </r>
    <r>
      <rPr>
        <b/>
        <sz val="11"/>
        <color theme="1"/>
        <rFont val="Calibri"/>
        <family val="2"/>
        <scheme val="minor"/>
      </rPr>
      <t>03567</t>
    </r>
    <r>
      <rPr>
        <sz val="11"/>
        <color theme="1"/>
        <rFont val="Calibri"/>
        <family val="2"/>
        <scheme val="minor"/>
      </rPr>
      <t xml:space="preserve"> - Translation dictionary
</t>
    </r>
    <r>
      <rPr>
        <b/>
        <sz val="11"/>
        <color theme="1"/>
        <rFont val="Calibri"/>
        <family val="2"/>
        <scheme val="minor"/>
      </rPr>
      <t>09997</t>
    </r>
    <r>
      <rPr>
        <sz val="11"/>
        <color theme="1"/>
        <rFont val="Calibri"/>
        <family val="2"/>
        <scheme val="minor"/>
      </rPr>
      <t xml:space="preserve"> - Unknown
</t>
    </r>
    <r>
      <rPr>
        <b/>
        <sz val="11"/>
        <color theme="1"/>
        <rFont val="Calibri"/>
        <family val="2"/>
        <scheme val="minor"/>
      </rPr>
      <t>00479</t>
    </r>
    <r>
      <rPr>
        <sz val="11"/>
        <color theme="1"/>
        <rFont val="Calibri"/>
        <family val="2"/>
        <scheme val="minor"/>
      </rPr>
      <t xml:space="preserve"> - Untimed
</t>
    </r>
    <r>
      <rPr>
        <b/>
        <sz val="11"/>
        <color theme="1"/>
        <rFont val="Calibri"/>
        <family val="2"/>
        <scheme val="minor"/>
      </rPr>
      <t>03568</t>
    </r>
    <r>
      <rPr>
        <sz val="11"/>
        <color theme="1"/>
        <rFont val="Calibri"/>
        <family val="2"/>
        <scheme val="minor"/>
      </rPr>
      <t xml:space="preserve"> - Verbalized problem-solving
</t>
    </r>
    <r>
      <rPr>
        <b/>
        <sz val="11"/>
        <color theme="1"/>
        <rFont val="Calibri"/>
        <family val="2"/>
        <scheme val="minor"/>
      </rPr>
      <t>03569</t>
    </r>
    <r>
      <rPr>
        <sz val="11"/>
        <color theme="1"/>
        <rFont val="Calibri"/>
        <family val="2"/>
        <scheme val="minor"/>
      </rPr>
      <t xml:space="preserve"> - Video cassette
</t>
    </r>
    <r>
      <rPr>
        <b/>
        <sz val="11"/>
        <color theme="1"/>
        <rFont val="Calibri"/>
        <family val="2"/>
        <scheme val="minor"/>
      </rPr>
      <t>03570</t>
    </r>
    <r>
      <rPr>
        <sz val="11"/>
        <color theme="1"/>
        <rFont val="Calibri"/>
        <family val="2"/>
        <scheme val="minor"/>
      </rPr>
      <t xml:space="preserve"> - Visual cues
</t>
    </r>
    <r>
      <rPr>
        <b/>
        <sz val="11"/>
        <color theme="1"/>
        <rFont val="Calibri"/>
        <family val="2"/>
        <scheme val="minor"/>
      </rPr>
      <t>03571</t>
    </r>
    <r>
      <rPr>
        <sz val="11"/>
        <color theme="1"/>
        <rFont val="Calibri"/>
        <family val="2"/>
        <scheme val="minor"/>
      </rPr>
      <t xml:space="preserve"> - Word processor
</t>
    </r>
    <r>
      <rPr>
        <b/>
        <sz val="11"/>
        <color theme="1"/>
        <rFont val="Calibri"/>
        <family val="2"/>
        <scheme val="minor"/>
      </rPr>
      <t>03572</t>
    </r>
    <r>
      <rPr>
        <sz val="11"/>
        <color theme="1"/>
        <rFont val="Calibri"/>
        <family val="2"/>
        <scheme val="minor"/>
      </rPr>
      <t xml:space="preserve"> - Word processor - grammar-checker turned off
</t>
    </r>
    <r>
      <rPr>
        <b/>
        <sz val="11"/>
        <color theme="1"/>
        <rFont val="Calibri"/>
        <family val="2"/>
        <scheme val="minor"/>
      </rPr>
      <t>03573</t>
    </r>
    <r>
      <rPr>
        <sz val="11"/>
        <color theme="1"/>
        <rFont val="Calibri"/>
        <family val="2"/>
        <scheme val="minor"/>
      </rPr>
      <t xml:space="preserve"> - Word processor - grammar-checker enabled on essay response portion of test
</t>
    </r>
  </si>
  <si>
    <r>
      <t>Client</t>
    </r>
    <r>
      <rPr>
        <sz val="11"/>
        <color theme="1"/>
        <rFont val="Calibri"/>
        <family val="2"/>
        <scheme val="minor"/>
      </rPr>
      <t xml:space="preserve"> - Assigned by the client
</t>
    </r>
    <r>
      <rPr>
        <b/>
        <sz val="11"/>
        <color theme="1"/>
        <rFont val="Calibri"/>
        <family val="2"/>
        <scheme val="minor"/>
      </rPr>
      <t>Publisher</t>
    </r>
    <r>
      <rPr>
        <sz val="11"/>
        <color theme="1"/>
        <rFont val="Calibri"/>
        <family val="2"/>
        <scheme val="minor"/>
      </rPr>
      <t xml:space="preserve"> - Assigned by the asset owner
</t>
    </r>
    <r>
      <rPr>
        <b/>
        <sz val="11"/>
        <color theme="1"/>
        <rFont val="Calibri"/>
        <family val="2"/>
        <scheme val="minor"/>
      </rPr>
      <t>Internal</t>
    </r>
    <r>
      <rPr>
        <sz val="11"/>
        <color theme="1"/>
        <rFont val="Calibri"/>
        <family val="2"/>
        <scheme val="minor"/>
      </rPr>
      <t xml:space="preserve"> - Provided by an internal assessment service
</t>
    </r>
    <r>
      <rPr>
        <b/>
        <sz val="11"/>
        <color theme="1"/>
        <rFont val="Calibri"/>
        <family val="2"/>
        <scheme val="minor"/>
      </rPr>
      <t>Other</t>
    </r>
    <r>
      <rPr>
        <sz val="11"/>
        <color theme="1"/>
        <rFont val="Calibri"/>
        <family val="2"/>
        <scheme val="minor"/>
      </rPr>
      <t xml:space="preserve"> - Custom identifier
</t>
    </r>
  </si>
  <si>
    <r>
      <t>ReadingPassage</t>
    </r>
    <r>
      <rPr>
        <sz val="11"/>
        <color theme="1"/>
        <rFont val="Calibri"/>
        <family val="2"/>
        <scheme val="minor"/>
      </rPr>
      <t xml:space="preserve"> - Reading passage
</t>
    </r>
    <r>
      <rPr>
        <b/>
        <sz val="11"/>
        <color theme="1"/>
        <rFont val="Calibri"/>
        <family val="2"/>
        <scheme val="minor"/>
      </rPr>
      <t>GraphicArt</t>
    </r>
    <r>
      <rPr>
        <sz val="11"/>
        <color theme="1"/>
        <rFont val="Calibri"/>
        <family val="2"/>
        <scheme val="minor"/>
      </rPr>
      <t xml:space="preserve"> - Graphic art
</t>
    </r>
    <r>
      <rPr>
        <b/>
        <sz val="11"/>
        <color theme="1"/>
        <rFont val="Calibri"/>
        <family val="2"/>
        <scheme val="minor"/>
      </rPr>
      <t>Map</t>
    </r>
    <r>
      <rPr>
        <sz val="11"/>
        <color theme="1"/>
        <rFont val="Calibri"/>
        <family val="2"/>
        <scheme val="minor"/>
      </rPr>
      <t xml:space="preserve"> - Map
</t>
    </r>
    <r>
      <rPr>
        <b/>
        <sz val="11"/>
        <color theme="1"/>
        <rFont val="Calibri"/>
        <family val="2"/>
        <scheme val="minor"/>
      </rPr>
      <t>FormulaSheet</t>
    </r>
    <r>
      <rPr>
        <sz val="11"/>
        <color theme="1"/>
        <rFont val="Calibri"/>
        <family val="2"/>
        <scheme val="minor"/>
      </rPr>
      <t xml:space="preserve"> - Formula sheet
</t>
    </r>
    <r>
      <rPr>
        <b/>
        <sz val="11"/>
        <color theme="1"/>
        <rFont val="Calibri"/>
        <family val="2"/>
        <scheme val="minor"/>
      </rPr>
      <t>Table</t>
    </r>
    <r>
      <rPr>
        <sz val="11"/>
        <color theme="1"/>
        <rFont val="Calibri"/>
        <family val="2"/>
        <scheme val="minor"/>
      </rPr>
      <t xml:space="preserve"> - Table
</t>
    </r>
    <r>
      <rPr>
        <b/>
        <sz val="11"/>
        <color theme="1"/>
        <rFont val="Calibri"/>
        <family val="2"/>
        <scheme val="minor"/>
      </rPr>
      <t>Chart</t>
    </r>
    <r>
      <rPr>
        <sz val="11"/>
        <color theme="1"/>
        <rFont val="Calibri"/>
        <family val="2"/>
        <scheme val="minor"/>
      </rPr>
      <t xml:space="preserve"> - Chart
</t>
    </r>
    <r>
      <rPr>
        <b/>
        <sz val="11"/>
        <color theme="1"/>
        <rFont val="Calibri"/>
        <family val="2"/>
        <scheme val="minor"/>
      </rPr>
      <t>Audio</t>
    </r>
    <r>
      <rPr>
        <sz val="11"/>
        <color theme="1"/>
        <rFont val="Calibri"/>
        <family val="2"/>
        <scheme val="minor"/>
      </rPr>
      <t xml:space="preserve"> - Audio
</t>
    </r>
    <r>
      <rPr>
        <b/>
        <sz val="11"/>
        <color theme="1"/>
        <rFont val="Calibri"/>
        <family val="2"/>
        <scheme val="minor"/>
      </rPr>
      <t>Video</t>
    </r>
    <r>
      <rPr>
        <sz val="11"/>
        <color theme="1"/>
        <rFont val="Calibri"/>
        <family val="2"/>
        <scheme val="minor"/>
      </rPr>
      <t xml:space="preserve"> - Video
</t>
    </r>
    <r>
      <rPr>
        <b/>
        <sz val="11"/>
        <color theme="1"/>
        <rFont val="Calibri"/>
        <family val="2"/>
        <scheme val="minor"/>
      </rPr>
      <t>Scenario</t>
    </r>
    <r>
      <rPr>
        <sz val="11"/>
        <color theme="1"/>
        <rFont val="Calibri"/>
        <family val="2"/>
        <scheme val="minor"/>
      </rPr>
      <t xml:space="preserve"> - Scenario
</t>
    </r>
    <r>
      <rPr>
        <b/>
        <sz val="11"/>
        <color theme="1"/>
        <rFont val="Calibri"/>
        <family val="2"/>
        <scheme val="minor"/>
      </rPr>
      <t>Simulation</t>
    </r>
    <r>
      <rPr>
        <sz val="11"/>
        <color theme="1"/>
        <rFont val="Calibri"/>
        <family val="2"/>
        <scheme val="minor"/>
      </rPr>
      <t xml:space="preserve"> - Simulation
</t>
    </r>
    <r>
      <rPr>
        <b/>
        <sz val="11"/>
        <color theme="1"/>
        <rFont val="Calibri"/>
        <family val="2"/>
        <scheme val="minor"/>
      </rPr>
      <t>StoryBoard</t>
    </r>
    <r>
      <rPr>
        <sz val="11"/>
        <color theme="1"/>
        <rFont val="Calibri"/>
        <family val="2"/>
        <scheme val="minor"/>
      </rPr>
      <t xml:space="preserve"> - Story board
</t>
    </r>
    <r>
      <rPr>
        <b/>
        <sz val="11"/>
        <color theme="1"/>
        <rFont val="Calibri"/>
        <family val="2"/>
        <scheme val="minor"/>
      </rPr>
      <t>LabSet</t>
    </r>
    <r>
      <rPr>
        <sz val="11"/>
        <color theme="1"/>
        <rFont val="Calibri"/>
        <family val="2"/>
        <scheme val="minor"/>
      </rPr>
      <t xml:space="preserve"> - Lab set
</t>
    </r>
    <r>
      <rPr>
        <b/>
        <sz val="11"/>
        <color theme="1"/>
        <rFont val="Calibri"/>
        <family val="2"/>
        <scheme val="minor"/>
      </rPr>
      <t>PeriodicTable</t>
    </r>
    <r>
      <rPr>
        <sz val="11"/>
        <color theme="1"/>
        <rFont val="Calibri"/>
        <family val="2"/>
        <scheme val="minor"/>
      </rPr>
      <t xml:space="preserve"> - Periodic table
</t>
    </r>
    <r>
      <rPr>
        <b/>
        <sz val="11"/>
        <color theme="1"/>
        <rFont val="Calibri"/>
        <family val="2"/>
        <scheme val="minor"/>
      </rPr>
      <t>TranslationDictionary</t>
    </r>
    <r>
      <rPr>
        <sz val="11"/>
        <color theme="1"/>
        <rFont val="Calibri"/>
        <family val="2"/>
        <scheme val="minor"/>
      </rPr>
      <t xml:space="preserve"> - Translation dictionary
</t>
    </r>
    <r>
      <rPr>
        <b/>
        <sz val="11"/>
        <color theme="1"/>
        <rFont val="Calibri"/>
        <family val="2"/>
        <scheme val="minor"/>
      </rPr>
      <t>BasicCalculator</t>
    </r>
    <r>
      <rPr>
        <sz val="11"/>
        <color theme="1"/>
        <rFont val="Calibri"/>
        <family val="2"/>
        <scheme val="minor"/>
      </rPr>
      <t xml:space="preserve"> - Basic calculator
</t>
    </r>
    <r>
      <rPr>
        <b/>
        <sz val="11"/>
        <color theme="1"/>
        <rFont val="Calibri"/>
        <family val="2"/>
        <scheme val="minor"/>
      </rPr>
      <t>StandardCalculator</t>
    </r>
    <r>
      <rPr>
        <sz val="11"/>
        <color theme="1"/>
        <rFont val="Calibri"/>
        <family val="2"/>
        <scheme val="minor"/>
      </rPr>
      <t xml:space="preserve"> - Standard calculator
</t>
    </r>
    <r>
      <rPr>
        <b/>
        <sz val="11"/>
        <color theme="1"/>
        <rFont val="Calibri"/>
        <family val="2"/>
        <scheme val="minor"/>
      </rPr>
      <t>ScientificCalculator</t>
    </r>
    <r>
      <rPr>
        <sz val="11"/>
        <color theme="1"/>
        <rFont val="Calibri"/>
        <family val="2"/>
        <scheme val="minor"/>
      </rPr>
      <t xml:space="preserve"> - Scientific calculator
</t>
    </r>
    <r>
      <rPr>
        <b/>
        <sz val="11"/>
        <color theme="1"/>
        <rFont val="Calibri"/>
        <family val="2"/>
        <scheme val="minor"/>
      </rPr>
      <t>GraphingCalculator</t>
    </r>
    <r>
      <rPr>
        <sz val="11"/>
        <color theme="1"/>
        <rFont val="Calibri"/>
        <family val="2"/>
        <scheme val="minor"/>
      </rPr>
      <t xml:space="preserve"> - Graphing calculator
</t>
    </r>
    <r>
      <rPr>
        <b/>
        <sz val="11"/>
        <color theme="1"/>
        <rFont val="Calibri"/>
        <family val="2"/>
        <scheme val="minor"/>
      </rPr>
      <t>Protractor</t>
    </r>
    <r>
      <rPr>
        <sz val="11"/>
        <color theme="1"/>
        <rFont val="Calibri"/>
        <family val="2"/>
        <scheme val="minor"/>
      </rPr>
      <t xml:space="preserve"> - Protractor
</t>
    </r>
    <r>
      <rPr>
        <b/>
        <sz val="11"/>
        <color theme="1"/>
        <rFont val="Calibri"/>
        <family val="2"/>
        <scheme val="minor"/>
      </rPr>
      <t>MetricRuler</t>
    </r>
    <r>
      <rPr>
        <sz val="11"/>
        <color theme="1"/>
        <rFont val="Calibri"/>
        <family val="2"/>
        <scheme val="minor"/>
      </rPr>
      <t xml:space="preserve"> - Metric ruler
</t>
    </r>
    <r>
      <rPr>
        <b/>
        <sz val="11"/>
        <color theme="1"/>
        <rFont val="Calibri"/>
        <family val="2"/>
        <scheme val="minor"/>
      </rPr>
      <t>EnglishRuler</t>
    </r>
    <r>
      <rPr>
        <sz val="11"/>
        <color theme="1"/>
        <rFont val="Calibri"/>
        <family val="2"/>
        <scheme val="minor"/>
      </rPr>
      <t xml:space="preserve"> - English ruler
</t>
    </r>
    <r>
      <rPr>
        <b/>
        <sz val="11"/>
        <color theme="1"/>
        <rFont val="Calibri"/>
        <family val="2"/>
        <scheme val="minor"/>
      </rPr>
      <t>UnitsRuler</t>
    </r>
    <r>
      <rPr>
        <sz val="11"/>
        <color theme="1"/>
        <rFont val="Calibri"/>
        <family val="2"/>
        <scheme val="minor"/>
      </rPr>
      <t xml:space="preserve"> - Units ruler
</t>
    </r>
    <r>
      <rPr>
        <b/>
        <sz val="11"/>
        <color theme="1"/>
        <rFont val="Calibri"/>
        <family val="2"/>
        <scheme val="minor"/>
      </rPr>
      <t>ReadingLine</t>
    </r>
    <r>
      <rPr>
        <sz val="11"/>
        <color theme="1"/>
        <rFont val="Calibri"/>
        <family val="2"/>
        <scheme val="minor"/>
      </rPr>
      <t xml:space="preserve"> - Reading line
</t>
    </r>
    <r>
      <rPr>
        <b/>
        <sz val="11"/>
        <color theme="1"/>
        <rFont val="Calibri"/>
        <family val="2"/>
        <scheme val="minor"/>
      </rPr>
      <t>LineDraw</t>
    </r>
    <r>
      <rPr>
        <sz val="11"/>
        <color theme="1"/>
        <rFont val="Calibri"/>
        <family val="2"/>
        <scheme val="minor"/>
      </rPr>
      <t xml:space="preserve"> - Line draw
</t>
    </r>
    <r>
      <rPr>
        <b/>
        <sz val="11"/>
        <color theme="1"/>
        <rFont val="Calibri"/>
        <family val="2"/>
        <scheme val="minor"/>
      </rPr>
      <t>Highlighter</t>
    </r>
    <r>
      <rPr>
        <sz val="11"/>
        <color theme="1"/>
        <rFont val="Calibri"/>
        <family val="2"/>
        <scheme val="minor"/>
      </rPr>
      <t xml:space="preserve"> - Highlighter
</t>
    </r>
    <r>
      <rPr>
        <b/>
        <sz val="11"/>
        <color theme="1"/>
        <rFont val="Calibri"/>
        <family val="2"/>
        <scheme val="minor"/>
      </rPr>
      <t>OtherInteractive</t>
    </r>
    <r>
      <rPr>
        <sz val="11"/>
        <color theme="1"/>
        <rFont val="Calibri"/>
        <family val="2"/>
        <scheme val="minor"/>
      </rPr>
      <t xml:space="preserve"> - Other interactive
</t>
    </r>
    <r>
      <rPr>
        <b/>
        <sz val="11"/>
        <color theme="1"/>
        <rFont val="Calibri"/>
        <family val="2"/>
        <scheme val="minor"/>
      </rPr>
      <t>OtherNonInteractive</t>
    </r>
    <r>
      <rPr>
        <sz val="11"/>
        <color theme="1"/>
        <rFont val="Calibri"/>
        <family val="2"/>
        <scheme val="minor"/>
      </rPr>
      <t xml:space="preserve"> - Other non-interactive
</t>
    </r>
    <r>
      <rPr>
        <b/>
        <sz val="11"/>
        <color theme="1"/>
        <rFont val="Calibri"/>
        <family val="2"/>
        <scheme val="minor"/>
      </rPr>
      <t>Other</t>
    </r>
    <r>
      <rPr>
        <sz val="11"/>
        <color theme="1"/>
        <rFont val="Calibri"/>
        <family val="2"/>
        <scheme val="minor"/>
      </rPr>
      <t xml:space="preserve"> - Other
</t>
    </r>
  </si>
  <si>
    <r>
      <t>AssociationStandard</t>
    </r>
    <r>
      <rPr>
        <sz val="11"/>
        <color theme="1"/>
        <rFont val="Calibri"/>
        <family val="2"/>
        <scheme val="minor"/>
      </rPr>
      <t xml:space="preserve"> - Association standard
</t>
    </r>
    <r>
      <rPr>
        <b/>
        <sz val="11"/>
        <color theme="1"/>
        <rFont val="Calibri"/>
        <family val="2"/>
        <scheme val="minor"/>
      </rPr>
      <t>LocalStandard</t>
    </r>
    <r>
      <rPr>
        <sz val="11"/>
        <color theme="1"/>
        <rFont val="Calibri"/>
        <family val="2"/>
        <scheme val="minor"/>
      </rPr>
      <t xml:space="preserve"> - Local standard
</t>
    </r>
    <r>
      <rPr>
        <b/>
        <sz val="11"/>
        <color theme="1"/>
        <rFont val="Calibri"/>
        <family val="2"/>
        <scheme val="minor"/>
      </rPr>
      <t>None</t>
    </r>
    <r>
      <rPr>
        <sz val="11"/>
        <color theme="1"/>
        <rFont val="Calibri"/>
        <family val="2"/>
        <scheme val="minor"/>
      </rPr>
      <t xml:space="preserve"> - None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OtherStandard</t>
    </r>
    <r>
      <rPr>
        <sz val="11"/>
        <color theme="1"/>
        <rFont val="Calibri"/>
        <family val="2"/>
        <scheme val="minor"/>
      </rPr>
      <t xml:space="preserve"> - Other standard
</t>
    </r>
    <r>
      <rPr>
        <b/>
        <sz val="11"/>
        <color theme="1"/>
        <rFont val="Calibri"/>
        <family val="2"/>
        <scheme val="minor"/>
      </rPr>
      <t>RegionalStandard</t>
    </r>
    <r>
      <rPr>
        <sz val="11"/>
        <color theme="1"/>
        <rFont val="Calibri"/>
        <family val="2"/>
        <scheme val="minor"/>
      </rPr>
      <t xml:space="preserve"> - Regional standard
</t>
    </r>
    <r>
      <rPr>
        <b/>
        <sz val="11"/>
        <color theme="1"/>
        <rFont val="Calibri"/>
        <family val="2"/>
        <scheme val="minor"/>
      </rPr>
      <t>SchoolStandard</t>
    </r>
    <r>
      <rPr>
        <sz val="11"/>
        <color theme="1"/>
        <rFont val="Calibri"/>
        <family val="2"/>
        <scheme val="minor"/>
      </rPr>
      <t xml:space="preserve"> - School standard
</t>
    </r>
    <r>
      <rPr>
        <b/>
        <sz val="11"/>
        <color theme="1"/>
        <rFont val="Calibri"/>
        <family val="2"/>
        <scheme val="minor"/>
      </rPr>
      <t>StatewideStandard</t>
    </r>
    <r>
      <rPr>
        <sz val="11"/>
        <color theme="1"/>
        <rFont val="Calibri"/>
        <family val="2"/>
        <scheme val="minor"/>
      </rPr>
      <t xml:space="preserve"> - Statewide standard
</t>
    </r>
  </si>
  <si>
    <r>
      <t>01</t>
    </r>
    <r>
      <rPr>
        <sz val="11"/>
        <color theme="1"/>
        <rFont val="Calibri"/>
        <family val="2"/>
        <scheme val="minor"/>
      </rPr>
      <t xml:space="preserve"> - Language and literacy development
</t>
    </r>
    <r>
      <rPr>
        <b/>
        <sz val="11"/>
        <color theme="1"/>
        <rFont val="Calibri"/>
        <family val="2"/>
        <scheme val="minor"/>
      </rPr>
      <t>02</t>
    </r>
    <r>
      <rPr>
        <sz val="11"/>
        <color theme="1"/>
        <rFont val="Calibri"/>
        <family val="2"/>
        <scheme val="minor"/>
      </rPr>
      <t xml:space="preserve"> - Cognition and general knowledge (including early mathematics and early scientific development)
</t>
    </r>
    <r>
      <rPr>
        <b/>
        <sz val="11"/>
        <color theme="1"/>
        <rFont val="Calibri"/>
        <family val="2"/>
        <scheme val="minor"/>
      </rPr>
      <t>03</t>
    </r>
    <r>
      <rPr>
        <sz val="11"/>
        <color theme="1"/>
        <rFont val="Calibri"/>
        <family val="2"/>
        <scheme val="minor"/>
      </rPr>
      <t xml:space="preserve"> - Approaches toward learning
</t>
    </r>
    <r>
      <rPr>
        <b/>
        <sz val="11"/>
        <color theme="1"/>
        <rFont val="Calibri"/>
        <family val="2"/>
        <scheme val="minor"/>
      </rPr>
      <t>04</t>
    </r>
    <r>
      <rPr>
        <sz val="11"/>
        <color theme="1"/>
        <rFont val="Calibri"/>
        <family val="2"/>
        <scheme val="minor"/>
      </rPr>
      <t xml:space="preserve"> - Physical well-being and motor development (including adaptive skills)
</t>
    </r>
    <r>
      <rPr>
        <b/>
        <sz val="11"/>
        <color theme="1"/>
        <rFont val="Calibri"/>
        <family val="2"/>
        <scheme val="minor"/>
      </rPr>
      <t>05</t>
    </r>
    <r>
      <rPr>
        <sz val="11"/>
        <color theme="1"/>
        <rFont val="Calibri"/>
        <family val="2"/>
        <scheme val="minor"/>
      </rPr>
      <t xml:space="preserve"> - Social and emotional development
</t>
    </r>
  </si>
  <si>
    <r>
      <t>School</t>
    </r>
    <r>
      <rPr>
        <sz val="11"/>
        <color theme="1"/>
        <rFont val="Calibri"/>
        <family val="2"/>
        <scheme val="minor"/>
      </rPr>
      <t xml:space="preserve"> - School-assigned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TestContractor</t>
    </r>
    <r>
      <rPr>
        <sz val="11"/>
        <color theme="1"/>
        <rFont val="Calibri"/>
        <family val="2"/>
        <scheme val="minor"/>
      </rPr>
      <t xml:space="preserve"> - Test contractor assigned assessment number
</t>
    </r>
    <r>
      <rPr>
        <b/>
        <sz val="11"/>
        <color theme="1"/>
        <rFont val="Calibri"/>
        <family val="2"/>
        <scheme val="minor"/>
      </rPr>
      <t>Other</t>
    </r>
    <r>
      <rPr>
        <sz val="11"/>
        <color theme="1"/>
        <rFont val="Calibri"/>
        <family val="2"/>
        <scheme val="minor"/>
      </rPr>
      <t xml:space="preserve"> - Other
</t>
    </r>
  </si>
  <si>
    <r>
      <t>MeanSquareFit</t>
    </r>
    <r>
      <rPr>
        <sz val="11"/>
        <color theme="1"/>
        <rFont val="Calibri"/>
        <family val="2"/>
        <scheme val="minor"/>
      </rPr>
      <t xml:space="preserve"> - Mean Square Fit
</t>
    </r>
    <r>
      <rPr>
        <b/>
        <sz val="11"/>
        <color theme="1"/>
        <rFont val="Calibri"/>
        <family val="2"/>
        <scheme val="minor"/>
      </rPr>
      <t>WeightedMeanSquareFit</t>
    </r>
    <r>
      <rPr>
        <sz val="11"/>
        <color theme="1"/>
        <rFont val="Calibri"/>
        <family val="2"/>
        <scheme val="minor"/>
      </rPr>
      <t xml:space="preserve"> - Weighted Mean Square Fit
</t>
    </r>
    <r>
      <rPr>
        <b/>
        <sz val="11"/>
        <color theme="1"/>
        <rFont val="Calibri"/>
        <family val="2"/>
        <scheme val="minor"/>
      </rPr>
      <t>RevisedMeanSquareFit</t>
    </r>
    <r>
      <rPr>
        <sz val="11"/>
        <color theme="1"/>
        <rFont val="Calibri"/>
        <family val="2"/>
        <scheme val="minor"/>
      </rPr>
      <t xml:space="preserve"> - Revised Mean Square Fit
</t>
    </r>
    <r>
      <rPr>
        <b/>
        <sz val="11"/>
        <color theme="1"/>
        <rFont val="Calibri"/>
        <family val="2"/>
        <scheme val="minor"/>
      </rPr>
      <t>RevisedPointBiserial</t>
    </r>
    <r>
      <rPr>
        <sz val="11"/>
        <color theme="1"/>
        <rFont val="Calibri"/>
        <family val="2"/>
        <scheme val="minor"/>
      </rPr>
      <t xml:space="preserve"> - Revised Point Biserial Measure
</t>
    </r>
    <r>
      <rPr>
        <b/>
        <sz val="11"/>
        <color theme="1"/>
        <rFont val="Calibri"/>
        <family val="2"/>
        <scheme val="minor"/>
      </rPr>
      <t>RaschItemScore</t>
    </r>
    <r>
      <rPr>
        <sz val="11"/>
        <color theme="1"/>
        <rFont val="Calibri"/>
        <family val="2"/>
        <scheme val="minor"/>
      </rPr>
      <t xml:space="preserve"> - Rasch Item Score
</t>
    </r>
    <r>
      <rPr>
        <b/>
        <sz val="11"/>
        <color theme="1"/>
        <rFont val="Calibri"/>
        <family val="2"/>
        <scheme val="minor"/>
      </rPr>
      <t>ResponseCorrelation</t>
    </r>
    <r>
      <rPr>
        <sz val="11"/>
        <color theme="1"/>
        <rFont val="Calibri"/>
        <family val="2"/>
        <scheme val="minor"/>
      </rPr>
      <t xml:space="preserve"> - Response Correlation
</t>
    </r>
    <r>
      <rPr>
        <b/>
        <sz val="11"/>
        <color theme="1"/>
        <rFont val="Calibri"/>
        <family val="2"/>
        <scheme val="minor"/>
      </rPr>
      <t>ResponseCorrelationSquared</t>
    </r>
    <r>
      <rPr>
        <sz val="11"/>
        <color theme="1"/>
        <rFont val="Calibri"/>
        <family val="2"/>
        <scheme val="minor"/>
      </rPr>
      <t xml:space="preserve"> - Response Correlation Squared
</t>
    </r>
    <r>
      <rPr>
        <b/>
        <sz val="11"/>
        <color theme="1"/>
        <rFont val="Calibri"/>
        <family val="2"/>
        <scheme val="minor"/>
      </rPr>
      <t>ZCHISquare</t>
    </r>
    <r>
      <rPr>
        <sz val="11"/>
        <color theme="1"/>
        <rFont val="Calibri"/>
        <family val="2"/>
        <scheme val="minor"/>
      </rPr>
      <t xml:space="preserve"> - Z CHI Square
</t>
    </r>
    <r>
      <rPr>
        <b/>
        <sz val="11"/>
        <color theme="1"/>
        <rFont val="Calibri"/>
        <family val="2"/>
        <scheme val="minor"/>
      </rPr>
      <t>Pval</t>
    </r>
    <r>
      <rPr>
        <sz val="11"/>
        <color theme="1"/>
        <rFont val="Calibri"/>
        <family val="2"/>
        <scheme val="minor"/>
      </rPr>
      <t xml:space="preserve"> - Pval
</t>
    </r>
    <r>
      <rPr>
        <b/>
        <sz val="11"/>
        <color theme="1"/>
        <rFont val="Calibri"/>
        <family val="2"/>
        <scheme val="minor"/>
      </rPr>
      <t>PointBiserial</t>
    </r>
    <r>
      <rPr>
        <sz val="11"/>
        <color theme="1"/>
        <rFont val="Calibri"/>
        <family val="2"/>
        <scheme val="minor"/>
      </rPr>
      <t xml:space="preserve"> - Point Biserial
</t>
    </r>
    <r>
      <rPr>
        <b/>
        <sz val="11"/>
        <color theme="1"/>
        <rFont val="Calibri"/>
        <family val="2"/>
        <scheme val="minor"/>
      </rPr>
      <t>Biserial</t>
    </r>
    <r>
      <rPr>
        <sz val="11"/>
        <color theme="1"/>
        <rFont val="Calibri"/>
        <family val="2"/>
        <scheme val="minor"/>
      </rPr>
      <t xml:space="preserve"> - Biserial
</t>
    </r>
    <r>
      <rPr>
        <b/>
        <sz val="11"/>
        <color theme="1"/>
        <rFont val="Calibri"/>
        <family val="2"/>
        <scheme val="minor"/>
      </rPr>
      <t>DiscriminationIndex</t>
    </r>
    <r>
      <rPr>
        <sz val="11"/>
        <color theme="1"/>
        <rFont val="Calibri"/>
        <family val="2"/>
        <scheme val="minor"/>
      </rPr>
      <t xml:space="preserve"> - Discrimination Index
</t>
    </r>
    <r>
      <rPr>
        <b/>
        <sz val="11"/>
        <color theme="1"/>
        <rFont val="Calibri"/>
        <family val="2"/>
        <scheme val="minor"/>
      </rPr>
      <t>ReliabilityCoefficient</t>
    </r>
    <r>
      <rPr>
        <sz val="11"/>
        <color theme="1"/>
        <rFont val="Calibri"/>
        <family val="2"/>
        <scheme val="minor"/>
      </rPr>
      <t xml:space="preserve"> - Reliability Coefficient
</t>
    </r>
    <r>
      <rPr>
        <b/>
        <sz val="11"/>
        <color theme="1"/>
        <rFont val="Calibri"/>
        <family val="2"/>
        <scheme val="minor"/>
      </rPr>
      <t>CoefficientAlpha</t>
    </r>
    <r>
      <rPr>
        <sz val="11"/>
        <color theme="1"/>
        <rFont val="Calibri"/>
        <family val="2"/>
        <scheme val="minor"/>
      </rPr>
      <t xml:space="preserve"> - Coefficient Alpha
</t>
    </r>
    <r>
      <rPr>
        <b/>
        <sz val="11"/>
        <color theme="1"/>
        <rFont val="Calibri"/>
        <family val="2"/>
        <scheme val="minor"/>
      </rPr>
      <t>ItemTestCorrelation</t>
    </r>
    <r>
      <rPr>
        <sz val="11"/>
        <color theme="1"/>
        <rFont val="Calibri"/>
        <family val="2"/>
        <scheme val="minor"/>
      </rPr>
      <t xml:space="preserve"> - Item Test Correlation
</t>
    </r>
    <r>
      <rPr>
        <b/>
        <sz val="11"/>
        <color theme="1"/>
        <rFont val="Calibri"/>
        <family val="2"/>
        <scheme val="minor"/>
      </rPr>
      <t>ItemVariance</t>
    </r>
    <r>
      <rPr>
        <sz val="11"/>
        <color theme="1"/>
        <rFont val="Calibri"/>
        <family val="2"/>
        <scheme val="minor"/>
      </rPr>
      <t xml:space="preserve"> - Item Variance
</t>
    </r>
    <r>
      <rPr>
        <b/>
        <sz val="11"/>
        <color theme="1"/>
        <rFont val="Calibri"/>
        <family val="2"/>
        <scheme val="minor"/>
      </rPr>
      <t>ScaleValue</t>
    </r>
    <r>
      <rPr>
        <sz val="11"/>
        <color theme="1"/>
        <rFont val="Calibri"/>
        <family val="2"/>
        <scheme val="minor"/>
      </rPr>
      <t xml:space="preserve"> - Scale Value
</t>
    </r>
  </si>
  <si>
    <r>
      <t>CustomInteraction</t>
    </r>
    <r>
      <rPr>
        <sz val="11"/>
        <color theme="1"/>
        <rFont val="Calibri"/>
        <family val="2"/>
        <scheme val="minor"/>
      </rPr>
      <t xml:space="preserve"> - Custom Interaction
</t>
    </r>
    <r>
      <rPr>
        <b/>
        <sz val="11"/>
        <color theme="1"/>
        <rFont val="Calibri"/>
        <family val="2"/>
        <scheme val="minor"/>
      </rPr>
      <t>DrawingInteraction</t>
    </r>
    <r>
      <rPr>
        <sz val="11"/>
        <color theme="1"/>
        <rFont val="Calibri"/>
        <family val="2"/>
        <scheme val="minor"/>
      </rPr>
      <t xml:space="preserve"> - Drawing Interaction
</t>
    </r>
    <r>
      <rPr>
        <b/>
        <sz val="11"/>
        <color theme="1"/>
        <rFont val="Calibri"/>
        <family val="2"/>
        <scheme val="minor"/>
      </rPr>
      <t>GapMatchInteraction</t>
    </r>
    <r>
      <rPr>
        <sz val="11"/>
        <color theme="1"/>
        <rFont val="Calibri"/>
        <family val="2"/>
        <scheme val="minor"/>
      </rPr>
      <t xml:space="preserve"> - Gap Match Interaction
</t>
    </r>
    <r>
      <rPr>
        <b/>
        <sz val="11"/>
        <color theme="1"/>
        <rFont val="Calibri"/>
        <family val="2"/>
        <scheme val="minor"/>
      </rPr>
      <t>MatchInteraction</t>
    </r>
    <r>
      <rPr>
        <sz val="11"/>
        <color theme="1"/>
        <rFont val="Calibri"/>
        <family val="2"/>
        <scheme val="minor"/>
      </rPr>
      <t xml:space="preserve"> - Match Interaction
</t>
    </r>
    <r>
      <rPr>
        <b/>
        <sz val="11"/>
        <color theme="1"/>
        <rFont val="Calibri"/>
        <family val="2"/>
        <scheme val="minor"/>
      </rPr>
      <t>GraphicGapMatchInteraction</t>
    </r>
    <r>
      <rPr>
        <sz val="11"/>
        <color theme="1"/>
        <rFont val="Calibri"/>
        <family val="2"/>
        <scheme val="minor"/>
      </rPr>
      <t xml:space="preserve"> - Graphic Gap Match Interaction
</t>
    </r>
    <r>
      <rPr>
        <b/>
        <sz val="11"/>
        <color theme="1"/>
        <rFont val="Calibri"/>
        <family val="2"/>
        <scheme val="minor"/>
      </rPr>
      <t>HotspotInteraction</t>
    </r>
    <r>
      <rPr>
        <sz val="11"/>
        <color theme="1"/>
        <rFont val="Calibri"/>
        <family val="2"/>
        <scheme val="minor"/>
      </rPr>
      <t xml:space="preserve"> - Hotspot Interaction
</t>
    </r>
    <r>
      <rPr>
        <b/>
        <sz val="11"/>
        <color theme="1"/>
        <rFont val="Calibri"/>
        <family val="2"/>
        <scheme val="minor"/>
      </rPr>
      <t>GraphicOrderInteraction</t>
    </r>
    <r>
      <rPr>
        <sz val="11"/>
        <color theme="1"/>
        <rFont val="Calibri"/>
        <family val="2"/>
        <scheme val="minor"/>
      </rPr>
      <t xml:space="preserve"> - Graphic Order Interaction
</t>
    </r>
    <r>
      <rPr>
        <b/>
        <sz val="11"/>
        <color theme="1"/>
        <rFont val="Calibri"/>
        <family val="2"/>
        <scheme val="minor"/>
      </rPr>
      <t>GraphicAssociateInteraction</t>
    </r>
    <r>
      <rPr>
        <sz val="11"/>
        <color theme="1"/>
        <rFont val="Calibri"/>
        <family val="2"/>
        <scheme val="minor"/>
      </rPr>
      <t xml:space="preserve"> - Graphic Associate Interaction
</t>
    </r>
    <r>
      <rPr>
        <b/>
        <sz val="11"/>
        <color theme="1"/>
        <rFont val="Calibri"/>
        <family val="2"/>
        <scheme val="minor"/>
      </rPr>
      <t>ChoiceInteraction</t>
    </r>
    <r>
      <rPr>
        <sz val="11"/>
        <color theme="1"/>
        <rFont val="Calibri"/>
        <family val="2"/>
        <scheme val="minor"/>
      </rPr>
      <t xml:space="preserve"> - Choice Interaction
</t>
    </r>
    <r>
      <rPr>
        <b/>
        <sz val="11"/>
        <color theme="1"/>
        <rFont val="Calibri"/>
        <family val="2"/>
        <scheme val="minor"/>
      </rPr>
      <t>InlineChoiceInteraction</t>
    </r>
    <r>
      <rPr>
        <sz val="11"/>
        <color theme="1"/>
        <rFont val="Calibri"/>
        <family val="2"/>
        <scheme val="minor"/>
      </rPr>
      <t xml:space="preserve"> - Inline Choice Interaction
</t>
    </r>
    <r>
      <rPr>
        <b/>
        <sz val="11"/>
        <color theme="1"/>
        <rFont val="Calibri"/>
        <family val="2"/>
        <scheme val="minor"/>
      </rPr>
      <t>MediaInteraction</t>
    </r>
    <r>
      <rPr>
        <sz val="11"/>
        <color theme="1"/>
        <rFont val="Calibri"/>
        <family val="2"/>
        <scheme val="minor"/>
      </rPr>
      <t xml:space="preserve"> - Media Interaction
</t>
    </r>
    <r>
      <rPr>
        <b/>
        <sz val="11"/>
        <color theme="1"/>
        <rFont val="Calibri"/>
        <family val="2"/>
        <scheme val="minor"/>
      </rPr>
      <t>HottextInteraction</t>
    </r>
    <r>
      <rPr>
        <sz val="11"/>
        <color theme="1"/>
        <rFont val="Calibri"/>
        <family val="2"/>
        <scheme val="minor"/>
      </rPr>
      <t xml:space="preserve"> - Hottext Interaction
</t>
    </r>
    <r>
      <rPr>
        <b/>
        <sz val="11"/>
        <color theme="1"/>
        <rFont val="Calibri"/>
        <family val="2"/>
        <scheme val="minor"/>
      </rPr>
      <t>OrderInteraction</t>
    </r>
    <r>
      <rPr>
        <sz val="11"/>
        <color theme="1"/>
        <rFont val="Calibri"/>
        <family val="2"/>
        <scheme val="minor"/>
      </rPr>
      <t xml:space="preserve"> - Order Interaction
</t>
    </r>
    <r>
      <rPr>
        <b/>
        <sz val="11"/>
        <color theme="1"/>
        <rFont val="Calibri"/>
        <family val="2"/>
        <scheme val="minor"/>
      </rPr>
      <t>PositionObjectInteraction</t>
    </r>
    <r>
      <rPr>
        <sz val="11"/>
        <color theme="1"/>
        <rFont val="Calibri"/>
        <family val="2"/>
        <scheme val="minor"/>
      </rPr>
      <t xml:space="preserve"> - Position Object Interaction
</t>
    </r>
    <r>
      <rPr>
        <b/>
        <sz val="11"/>
        <color theme="1"/>
        <rFont val="Calibri"/>
        <family val="2"/>
        <scheme val="minor"/>
      </rPr>
      <t>TextEntryInteraction</t>
    </r>
    <r>
      <rPr>
        <sz val="11"/>
        <color theme="1"/>
        <rFont val="Calibri"/>
        <family val="2"/>
        <scheme val="minor"/>
      </rPr>
      <t xml:space="preserve"> - Text Entry Interaction
</t>
    </r>
    <r>
      <rPr>
        <b/>
        <sz val="11"/>
        <color theme="1"/>
        <rFont val="Calibri"/>
        <family val="2"/>
        <scheme val="minor"/>
      </rPr>
      <t>ExtendedTextInteraction</t>
    </r>
    <r>
      <rPr>
        <sz val="11"/>
        <color theme="1"/>
        <rFont val="Calibri"/>
        <family val="2"/>
        <scheme val="minor"/>
      </rPr>
      <t xml:space="preserve"> - Extended Text Interaction
</t>
    </r>
    <r>
      <rPr>
        <b/>
        <sz val="11"/>
        <color theme="1"/>
        <rFont val="Calibri"/>
        <family val="2"/>
        <scheme val="minor"/>
      </rPr>
      <t>EndAttemptInteraction</t>
    </r>
    <r>
      <rPr>
        <sz val="11"/>
        <color theme="1"/>
        <rFont val="Calibri"/>
        <family val="2"/>
        <scheme val="minor"/>
      </rPr>
      <t xml:space="preserve"> - End Attempt Interaction
</t>
    </r>
    <r>
      <rPr>
        <b/>
        <sz val="11"/>
        <color theme="1"/>
        <rFont val="Calibri"/>
        <family val="2"/>
        <scheme val="minor"/>
      </rPr>
      <t>UploadInteraction</t>
    </r>
    <r>
      <rPr>
        <sz val="11"/>
        <color theme="1"/>
        <rFont val="Calibri"/>
        <family val="2"/>
        <scheme val="minor"/>
      </rPr>
      <t xml:space="preserve"> - Upload Interaction
</t>
    </r>
    <r>
      <rPr>
        <b/>
        <sz val="11"/>
        <color theme="1"/>
        <rFont val="Calibri"/>
        <family val="2"/>
        <scheme val="minor"/>
      </rPr>
      <t>AssociateInteraction</t>
    </r>
    <r>
      <rPr>
        <sz val="11"/>
        <color theme="1"/>
        <rFont val="Calibri"/>
        <family val="2"/>
        <scheme val="minor"/>
      </rPr>
      <t xml:space="preserve"> - Associate Interaction
</t>
    </r>
  </si>
  <si>
    <r>
      <t>Correct</t>
    </r>
    <r>
      <rPr>
        <sz val="11"/>
        <color theme="1"/>
        <rFont val="Calibri"/>
        <family val="2"/>
        <scheme val="minor"/>
      </rPr>
      <t xml:space="preserve"> - Correct
</t>
    </r>
    <r>
      <rPr>
        <b/>
        <sz val="11"/>
        <color theme="1"/>
        <rFont val="Calibri"/>
        <family val="2"/>
        <scheme val="minor"/>
      </rPr>
      <t>Incorrect</t>
    </r>
    <r>
      <rPr>
        <sz val="11"/>
        <color theme="1"/>
        <rFont val="Calibri"/>
        <family val="2"/>
        <scheme val="minor"/>
      </rPr>
      <t xml:space="preserve"> - Incorrect
</t>
    </r>
    <r>
      <rPr>
        <b/>
        <sz val="11"/>
        <color theme="1"/>
        <rFont val="Calibri"/>
        <family val="2"/>
        <scheme val="minor"/>
      </rPr>
      <t>Complete</t>
    </r>
    <r>
      <rPr>
        <sz val="11"/>
        <color theme="1"/>
        <rFont val="Calibri"/>
        <family val="2"/>
        <scheme val="minor"/>
      </rPr>
      <t xml:space="preserve"> - Complete
</t>
    </r>
    <r>
      <rPr>
        <b/>
        <sz val="11"/>
        <color theme="1"/>
        <rFont val="Calibri"/>
        <family val="2"/>
        <scheme val="minor"/>
      </rPr>
      <t>PartialComplete</t>
    </r>
    <r>
      <rPr>
        <sz val="11"/>
        <color theme="1"/>
        <rFont val="Calibri"/>
        <family val="2"/>
        <scheme val="minor"/>
      </rPr>
      <t xml:space="preserve"> - Partial Complete
</t>
    </r>
    <r>
      <rPr>
        <b/>
        <sz val="11"/>
        <color theme="1"/>
        <rFont val="Calibri"/>
        <family val="2"/>
        <scheme val="minor"/>
      </rPr>
      <t>Viewed</t>
    </r>
    <r>
      <rPr>
        <sz val="11"/>
        <color theme="1"/>
        <rFont val="Calibri"/>
        <family val="2"/>
        <scheme val="minor"/>
      </rPr>
      <t xml:space="preserve"> - Viewed
</t>
    </r>
    <r>
      <rPr>
        <b/>
        <sz val="11"/>
        <color theme="1"/>
        <rFont val="Calibri"/>
        <family val="2"/>
        <scheme val="minor"/>
      </rPr>
      <t>NotViewed</t>
    </r>
    <r>
      <rPr>
        <sz val="11"/>
        <color theme="1"/>
        <rFont val="Calibri"/>
        <family val="2"/>
        <scheme val="minor"/>
      </rPr>
      <t xml:space="preserve"> - Not Viewed
</t>
    </r>
    <r>
      <rPr>
        <b/>
        <sz val="11"/>
        <color theme="1"/>
        <rFont val="Calibri"/>
        <family val="2"/>
        <scheme val="minor"/>
      </rPr>
      <t>Attempted</t>
    </r>
    <r>
      <rPr>
        <sz val="11"/>
        <color theme="1"/>
        <rFont val="Calibri"/>
        <family val="2"/>
        <scheme val="minor"/>
      </rPr>
      <t xml:space="preserve"> - Attempted
</t>
    </r>
    <r>
      <rPr>
        <b/>
        <sz val="11"/>
        <color theme="1"/>
        <rFont val="Calibri"/>
        <family val="2"/>
        <scheme val="minor"/>
      </rPr>
      <t>Incomplete</t>
    </r>
    <r>
      <rPr>
        <sz val="11"/>
        <color theme="1"/>
        <rFont val="Calibri"/>
        <family val="2"/>
        <scheme val="minor"/>
      </rPr>
      <t xml:space="preserve"> - Incomplete
</t>
    </r>
    <r>
      <rPr>
        <b/>
        <sz val="11"/>
        <color theme="1"/>
        <rFont val="Calibri"/>
        <family val="2"/>
        <scheme val="minor"/>
      </rPr>
      <t>InProgress</t>
    </r>
    <r>
      <rPr>
        <sz val="11"/>
        <color theme="1"/>
        <rFont val="Calibri"/>
        <family val="2"/>
        <scheme val="minor"/>
      </rPr>
      <t xml:space="preserve"> - In Progress
</t>
    </r>
    <r>
      <rPr>
        <b/>
        <sz val="11"/>
        <color theme="1"/>
        <rFont val="Calibri"/>
        <family val="2"/>
        <scheme val="minor"/>
      </rPr>
      <t>NotProficient</t>
    </r>
    <r>
      <rPr>
        <sz val="11"/>
        <color theme="1"/>
        <rFont val="Calibri"/>
        <family val="2"/>
        <scheme val="minor"/>
      </rPr>
      <t xml:space="preserve"> - Not Yet Proficient
</t>
    </r>
    <r>
      <rPr>
        <b/>
        <sz val="11"/>
        <color theme="1"/>
        <rFont val="Calibri"/>
        <family val="2"/>
        <scheme val="minor"/>
      </rPr>
      <t>Proficient</t>
    </r>
    <r>
      <rPr>
        <sz val="11"/>
        <color theme="1"/>
        <rFont val="Calibri"/>
        <family val="2"/>
        <scheme val="minor"/>
      </rPr>
      <t xml:space="preserve"> - Proficient
</t>
    </r>
  </si>
  <si>
    <r>
      <t>CohenUnweighted</t>
    </r>
    <r>
      <rPr>
        <sz val="11"/>
        <color theme="1"/>
        <rFont val="Calibri"/>
        <family val="2"/>
        <scheme val="minor"/>
      </rPr>
      <t xml:space="preserve"> - Cohen's unweighted algorithm
</t>
    </r>
    <r>
      <rPr>
        <b/>
        <sz val="11"/>
        <color theme="1"/>
        <rFont val="Calibri"/>
        <family val="2"/>
        <scheme val="minor"/>
      </rPr>
      <t>CohenWeighted</t>
    </r>
    <r>
      <rPr>
        <sz val="11"/>
        <color theme="1"/>
        <rFont val="Calibri"/>
        <family val="2"/>
        <scheme val="minor"/>
      </rPr>
      <t xml:space="preserve"> - Cohen's weighted algorithm
</t>
    </r>
    <r>
      <rPr>
        <b/>
        <sz val="11"/>
        <color theme="1"/>
        <rFont val="Calibri"/>
        <family val="2"/>
        <scheme val="minor"/>
      </rPr>
      <t>FleissAlgorithm</t>
    </r>
    <r>
      <rPr>
        <sz val="11"/>
        <color theme="1"/>
        <rFont val="Calibri"/>
        <family val="2"/>
        <scheme val="minor"/>
      </rPr>
      <t xml:space="preserve"> - Fleiss algorithm
</t>
    </r>
  </si>
  <si>
    <r>
      <t>None</t>
    </r>
    <r>
      <rPr>
        <sz val="11"/>
        <color theme="1"/>
        <rFont val="Calibri"/>
        <family val="2"/>
        <scheme val="minor"/>
      </rPr>
      <t xml:space="preserve"> - None: 0
</t>
    </r>
    <r>
      <rPr>
        <b/>
        <sz val="11"/>
        <color theme="1"/>
        <rFont val="Calibri"/>
        <family val="2"/>
        <scheme val="minor"/>
      </rPr>
      <t>VeryLow</t>
    </r>
    <r>
      <rPr>
        <sz val="11"/>
        <color theme="1"/>
        <rFont val="Calibri"/>
        <family val="2"/>
        <scheme val="minor"/>
      </rPr>
      <t xml:space="preserve"> - Very low: 0.01 - 0.34
</t>
    </r>
    <r>
      <rPr>
        <b/>
        <sz val="11"/>
        <color theme="1"/>
        <rFont val="Calibri"/>
        <family val="2"/>
        <scheme val="minor"/>
      </rPr>
      <t>Low</t>
    </r>
    <r>
      <rPr>
        <sz val="11"/>
        <color theme="1"/>
        <rFont val="Calibri"/>
        <family val="2"/>
        <scheme val="minor"/>
      </rPr>
      <t xml:space="preserve"> - Low: 0.35 - 0.64
</t>
    </r>
    <r>
      <rPr>
        <b/>
        <sz val="11"/>
        <color theme="1"/>
        <rFont val="Calibri"/>
        <family val="2"/>
        <scheme val="minor"/>
      </rPr>
      <t>Moderate</t>
    </r>
    <r>
      <rPr>
        <sz val="11"/>
        <color theme="1"/>
        <rFont val="Calibri"/>
        <family val="2"/>
        <scheme val="minor"/>
      </rPr>
      <t xml:space="preserve"> - Moderate: 0.65 - 1.34
</t>
    </r>
    <r>
      <rPr>
        <b/>
        <sz val="11"/>
        <color theme="1"/>
        <rFont val="Calibri"/>
        <family val="2"/>
        <scheme val="minor"/>
      </rPr>
      <t>High</t>
    </r>
    <r>
      <rPr>
        <sz val="11"/>
        <color theme="1"/>
        <rFont val="Calibri"/>
        <family val="2"/>
        <scheme val="minor"/>
      </rPr>
      <t xml:space="preserve"> - High: 1.35 - 1.69
</t>
    </r>
    <r>
      <rPr>
        <b/>
        <sz val="11"/>
        <color theme="1"/>
        <rFont val="Calibri"/>
        <family val="2"/>
        <scheme val="minor"/>
      </rPr>
      <t>VeryHigh</t>
    </r>
    <r>
      <rPr>
        <sz val="11"/>
        <color theme="1"/>
        <rFont val="Calibri"/>
        <family val="2"/>
        <scheme val="minor"/>
      </rPr>
      <t xml:space="preserve"> - Very high: &gt; 1.70
</t>
    </r>
    <r>
      <rPr>
        <b/>
        <sz val="11"/>
        <color theme="1"/>
        <rFont val="Calibri"/>
        <family val="2"/>
        <scheme val="minor"/>
      </rPr>
      <t>Perfect</t>
    </r>
    <r>
      <rPr>
        <sz val="11"/>
        <color theme="1"/>
        <rFont val="Calibri"/>
        <family val="2"/>
        <scheme val="minor"/>
      </rPr>
      <t xml:space="preserve"> - Perfect: + infinity
</t>
    </r>
  </si>
  <si>
    <r>
      <t>01</t>
    </r>
    <r>
      <rPr>
        <sz val="11"/>
        <color theme="1"/>
        <rFont val="Calibri"/>
        <family val="2"/>
        <scheme val="minor"/>
      </rPr>
      <t xml:space="preserve"> - Automated Readability Index
</t>
    </r>
    <r>
      <rPr>
        <b/>
        <sz val="11"/>
        <color theme="1"/>
        <rFont val="Calibri"/>
        <family val="2"/>
        <scheme val="minor"/>
      </rPr>
      <t>02</t>
    </r>
    <r>
      <rPr>
        <sz val="11"/>
        <color theme="1"/>
        <rFont val="Calibri"/>
        <family val="2"/>
        <scheme val="minor"/>
      </rPr>
      <t xml:space="preserve"> - Bormuth Index
</t>
    </r>
    <r>
      <rPr>
        <b/>
        <sz val="11"/>
        <color theme="1"/>
        <rFont val="Calibri"/>
        <family val="2"/>
        <scheme val="minor"/>
      </rPr>
      <t>03</t>
    </r>
    <r>
      <rPr>
        <sz val="11"/>
        <color theme="1"/>
        <rFont val="Calibri"/>
        <family val="2"/>
        <scheme val="minor"/>
      </rPr>
      <t xml:space="preserve"> - Coleman Liau Index
</t>
    </r>
    <r>
      <rPr>
        <b/>
        <sz val="11"/>
        <color theme="1"/>
        <rFont val="Calibri"/>
        <family val="2"/>
        <scheme val="minor"/>
      </rPr>
      <t>04</t>
    </r>
    <r>
      <rPr>
        <sz val="11"/>
        <color theme="1"/>
        <rFont val="Calibri"/>
        <family val="2"/>
        <scheme val="minor"/>
      </rPr>
      <t xml:space="preserve"> - Coh-Metrix Readability
</t>
    </r>
    <r>
      <rPr>
        <b/>
        <sz val="11"/>
        <color theme="1"/>
        <rFont val="Calibri"/>
        <family val="2"/>
        <scheme val="minor"/>
      </rPr>
      <t>05</t>
    </r>
    <r>
      <rPr>
        <sz val="11"/>
        <color theme="1"/>
        <rFont val="Calibri"/>
        <family val="2"/>
        <scheme val="minor"/>
      </rPr>
      <t xml:space="preserve"> - Dale-Chall Readability Formula
</t>
    </r>
    <r>
      <rPr>
        <b/>
        <sz val="11"/>
        <color theme="1"/>
        <rFont val="Calibri"/>
        <family val="2"/>
        <scheme val="minor"/>
      </rPr>
      <t>06</t>
    </r>
    <r>
      <rPr>
        <sz val="11"/>
        <color theme="1"/>
        <rFont val="Calibri"/>
        <family val="2"/>
        <scheme val="minor"/>
      </rPr>
      <t xml:space="preserve"> - Flesch-Kincaid Grade Level
</t>
    </r>
    <r>
      <rPr>
        <b/>
        <sz val="11"/>
        <color theme="1"/>
        <rFont val="Calibri"/>
        <family val="2"/>
        <scheme val="minor"/>
      </rPr>
      <t>07</t>
    </r>
    <r>
      <rPr>
        <sz val="11"/>
        <color theme="1"/>
        <rFont val="Calibri"/>
        <family val="2"/>
        <scheme val="minor"/>
      </rPr>
      <t xml:space="preserve"> - Flesch Reading Ease Formula
</t>
    </r>
    <r>
      <rPr>
        <b/>
        <sz val="11"/>
        <color theme="1"/>
        <rFont val="Calibri"/>
        <family val="2"/>
        <scheme val="minor"/>
      </rPr>
      <t>08</t>
    </r>
    <r>
      <rPr>
        <sz val="11"/>
        <color theme="1"/>
        <rFont val="Calibri"/>
        <family val="2"/>
        <scheme val="minor"/>
      </rPr>
      <t xml:space="preserve"> - FORCAST
</t>
    </r>
    <r>
      <rPr>
        <b/>
        <sz val="11"/>
        <color theme="1"/>
        <rFont val="Calibri"/>
        <family val="2"/>
        <scheme val="minor"/>
      </rPr>
      <t>09</t>
    </r>
    <r>
      <rPr>
        <sz val="11"/>
        <color theme="1"/>
        <rFont val="Calibri"/>
        <family val="2"/>
        <scheme val="minor"/>
      </rPr>
      <t xml:space="preserve"> - Fry Readability Formula
</t>
    </r>
    <r>
      <rPr>
        <b/>
        <sz val="11"/>
        <color theme="1"/>
        <rFont val="Calibri"/>
        <family val="2"/>
        <scheme val="minor"/>
      </rPr>
      <t>10</t>
    </r>
    <r>
      <rPr>
        <sz val="11"/>
        <color theme="1"/>
        <rFont val="Calibri"/>
        <family val="2"/>
        <scheme val="minor"/>
      </rPr>
      <t xml:space="preserve"> - Gunning-Fog Scale
</t>
    </r>
    <r>
      <rPr>
        <b/>
        <sz val="11"/>
        <color theme="1"/>
        <rFont val="Calibri"/>
        <family val="2"/>
        <scheme val="minor"/>
      </rPr>
      <t>11</t>
    </r>
    <r>
      <rPr>
        <sz val="11"/>
        <color theme="1"/>
        <rFont val="Calibri"/>
        <family val="2"/>
        <scheme val="minor"/>
      </rPr>
      <t xml:space="preserve"> - Hull Formula
</t>
    </r>
    <r>
      <rPr>
        <b/>
        <sz val="11"/>
        <color theme="1"/>
        <rFont val="Calibri"/>
        <family val="2"/>
        <scheme val="minor"/>
      </rPr>
      <t>12</t>
    </r>
    <r>
      <rPr>
        <sz val="11"/>
        <color theme="1"/>
        <rFont val="Calibri"/>
        <family val="2"/>
        <scheme val="minor"/>
      </rPr>
      <t xml:space="preserve"> - Lexile
</t>
    </r>
    <r>
      <rPr>
        <b/>
        <sz val="11"/>
        <color theme="1"/>
        <rFont val="Calibri"/>
        <family val="2"/>
        <scheme val="minor"/>
      </rPr>
      <t>13</t>
    </r>
    <r>
      <rPr>
        <sz val="11"/>
        <color theme="1"/>
        <rFont val="Calibri"/>
        <family val="2"/>
        <scheme val="minor"/>
      </rPr>
      <t xml:space="preserve"> - Linsear Write Formula
</t>
    </r>
    <r>
      <rPr>
        <b/>
        <sz val="11"/>
        <color theme="1"/>
        <rFont val="Calibri"/>
        <family val="2"/>
        <scheme val="minor"/>
      </rPr>
      <t>14</t>
    </r>
    <r>
      <rPr>
        <sz val="11"/>
        <color theme="1"/>
        <rFont val="Calibri"/>
        <family val="2"/>
        <scheme val="minor"/>
      </rPr>
      <t xml:space="preserve"> - McAlpine EFLAW
</t>
    </r>
    <r>
      <rPr>
        <b/>
        <sz val="11"/>
        <color theme="1"/>
        <rFont val="Calibri"/>
        <family val="2"/>
        <scheme val="minor"/>
      </rPr>
      <t>15</t>
    </r>
    <r>
      <rPr>
        <sz val="11"/>
        <color theme="1"/>
        <rFont val="Calibri"/>
        <family val="2"/>
        <scheme val="minor"/>
      </rPr>
      <t xml:space="preserve"> - Powers-Sumner-Kearl
</t>
    </r>
    <r>
      <rPr>
        <b/>
        <sz val="11"/>
        <color theme="1"/>
        <rFont val="Calibri"/>
        <family val="2"/>
        <scheme val="minor"/>
      </rPr>
      <t>16</t>
    </r>
    <r>
      <rPr>
        <sz val="11"/>
        <color theme="1"/>
        <rFont val="Calibri"/>
        <family val="2"/>
        <scheme val="minor"/>
      </rPr>
      <t xml:space="preserve"> - Raygor Readability Estimate
</t>
    </r>
    <r>
      <rPr>
        <b/>
        <sz val="11"/>
        <color theme="1"/>
        <rFont val="Calibri"/>
        <family val="2"/>
        <scheme val="minor"/>
      </rPr>
      <t>17</t>
    </r>
    <r>
      <rPr>
        <sz val="11"/>
        <color theme="1"/>
        <rFont val="Calibri"/>
        <family val="2"/>
        <scheme val="minor"/>
      </rPr>
      <t xml:space="preserve"> - SMOG Index
</t>
    </r>
    <r>
      <rPr>
        <b/>
        <sz val="11"/>
        <color theme="1"/>
        <rFont val="Calibri"/>
        <family val="2"/>
        <scheme val="minor"/>
      </rPr>
      <t>18</t>
    </r>
    <r>
      <rPr>
        <sz val="11"/>
        <color theme="1"/>
        <rFont val="Calibri"/>
        <family val="2"/>
        <scheme val="minor"/>
      </rPr>
      <t xml:space="preserve"> - Spache Readability Formula
</t>
    </r>
    <r>
      <rPr>
        <b/>
        <sz val="11"/>
        <color theme="1"/>
        <rFont val="Calibri"/>
        <family val="2"/>
        <scheme val="minor"/>
      </rPr>
      <t>19</t>
    </r>
    <r>
      <rPr>
        <sz val="11"/>
        <color theme="1"/>
        <rFont val="Calibri"/>
        <family val="2"/>
        <scheme val="minor"/>
      </rPr>
      <t xml:space="preserve"> - Strain Index
</t>
    </r>
  </si>
  <si>
    <r>
      <t>MultipleChoice</t>
    </r>
    <r>
      <rPr>
        <sz val="11"/>
        <color theme="1"/>
        <rFont val="Calibri"/>
        <family val="2"/>
        <scheme val="minor"/>
      </rPr>
      <t xml:space="preserve"> - Multiple-choice
</t>
    </r>
    <r>
      <rPr>
        <b/>
        <sz val="11"/>
        <color theme="1"/>
        <rFont val="Calibri"/>
        <family val="2"/>
        <scheme val="minor"/>
      </rPr>
      <t>FillInTheBlank</t>
    </r>
    <r>
      <rPr>
        <sz val="11"/>
        <color theme="1"/>
        <rFont val="Calibri"/>
        <family val="2"/>
        <scheme val="minor"/>
      </rPr>
      <t xml:space="preserve"> - Fill-in-the-blank
</t>
    </r>
    <r>
      <rPr>
        <b/>
        <sz val="11"/>
        <color theme="1"/>
        <rFont val="Calibri"/>
        <family val="2"/>
        <scheme val="minor"/>
      </rPr>
      <t>TrueFalse</t>
    </r>
    <r>
      <rPr>
        <sz val="11"/>
        <color theme="1"/>
        <rFont val="Calibri"/>
        <family val="2"/>
        <scheme val="minor"/>
      </rPr>
      <t xml:space="preserve"> - True/False
</t>
    </r>
    <r>
      <rPr>
        <b/>
        <sz val="11"/>
        <color theme="1"/>
        <rFont val="Calibri"/>
        <family val="2"/>
        <scheme val="minor"/>
      </rPr>
      <t>MultipleResponse</t>
    </r>
    <r>
      <rPr>
        <sz val="11"/>
        <color theme="1"/>
        <rFont val="Calibri"/>
        <family val="2"/>
        <scheme val="minor"/>
      </rPr>
      <t xml:space="preserve"> - Multiple Response
</t>
    </r>
    <r>
      <rPr>
        <b/>
        <sz val="11"/>
        <color theme="1"/>
        <rFont val="Calibri"/>
        <family val="2"/>
        <scheme val="minor"/>
      </rPr>
      <t>Matching</t>
    </r>
    <r>
      <rPr>
        <sz val="11"/>
        <color theme="1"/>
        <rFont val="Calibri"/>
        <family val="2"/>
        <scheme val="minor"/>
      </rPr>
      <t xml:space="preserve"> - Matching
</t>
    </r>
    <r>
      <rPr>
        <b/>
        <sz val="11"/>
        <color theme="1"/>
        <rFont val="Calibri"/>
        <family val="2"/>
        <scheme val="minor"/>
      </rPr>
      <t>ShortAnswer</t>
    </r>
    <r>
      <rPr>
        <sz val="11"/>
        <color theme="1"/>
        <rFont val="Calibri"/>
        <family val="2"/>
        <scheme val="minor"/>
      </rPr>
      <t xml:space="preserve"> - Short answer
</t>
    </r>
    <r>
      <rPr>
        <b/>
        <sz val="11"/>
        <color theme="1"/>
        <rFont val="Calibri"/>
        <family val="2"/>
        <scheme val="minor"/>
      </rPr>
      <t>Labeling</t>
    </r>
    <r>
      <rPr>
        <sz val="11"/>
        <color theme="1"/>
        <rFont val="Calibri"/>
        <family val="2"/>
        <scheme val="minor"/>
      </rPr>
      <t xml:space="preserve"> - Labeling
</t>
    </r>
    <r>
      <rPr>
        <b/>
        <sz val="11"/>
        <color theme="1"/>
        <rFont val="Calibri"/>
        <family val="2"/>
        <scheme val="minor"/>
      </rPr>
      <t>VisualRepresentation</t>
    </r>
    <r>
      <rPr>
        <sz val="11"/>
        <color theme="1"/>
        <rFont val="Calibri"/>
        <family val="2"/>
        <scheme val="minor"/>
      </rPr>
      <t xml:space="preserve"> - Visual representation
</t>
    </r>
    <r>
      <rPr>
        <b/>
        <sz val="11"/>
        <color theme="1"/>
        <rFont val="Calibri"/>
        <family val="2"/>
        <scheme val="minor"/>
      </rPr>
      <t>ShowYourWork</t>
    </r>
    <r>
      <rPr>
        <sz val="11"/>
        <color theme="1"/>
        <rFont val="Calibri"/>
        <family val="2"/>
        <scheme val="minor"/>
      </rPr>
      <t xml:space="preserve"> - Show your work
</t>
    </r>
    <r>
      <rPr>
        <b/>
        <sz val="11"/>
        <color theme="1"/>
        <rFont val="Calibri"/>
        <family val="2"/>
        <scheme val="minor"/>
      </rPr>
      <t>OtherConstructedResponse</t>
    </r>
    <r>
      <rPr>
        <sz val="11"/>
        <color theme="1"/>
        <rFont val="Calibri"/>
        <family val="2"/>
        <scheme val="minor"/>
      </rPr>
      <t xml:space="preserve"> - Other constructed response
</t>
    </r>
    <r>
      <rPr>
        <b/>
        <sz val="11"/>
        <color theme="1"/>
        <rFont val="Calibri"/>
        <family val="2"/>
        <scheme val="minor"/>
      </rPr>
      <t>PerformanceTask</t>
    </r>
    <r>
      <rPr>
        <sz val="11"/>
        <color theme="1"/>
        <rFont val="Calibri"/>
        <family val="2"/>
        <scheme val="minor"/>
      </rPr>
      <t xml:space="preserve"> - Performance task
</t>
    </r>
    <r>
      <rPr>
        <b/>
        <sz val="11"/>
        <color theme="1"/>
        <rFont val="Calibri"/>
        <family val="2"/>
        <scheme val="minor"/>
      </rPr>
      <t>ExtendedResponse</t>
    </r>
    <r>
      <rPr>
        <sz val="11"/>
        <color theme="1"/>
        <rFont val="Calibri"/>
        <family val="2"/>
        <scheme val="minor"/>
      </rPr>
      <t xml:space="preserve"> - Extended Response (Essay)
</t>
    </r>
    <r>
      <rPr>
        <b/>
        <sz val="11"/>
        <color theme="1"/>
        <rFont val="Calibri"/>
        <family val="2"/>
        <scheme val="minor"/>
      </rPr>
      <t>TechnologyEnhancedInteractive</t>
    </r>
    <r>
      <rPr>
        <sz val="11"/>
        <color theme="1"/>
        <rFont val="Calibri"/>
        <family val="2"/>
        <scheme val="minor"/>
      </rPr>
      <t xml:space="preserve"> - Technology Enhanced / Interactive
</t>
    </r>
    <r>
      <rPr>
        <b/>
        <sz val="11"/>
        <color theme="1"/>
        <rFont val="Calibri"/>
        <family val="2"/>
        <scheme val="minor"/>
      </rPr>
      <t>Reordering</t>
    </r>
    <r>
      <rPr>
        <sz val="11"/>
        <color theme="1"/>
        <rFont val="Calibri"/>
        <family val="2"/>
        <scheme val="minor"/>
      </rPr>
      <t xml:space="preserve"> - Reordering
</t>
    </r>
    <r>
      <rPr>
        <b/>
        <sz val="11"/>
        <color theme="1"/>
        <rFont val="Calibri"/>
        <family val="2"/>
        <scheme val="minor"/>
      </rPr>
      <t>Substitution</t>
    </r>
    <r>
      <rPr>
        <sz val="11"/>
        <color theme="1"/>
        <rFont val="Calibri"/>
        <family val="2"/>
        <scheme val="minor"/>
      </rPr>
      <t xml:space="preserve"> - Substitution
</t>
    </r>
    <r>
      <rPr>
        <b/>
        <sz val="11"/>
        <color theme="1"/>
        <rFont val="Calibri"/>
        <family val="2"/>
        <scheme val="minor"/>
      </rPr>
      <t>Other</t>
    </r>
    <r>
      <rPr>
        <sz val="11"/>
        <color theme="1"/>
        <rFont val="Calibri"/>
        <family val="2"/>
        <scheme val="minor"/>
      </rPr>
      <t xml:space="preserve"> - Other
</t>
    </r>
  </si>
  <si>
    <r>
      <t>Birth</t>
    </r>
    <r>
      <rPr>
        <sz val="11"/>
        <color theme="1"/>
        <rFont val="Calibri"/>
        <family val="2"/>
        <scheme val="minor"/>
      </rPr>
      <t xml:space="preserve"> - Birth
</t>
    </r>
    <r>
      <rPr>
        <b/>
        <sz val="11"/>
        <color theme="1"/>
        <rFont val="Calibri"/>
        <family val="2"/>
        <scheme val="minor"/>
      </rPr>
      <t>Prenatal</t>
    </r>
    <r>
      <rPr>
        <sz val="11"/>
        <color theme="1"/>
        <rFont val="Calibri"/>
        <family val="2"/>
        <scheme val="minor"/>
      </rPr>
      <t xml:space="preserve"> - Prenatal
</t>
    </r>
    <r>
      <rPr>
        <b/>
        <sz val="11"/>
        <color theme="1"/>
        <rFont val="Calibri"/>
        <family val="2"/>
        <scheme val="minor"/>
      </rP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</si>
  <si>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r>
      <t>Flashing</t>
    </r>
    <r>
      <rPr>
        <sz val="11"/>
        <color theme="1"/>
        <rFont val="Calibri"/>
        <family val="2"/>
        <scheme val="minor"/>
      </rPr>
      <t xml:space="preserve"> - Flashing
</t>
    </r>
    <r>
      <rPr>
        <b/>
        <sz val="11"/>
        <color theme="1"/>
        <rFont val="Calibri"/>
        <family val="2"/>
        <scheme val="minor"/>
      </rPr>
      <t>Sound</t>
    </r>
    <r>
      <rPr>
        <sz val="11"/>
        <color theme="1"/>
        <rFont val="Calibri"/>
        <family val="2"/>
        <scheme val="minor"/>
      </rPr>
      <t xml:space="preserve"> - Sound
</t>
    </r>
    <r>
      <rPr>
        <b/>
        <sz val="11"/>
        <color theme="1"/>
        <rFont val="Calibri"/>
        <family val="2"/>
        <scheme val="minor"/>
      </rPr>
      <t>Olfactory</t>
    </r>
    <r>
      <rPr>
        <sz val="11"/>
        <color theme="1"/>
        <rFont val="Calibri"/>
        <family val="2"/>
        <scheme val="minor"/>
      </rPr>
      <t xml:space="preserve"> - Olfactory
</t>
    </r>
    <r>
      <rPr>
        <b/>
        <sz val="11"/>
        <color theme="1"/>
        <rFont val="Calibri"/>
        <family val="2"/>
        <scheme val="minor"/>
      </rPr>
      <t>MotionSimulation</t>
    </r>
    <r>
      <rPr>
        <sz val="11"/>
        <color theme="1"/>
        <rFont val="Calibri"/>
        <family val="2"/>
        <scheme val="minor"/>
      </rPr>
      <t xml:space="preserve"> - Motion simulation
</t>
    </r>
  </si>
  <si>
    <r>
      <t>SpeakLink</t>
    </r>
    <r>
      <rPr>
        <sz val="11"/>
        <color theme="1"/>
        <rFont val="Calibri"/>
        <family val="2"/>
        <scheme val="minor"/>
      </rPr>
      <t xml:space="preserve"> - Speak link
</t>
    </r>
    <r>
      <rPr>
        <b/>
        <sz val="11"/>
        <color theme="1"/>
        <rFont val="Calibri"/>
        <family val="2"/>
        <scheme val="minor"/>
      </rPr>
      <t>DifferentVoice</t>
    </r>
    <r>
      <rPr>
        <sz val="11"/>
        <color theme="1"/>
        <rFont val="Calibri"/>
        <family val="2"/>
        <scheme val="minor"/>
      </rPr>
      <t xml:space="preserve"> - Different voice
</t>
    </r>
    <r>
      <rPr>
        <b/>
        <sz val="11"/>
        <color theme="1"/>
        <rFont val="Calibri"/>
        <family val="2"/>
        <scheme val="minor"/>
      </rPr>
      <t>SoundEffect</t>
    </r>
    <r>
      <rPr>
        <sz val="11"/>
        <color theme="1"/>
        <rFont val="Calibri"/>
        <family val="2"/>
        <scheme val="minor"/>
      </rPr>
      <t xml:space="preserve"> - Sound effect
</t>
    </r>
    <r>
      <rPr>
        <b/>
        <sz val="11"/>
        <color theme="1"/>
        <rFont val="Calibri"/>
        <family val="2"/>
        <scheme val="minor"/>
      </rPr>
      <t>None</t>
    </r>
    <r>
      <rPr>
        <sz val="11"/>
        <color theme="1"/>
        <rFont val="Calibri"/>
        <family val="2"/>
        <scheme val="minor"/>
      </rPr>
      <t xml:space="preserve"> - None
</t>
    </r>
  </si>
  <si>
    <r>
      <t>CustomMask</t>
    </r>
    <r>
      <rPr>
        <sz val="11"/>
        <color theme="1"/>
        <rFont val="Calibri"/>
        <family val="2"/>
        <scheme val="minor"/>
      </rPr>
      <t xml:space="preserve"> - Custom mask
</t>
    </r>
    <r>
      <rPr>
        <b/>
        <sz val="11"/>
        <color theme="1"/>
        <rFont val="Calibri"/>
        <family val="2"/>
        <scheme val="minor"/>
      </rPr>
      <t>AnswerMask</t>
    </r>
    <r>
      <rPr>
        <sz val="11"/>
        <color theme="1"/>
        <rFont val="Calibri"/>
        <family val="2"/>
        <scheme val="minor"/>
      </rPr>
      <t xml:space="preserve"> - Answer mask
</t>
    </r>
  </si>
  <si>
    <r>
      <t>ASL</t>
    </r>
    <r>
      <rPr>
        <sz val="11"/>
        <color theme="1"/>
        <rFont val="Calibri"/>
        <family val="2"/>
        <scheme val="minor"/>
      </rPr>
      <t xml:space="preserve"> - American Sign Language
</t>
    </r>
    <r>
      <rPr>
        <b/>
        <sz val="11"/>
        <color theme="1"/>
        <rFont val="Calibri"/>
        <family val="2"/>
        <scheme val="minor"/>
      </rPr>
      <t>SignedEnglish</t>
    </r>
    <r>
      <rPr>
        <sz val="11"/>
        <color theme="1"/>
        <rFont val="Calibri"/>
        <family val="2"/>
        <scheme val="minor"/>
      </rPr>
      <t xml:space="preserve"> - Signed English
</t>
    </r>
  </si>
  <si>
    <r>
      <t>Dictionary</t>
    </r>
    <r>
      <rPr>
        <sz val="11"/>
        <color theme="1"/>
        <rFont val="Calibri"/>
        <family val="2"/>
        <scheme val="minor"/>
      </rPr>
      <t xml:space="preserve"> - Dictionary
</t>
    </r>
    <r>
      <rPr>
        <b/>
        <sz val="11"/>
        <color theme="1"/>
        <rFont val="Calibri"/>
        <family val="2"/>
        <scheme val="minor"/>
      </rPr>
      <t>Calculator</t>
    </r>
    <r>
      <rPr>
        <sz val="11"/>
        <color theme="1"/>
        <rFont val="Calibri"/>
        <family val="2"/>
        <scheme val="minor"/>
      </rPr>
      <t xml:space="preserve"> - Calculator
</t>
    </r>
    <r>
      <rPr>
        <b/>
        <sz val="11"/>
        <color theme="1"/>
        <rFont val="Calibri"/>
        <family val="2"/>
        <scheme val="minor"/>
      </rPr>
      <t>NoteTaking</t>
    </r>
    <r>
      <rPr>
        <sz val="11"/>
        <color theme="1"/>
        <rFont val="Calibri"/>
        <family val="2"/>
        <scheme val="minor"/>
      </rPr>
      <t xml:space="preserve"> - Note taking
</t>
    </r>
    <r>
      <rPr>
        <b/>
        <sz val="11"/>
        <color theme="1"/>
        <rFont val="Calibri"/>
        <family val="2"/>
        <scheme val="minor"/>
      </rPr>
      <t>PeerInteraction</t>
    </r>
    <r>
      <rPr>
        <sz val="11"/>
        <color theme="1"/>
        <rFont val="Calibri"/>
        <family val="2"/>
        <scheme val="minor"/>
      </rPr>
      <t xml:space="preserve"> - Peer interaction
</t>
    </r>
    <r>
      <rPr>
        <b/>
        <sz val="11"/>
        <color theme="1"/>
        <rFont val="Calibri"/>
        <family val="2"/>
        <scheme val="minor"/>
      </rPr>
      <t>Thesaurus</t>
    </r>
    <r>
      <rPr>
        <sz val="11"/>
        <color theme="1"/>
        <rFont val="Calibri"/>
        <family val="2"/>
        <scheme val="minor"/>
      </rPr>
      <t xml:space="preserve"> - Thesaurus
</t>
    </r>
    <r>
      <rPr>
        <b/>
        <sz val="11"/>
        <color theme="1"/>
        <rFont val="Calibri"/>
        <family val="2"/>
        <scheme val="minor"/>
      </rPr>
      <t>Abacus</t>
    </r>
    <r>
      <rPr>
        <sz val="11"/>
        <color theme="1"/>
        <rFont val="Calibri"/>
        <family val="2"/>
        <scheme val="minor"/>
      </rPr>
      <t xml:space="preserve"> - Abacus
</t>
    </r>
    <r>
      <rPr>
        <b/>
        <sz val="11"/>
        <color theme="1"/>
        <rFont val="Calibri"/>
        <family val="2"/>
        <scheme val="minor"/>
      </rPr>
      <t>SpellChecker</t>
    </r>
    <r>
      <rPr>
        <sz val="11"/>
        <color theme="1"/>
        <rFont val="Calibri"/>
        <family val="2"/>
        <scheme val="minor"/>
      </rPr>
      <t xml:space="preserve"> - Spell checker
</t>
    </r>
    <r>
      <rPr>
        <b/>
        <sz val="11"/>
        <color theme="1"/>
        <rFont val="Calibri"/>
        <family val="2"/>
        <scheme val="minor"/>
      </rPr>
      <t>Homophone</t>
    </r>
    <r>
      <rPr>
        <sz val="11"/>
        <color theme="1"/>
        <rFont val="Calibri"/>
        <family val="2"/>
        <scheme val="minor"/>
      </rPr>
      <t xml:space="preserve"> - Homophone checker
</t>
    </r>
    <r>
      <rPr>
        <b/>
        <sz val="11"/>
        <color theme="1"/>
        <rFont val="Calibri"/>
        <family val="2"/>
        <scheme val="minor"/>
      </rPr>
      <t>MindMapping</t>
    </r>
    <r>
      <rPr>
        <sz val="11"/>
        <color theme="1"/>
        <rFont val="Calibri"/>
        <family val="2"/>
        <scheme val="minor"/>
      </rPr>
      <t xml:space="preserve"> - Mind mapping software
</t>
    </r>
    <r>
      <rPr>
        <b/>
        <sz val="11"/>
        <color theme="1"/>
        <rFont val="Calibri"/>
        <family val="2"/>
        <scheme val="minor"/>
      </rPr>
      <t>OutlineTool</t>
    </r>
    <r>
      <rPr>
        <sz val="11"/>
        <color theme="1"/>
        <rFont val="Calibri"/>
        <family val="2"/>
        <scheme val="minor"/>
      </rPr>
      <t xml:space="preserve"> - Outline tool
</t>
    </r>
  </si>
  <si>
    <r>
      <t>Required</t>
    </r>
    <r>
      <rPr>
        <sz val="11"/>
        <color theme="1"/>
        <rFont val="Calibri"/>
        <family val="2"/>
        <scheme val="minor"/>
      </rPr>
      <t xml:space="preserve"> - Required
</t>
    </r>
    <r>
      <rPr>
        <b/>
        <sz val="11"/>
        <color theme="1"/>
        <rFont val="Calibri"/>
        <family val="2"/>
        <scheme val="minor"/>
      </rPr>
      <t>Preferred</t>
    </r>
    <r>
      <rPr>
        <sz val="11"/>
        <color theme="1"/>
        <rFont val="Calibri"/>
        <family val="2"/>
        <scheme val="minor"/>
      </rPr>
      <t xml:space="preserve"> - Preferred
</t>
    </r>
    <r>
      <rPr>
        <b/>
        <sz val="11"/>
        <color theme="1"/>
        <rFont val="Calibri"/>
        <family val="2"/>
        <scheme val="minor"/>
      </rPr>
      <t>OptionallyUse</t>
    </r>
    <r>
      <rPr>
        <sz val="11"/>
        <color theme="1"/>
        <rFont val="Calibri"/>
        <family val="2"/>
        <scheme val="minor"/>
      </rPr>
      <t xml:space="preserve"> - Optionally use
</t>
    </r>
    <r>
      <rPr>
        <b/>
        <sz val="11"/>
        <color theme="1"/>
        <rFont val="Calibri"/>
        <family val="2"/>
        <scheme val="minor"/>
      </rPr>
      <t>Prohibited</t>
    </r>
    <r>
      <rPr>
        <sz val="11"/>
        <color theme="1"/>
        <rFont val="Calibri"/>
        <family val="2"/>
        <scheme val="minor"/>
      </rPr>
      <t xml:space="preserve"> - Prohibited
</t>
    </r>
  </si>
  <si>
    <r>
      <t>TextOnly</t>
    </r>
    <r>
      <rPr>
        <sz val="11"/>
        <color theme="1"/>
        <rFont val="Calibri"/>
        <family val="2"/>
        <scheme val="minor"/>
      </rPr>
      <t xml:space="preserve"> - Text only
</t>
    </r>
    <r>
      <rPr>
        <b/>
        <sz val="11"/>
        <color theme="1"/>
        <rFont val="Calibri"/>
        <family val="2"/>
        <scheme val="minor"/>
      </rPr>
      <t>TextGraphics</t>
    </r>
    <r>
      <rPr>
        <sz val="11"/>
        <color theme="1"/>
        <rFont val="Calibri"/>
        <family val="2"/>
        <scheme val="minor"/>
      </rPr>
      <t xml:space="preserve"> - Text and graphics
</t>
    </r>
    <r>
      <rPr>
        <b/>
        <sz val="11"/>
        <color theme="1"/>
        <rFont val="Calibri"/>
        <family val="2"/>
        <scheme val="minor"/>
      </rPr>
      <t>GraphicsOnly</t>
    </r>
    <r>
      <rPr>
        <sz val="11"/>
        <color theme="1"/>
        <rFont val="Calibri"/>
        <family val="2"/>
        <scheme val="minor"/>
      </rPr>
      <t xml:space="preserve"> - Graphics only
</t>
    </r>
    <r>
      <rPr>
        <b/>
        <sz val="11"/>
        <color theme="1"/>
        <rFont val="Calibri"/>
        <family val="2"/>
        <scheme val="minor"/>
      </rPr>
      <t>NonVisual</t>
    </r>
    <r>
      <rPr>
        <sz val="11"/>
        <color theme="1"/>
        <rFont val="Calibri"/>
        <family val="2"/>
        <scheme val="minor"/>
      </rPr>
      <t xml:space="preserve"> - Non-visual
</t>
    </r>
  </si>
  <si>
    <r>
      <t>00512</t>
    </r>
    <r>
      <rPr>
        <sz val="11"/>
        <color theme="1"/>
        <rFont val="Calibri"/>
        <family val="2"/>
        <scheme val="minor"/>
      </rPr>
      <t xml:space="preserve"> - Achievement/proficiency level
</t>
    </r>
    <r>
      <rPr>
        <b/>
        <sz val="11"/>
        <color theme="1"/>
        <rFont val="Calibri"/>
        <family val="2"/>
        <scheme val="minor"/>
      </rPr>
      <t>00494</t>
    </r>
    <r>
      <rPr>
        <sz val="11"/>
        <color theme="1"/>
        <rFont val="Calibri"/>
        <family val="2"/>
        <scheme val="minor"/>
      </rPr>
      <t xml:space="preserve"> - ACT score
</t>
    </r>
    <r>
      <rPr>
        <b/>
        <sz val="11"/>
        <color theme="1"/>
        <rFont val="Calibri"/>
        <family val="2"/>
        <scheme val="minor"/>
      </rPr>
      <t>00490</t>
    </r>
    <r>
      <rPr>
        <sz val="11"/>
        <color theme="1"/>
        <rFont val="Calibri"/>
        <family val="2"/>
        <scheme val="minor"/>
      </rPr>
      <t xml:space="preserve"> - Age score
</t>
    </r>
    <r>
      <rPr>
        <b/>
        <sz val="11"/>
        <color theme="1"/>
        <rFont val="Calibri"/>
        <family val="2"/>
        <scheme val="minor"/>
      </rPr>
      <t>00491</t>
    </r>
    <r>
      <rPr>
        <sz val="11"/>
        <color theme="1"/>
        <rFont val="Calibri"/>
        <family val="2"/>
        <scheme val="minor"/>
      </rPr>
      <t xml:space="preserve"> - C-scaled scores
</t>
    </r>
    <r>
      <rPr>
        <b/>
        <sz val="11"/>
        <color theme="1"/>
        <rFont val="Calibri"/>
        <family val="2"/>
        <scheme val="minor"/>
      </rPr>
      <t>00492</t>
    </r>
    <r>
      <rPr>
        <sz val="11"/>
        <color theme="1"/>
        <rFont val="Calibri"/>
        <family val="2"/>
        <scheme val="minor"/>
      </rPr>
      <t xml:space="preserve"> - College Board examination scores
</t>
    </r>
    <r>
      <rPr>
        <b/>
        <sz val="11"/>
        <color theme="1"/>
        <rFont val="Calibri"/>
        <family val="2"/>
        <scheme val="minor"/>
      </rPr>
      <t>00493</t>
    </r>
    <r>
      <rPr>
        <sz val="11"/>
        <color theme="1"/>
        <rFont val="Calibri"/>
        <family val="2"/>
        <scheme val="minor"/>
      </rPr>
      <t xml:space="preserve"> - Grade equivalent or grade-level indicator
</t>
    </r>
    <r>
      <rPr>
        <b/>
        <sz val="11"/>
        <color theme="1"/>
        <rFont val="Calibri"/>
        <family val="2"/>
        <scheme val="minor"/>
      </rPr>
      <t>03473</t>
    </r>
    <r>
      <rPr>
        <sz val="11"/>
        <color theme="1"/>
        <rFont val="Calibri"/>
        <family val="2"/>
        <scheme val="minor"/>
      </rPr>
      <t xml:space="preserve"> - Graduation score
</t>
    </r>
    <r>
      <rPr>
        <b/>
        <sz val="11"/>
        <color theme="1"/>
        <rFont val="Calibri"/>
        <family val="2"/>
        <scheme val="minor"/>
      </rPr>
      <t>03474</t>
    </r>
    <r>
      <rPr>
        <sz val="11"/>
        <color theme="1"/>
        <rFont val="Calibri"/>
        <family val="2"/>
        <scheme val="minor"/>
      </rPr>
      <t xml:space="preserve"> - Growth/value-added/indexing
</t>
    </r>
    <r>
      <rPr>
        <b/>
        <sz val="11"/>
        <color theme="1"/>
        <rFont val="Calibri"/>
        <family val="2"/>
        <scheme val="minor"/>
      </rPr>
      <t>03475</t>
    </r>
    <r>
      <rPr>
        <sz val="11"/>
        <color theme="1"/>
        <rFont val="Calibri"/>
        <family val="2"/>
        <scheme val="minor"/>
      </rPr>
      <t xml:space="preserve"> - International Baccalaureate score
</t>
    </r>
    <r>
      <rPr>
        <b/>
        <sz val="11"/>
        <color theme="1"/>
        <rFont val="Calibri"/>
        <family val="2"/>
        <scheme val="minor"/>
      </rPr>
      <t>00144</t>
    </r>
    <r>
      <rPr>
        <sz val="11"/>
        <color theme="1"/>
        <rFont val="Calibri"/>
        <family val="2"/>
        <scheme val="minor"/>
      </rPr>
      <t xml:space="preserve"> - Letter grade/mark
</t>
    </r>
    <r>
      <rPr>
        <b/>
        <sz val="11"/>
        <color theme="1"/>
        <rFont val="Calibri"/>
        <family val="2"/>
        <scheme val="minor"/>
      </rPr>
      <t>00513</t>
    </r>
    <r>
      <rPr>
        <sz val="11"/>
        <color theme="1"/>
        <rFont val="Calibri"/>
        <family val="2"/>
        <scheme val="minor"/>
      </rPr>
      <t xml:space="preserve"> - Mastery level
</t>
    </r>
    <r>
      <rPr>
        <b/>
        <sz val="11"/>
        <color theme="1"/>
        <rFont val="Calibri"/>
        <family val="2"/>
        <scheme val="minor"/>
      </rPr>
      <t>00497</t>
    </r>
    <r>
      <rPr>
        <sz val="11"/>
        <color theme="1"/>
        <rFont val="Calibri"/>
        <family val="2"/>
        <scheme val="minor"/>
      </rPr>
      <t xml:space="preserve"> - Normal curve equivalent
</t>
    </r>
    <r>
      <rPr>
        <b/>
        <sz val="11"/>
        <color theme="1"/>
        <rFont val="Calibri"/>
        <family val="2"/>
        <scheme val="minor"/>
      </rPr>
      <t>00498</t>
    </r>
    <r>
      <rPr>
        <sz val="11"/>
        <color theme="1"/>
        <rFont val="Calibri"/>
        <family val="2"/>
        <scheme val="minor"/>
      </rPr>
      <t xml:space="preserve"> - Normalized standard score
</t>
    </r>
    <r>
      <rPr>
        <b/>
        <sz val="11"/>
        <color theme="1"/>
        <rFont val="Calibri"/>
        <family val="2"/>
        <scheme val="minor"/>
      </rPr>
      <t>00499</t>
    </r>
    <r>
      <rPr>
        <sz val="11"/>
        <color theme="1"/>
        <rFont val="Calibri"/>
        <family val="2"/>
        <scheme val="minor"/>
      </rPr>
      <t xml:space="preserve"> - Number score
</t>
    </r>
    <r>
      <rPr>
        <b/>
        <sz val="11"/>
        <color theme="1"/>
        <rFont val="Calibri"/>
        <family val="2"/>
        <scheme val="minor"/>
      </rPr>
      <t>00500</t>
    </r>
    <r>
      <rPr>
        <sz val="11"/>
        <color theme="1"/>
        <rFont val="Calibri"/>
        <family val="2"/>
        <scheme val="minor"/>
      </rPr>
      <t xml:space="preserve"> - Pass-fail
</t>
    </r>
    <r>
      <rPr>
        <b/>
        <sz val="11"/>
        <color theme="1"/>
        <rFont val="Calibri"/>
        <family val="2"/>
        <scheme val="minor"/>
      </rPr>
      <t>03476</t>
    </r>
    <r>
      <rPr>
        <sz val="11"/>
        <color theme="1"/>
        <rFont val="Calibri"/>
        <family val="2"/>
        <scheme val="minor"/>
      </rPr>
      <t xml:space="preserve"> - Percentile
</t>
    </r>
    <r>
      <rPr>
        <b/>
        <sz val="11"/>
        <color theme="1"/>
        <rFont val="Calibri"/>
        <family val="2"/>
        <scheme val="minor"/>
      </rPr>
      <t>00502</t>
    </r>
    <r>
      <rPr>
        <sz val="11"/>
        <color theme="1"/>
        <rFont val="Calibri"/>
        <family val="2"/>
        <scheme val="minor"/>
      </rPr>
      <t xml:space="preserve"> - Percentile rank
</t>
    </r>
    <r>
      <rPr>
        <b/>
        <sz val="11"/>
        <color theme="1"/>
        <rFont val="Calibri"/>
        <family val="2"/>
        <scheme val="minor"/>
      </rPr>
      <t>00503</t>
    </r>
    <r>
      <rPr>
        <sz val="11"/>
        <color theme="1"/>
        <rFont val="Calibri"/>
        <family val="2"/>
        <scheme val="minor"/>
      </rPr>
      <t xml:space="preserve"> - Proficiency level
</t>
    </r>
    <r>
      <rPr>
        <b/>
        <sz val="11"/>
        <color theme="1"/>
        <rFont val="Calibri"/>
        <family val="2"/>
        <scheme val="minor"/>
      </rPr>
      <t>03477</t>
    </r>
    <r>
      <rPr>
        <sz val="11"/>
        <color theme="1"/>
        <rFont val="Calibri"/>
        <family val="2"/>
        <scheme val="minor"/>
      </rPr>
      <t xml:space="preserve"> - Promotion score
</t>
    </r>
    <r>
      <rPr>
        <b/>
        <sz val="11"/>
        <color theme="1"/>
        <rFont val="Calibri"/>
        <family val="2"/>
        <scheme val="minor"/>
      </rPr>
      <t>00504</t>
    </r>
    <r>
      <rPr>
        <sz val="11"/>
        <color theme="1"/>
        <rFont val="Calibri"/>
        <family val="2"/>
        <scheme val="minor"/>
      </rPr>
      <t xml:space="preserve"> - Ranking
</t>
    </r>
    <r>
      <rPr>
        <b/>
        <sz val="11"/>
        <color theme="1"/>
        <rFont val="Calibri"/>
        <family val="2"/>
        <scheme val="minor"/>
      </rPr>
      <t>00505</t>
    </r>
    <r>
      <rPr>
        <sz val="11"/>
        <color theme="1"/>
        <rFont val="Calibri"/>
        <family val="2"/>
        <scheme val="minor"/>
      </rPr>
      <t xml:space="preserve"> - Ratio IQ's
</t>
    </r>
    <r>
      <rPr>
        <b/>
        <sz val="11"/>
        <color theme="1"/>
        <rFont val="Calibri"/>
        <family val="2"/>
        <scheme val="minor"/>
      </rPr>
      <t>03478</t>
    </r>
    <r>
      <rPr>
        <sz val="11"/>
        <color theme="1"/>
        <rFont val="Calibri"/>
        <family val="2"/>
        <scheme val="minor"/>
      </rPr>
      <t xml:space="preserve"> - Raw score
</t>
    </r>
    <r>
      <rPr>
        <b/>
        <sz val="11"/>
        <color theme="1"/>
        <rFont val="Calibri"/>
        <family val="2"/>
        <scheme val="minor"/>
      </rPr>
      <t>03479</t>
    </r>
    <r>
      <rPr>
        <sz val="11"/>
        <color theme="1"/>
        <rFont val="Calibri"/>
        <family val="2"/>
        <scheme val="minor"/>
      </rPr>
      <t xml:space="preserve"> - Scale score
</t>
    </r>
    <r>
      <rPr>
        <b/>
        <sz val="11"/>
        <color theme="1"/>
        <rFont val="Calibri"/>
        <family val="2"/>
        <scheme val="minor"/>
      </rPr>
      <t>00506</t>
    </r>
    <r>
      <rPr>
        <sz val="11"/>
        <color theme="1"/>
        <rFont val="Calibri"/>
        <family val="2"/>
        <scheme val="minor"/>
      </rPr>
      <t xml:space="preserve"> - Standard age score
</t>
    </r>
    <r>
      <rPr>
        <b/>
        <sz val="11"/>
        <color theme="1"/>
        <rFont val="Calibri"/>
        <family val="2"/>
        <scheme val="minor"/>
      </rPr>
      <t>00508</t>
    </r>
    <r>
      <rPr>
        <sz val="11"/>
        <color theme="1"/>
        <rFont val="Calibri"/>
        <family val="2"/>
        <scheme val="minor"/>
      </rPr>
      <t xml:space="preserve"> - Stanine score
</t>
    </r>
    <r>
      <rPr>
        <b/>
        <sz val="11"/>
        <color theme="1"/>
        <rFont val="Calibri"/>
        <family val="2"/>
        <scheme val="minor"/>
      </rPr>
      <t>00509</t>
    </r>
    <r>
      <rPr>
        <sz val="11"/>
        <color theme="1"/>
        <rFont val="Calibri"/>
        <family val="2"/>
        <scheme val="minor"/>
      </rPr>
      <t xml:space="preserve"> - Sten score
</t>
    </r>
    <r>
      <rPr>
        <b/>
        <sz val="11"/>
        <color theme="1"/>
        <rFont val="Calibri"/>
        <family val="2"/>
        <scheme val="minor"/>
      </rPr>
      <t>00510</t>
    </r>
    <r>
      <rPr>
        <sz val="11"/>
        <color theme="1"/>
        <rFont val="Calibri"/>
        <family val="2"/>
        <scheme val="minor"/>
      </rPr>
      <t xml:space="preserve"> - T-score
</t>
    </r>
    <r>
      <rPr>
        <b/>
        <sz val="11"/>
        <color theme="1"/>
        <rFont val="Calibri"/>
        <family val="2"/>
        <scheme val="minor"/>
      </rPr>
      <t>03480</t>
    </r>
    <r>
      <rPr>
        <sz val="11"/>
        <color theme="1"/>
        <rFont val="Calibri"/>
        <family val="2"/>
        <scheme val="minor"/>
      </rPr>
      <t xml:space="preserve"> - Workplace readiness score
</t>
    </r>
    <r>
      <rPr>
        <b/>
        <sz val="11"/>
        <color theme="1"/>
        <rFont val="Calibri"/>
        <family val="2"/>
        <scheme val="minor"/>
      </rPr>
      <t>00511</t>
    </r>
    <r>
      <rPr>
        <sz val="11"/>
        <color theme="1"/>
        <rFont val="Calibri"/>
        <family val="2"/>
        <scheme val="minor"/>
      </rPr>
      <t xml:space="preserve"> - Z-score
</t>
    </r>
    <r>
      <rPr>
        <b/>
        <sz val="11"/>
        <color theme="1"/>
        <rFont val="Calibri"/>
        <family val="2"/>
        <scheme val="minor"/>
      </rPr>
      <t>09999</t>
    </r>
    <r>
      <rPr>
        <sz val="11"/>
        <color theme="1"/>
        <rFont val="Calibri"/>
        <family val="2"/>
        <scheme val="minor"/>
      </rPr>
      <t xml:space="preserve"> - Other
</t>
    </r>
  </si>
  <si>
    <r>
      <t>00050</t>
    </r>
    <r>
      <rPr>
        <sz val="11"/>
        <color theme="1"/>
        <rFont val="Calibri"/>
        <family val="2"/>
        <scheme val="minor"/>
      </rPr>
      <t xml:space="preserve"> - Admission
</t>
    </r>
    <r>
      <rPr>
        <b/>
        <sz val="11"/>
        <color theme="1"/>
        <rFont val="Calibri"/>
        <family val="2"/>
        <scheme val="minor"/>
      </rPr>
      <t>00051</t>
    </r>
    <r>
      <rPr>
        <sz val="11"/>
        <color theme="1"/>
        <rFont val="Calibri"/>
        <family val="2"/>
        <scheme val="minor"/>
      </rPr>
      <t xml:space="preserve"> - Assessment of student's progress
</t>
    </r>
    <r>
      <rPr>
        <b/>
        <sz val="11"/>
        <color theme="1"/>
        <rFont val="Calibri"/>
        <family val="2"/>
        <scheme val="minor"/>
      </rPr>
      <t>73055</t>
    </r>
    <r>
      <rPr>
        <sz val="11"/>
        <color theme="1"/>
        <rFont val="Calibri"/>
        <family val="2"/>
        <scheme val="minor"/>
      </rPr>
      <t xml:space="preserve"> - College Readiness
</t>
    </r>
    <r>
      <rPr>
        <b/>
        <sz val="11"/>
        <color theme="1"/>
        <rFont val="Calibri"/>
        <family val="2"/>
        <scheme val="minor"/>
      </rPr>
      <t>00063</t>
    </r>
    <r>
      <rPr>
        <sz val="11"/>
        <color theme="1"/>
        <rFont val="Calibri"/>
        <family val="2"/>
        <scheme val="minor"/>
      </rPr>
      <t xml:space="preserve"> - Course credit
</t>
    </r>
    <r>
      <rPr>
        <b/>
        <sz val="11"/>
        <color theme="1"/>
        <rFont val="Calibri"/>
        <family val="2"/>
        <scheme val="minor"/>
      </rPr>
      <t>00064</t>
    </r>
    <r>
      <rPr>
        <sz val="11"/>
        <color theme="1"/>
        <rFont val="Calibri"/>
        <family val="2"/>
        <scheme val="minor"/>
      </rPr>
      <t xml:space="preserve"> - Course requirement
</t>
    </r>
    <r>
      <rPr>
        <b/>
        <sz val="11"/>
        <color theme="1"/>
        <rFont val="Calibri"/>
        <family val="2"/>
        <scheme val="minor"/>
      </rPr>
      <t>73069</t>
    </r>
    <r>
      <rPr>
        <sz val="11"/>
        <color theme="1"/>
        <rFont val="Calibri"/>
        <family val="2"/>
        <scheme val="minor"/>
      </rPr>
      <t xml:space="preserve"> - Diagnosis
</t>
    </r>
    <r>
      <rPr>
        <b/>
        <sz val="11"/>
        <color theme="1"/>
        <rFont val="Calibri"/>
        <family val="2"/>
        <scheme val="minor"/>
      </rPr>
      <t>03459</t>
    </r>
    <r>
      <rPr>
        <sz val="11"/>
        <color theme="1"/>
        <rFont val="Calibri"/>
        <family val="2"/>
        <scheme val="minor"/>
      </rPr>
      <t xml:space="preserve"> - Federal accountability
</t>
    </r>
    <r>
      <rPr>
        <b/>
        <sz val="11"/>
        <color theme="1"/>
        <rFont val="Calibri"/>
        <family val="2"/>
        <scheme val="minor"/>
      </rPr>
      <t>73068</t>
    </r>
    <r>
      <rPr>
        <sz val="11"/>
        <color theme="1"/>
        <rFont val="Calibri"/>
        <family val="2"/>
        <scheme val="minor"/>
      </rPr>
      <t xml:space="preserve"> - Inform local or state policy
</t>
    </r>
    <r>
      <rPr>
        <b/>
        <sz val="11"/>
        <color theme="1"/>
        <rFont val="Calibri"/>
        <family val="2"/>
        <scheme val="minor"/>
      </rPr>
      <t>00055</t>
    </r>
    <r>
      <rPr>
        <sz val="11"/>
        <color theme="1"/>
        <rFont val="Calibri"/>
        <family val="2"/>
        <scheme val="minor"/>
      </rPr>
      <t xml:space="preserve"> - Instructional decision
</t>
    </r>
    <r>
      <rPr>
        <b/>
        <sz val="11"/>
        <color theme="1"/>
        <rFont val="Calibri"/>
        <family val="2"/>
        <scheme val="minor"/>
      </rPr>
      <t>03457</t>
    </r>
    <r>
      <rPr>
        <sz val="11"/>
        <color theme="1"/>
        <rFont val="Calibri"/>
        <family val="2"/>
        <scheme val="minor"/>
      </rPr>
      <t xml:space="preserve"> - Local accountability
</t>
    </r>
    <r>
      <rPr>
        <b/>
        <sz val="11"/>
        <color theme="1"/>
        <rFont val="Calibri"/>
        <family val="2"/>
        <scheme val="minor"/>
      </rPr>
      <t>02404</t>
    </r>
    <r>
      <rPr>
        <sz val="11"/>
        <color theme="1"/>
        <rFont val="Calibri"/>
        <family val="2"/>
        <scheme val="minor"/>
      </rPr>
      <t xml:space="preserve"> - Local graduation requirement
</t>
    </r>
    <r>
      <rPr>
        <b/>
        <sz val="11"/>
        <color theme="1"/>
        <rFont val="Calibri"/>
        <family val="2"/>
        <scheme val="minor"/>
      </rPr>
      <t>73042</t>
    </r>
    <r>
      <rPr>
        <sz val="11"/>
        <color theme="1"/>
        <rFont val="Calibri"/>
        <family val="2"/>
        <scheme val="minor"/>
      </rPr>
      <t xml:space="preserve"> - Obtain a state- or industry-recognized certificate or license
</t>
    </r>
    <r>
      <rPr>
        <b/>
        <sz val="11"/>
        <color theme="1"/>
        <rFont val="Calibri"/>
        <family val="2"/>
        <scheme val="minor"/>
      </rPr>
      <t>73043</t>
    </r>
    <r>
      <rPr>
        <sz val="11"/>
        <color theme="1"/>
        <rFont val="Calibri"/>
        <family val="2"/>
        <scheme val="minor"/>
      </rPr>
      <t xml:space="preserve"> - Obtain postsecondary credit for the course
</t>
    </r>
    <r>
      <rPr>
        <b/>
        <sz val="11"/>
        <color theme="1"/>
        <rFont val="Calibri"/>
        <family val="2"/>
        <scheme val="minor"/>
      </rPr>
      <t>73067</t>
    </r>
    <r>
      <rPr>
        <sz val="11"/>
        <color theme="1"/>
        <rFont val="Calibri"/>
        <family val="2"/>
        <scheme val="minor"/>
      </rPr>
      <t xml:space="preserve"> - Program eligibility
</t>
    </r>
    <r>
      <rPr>
        <b/>
        <sz val="11"/>
        <color theme="1"/>
        <rFont val="Calibri"/>
        <family val="2"/>
        <scheme val="minor"/>
      </rPr>
      <t>00057</t>
    </r>
    <r>
      <rPr>
        <sz val="11"/>
        <color theme="1"/>
        <rFont val="Calibri"/>
        <family val="2"/>
        <scheme val="minor"/>
      </rPr>
      <t xml:space="preserve"> - Program evaluation
</t>
    </r>
    <r>
      <rPr>
        <b/>
        <sz val="11"/>
        <color theme="1"/>
        <rFont val="Calibri"/>
        <family val="2"/>
        <scheme val="minor"/>
      </rPr>
      <t>00058</t>
    </r>
    <r>
      <rPr>
        <sz val="11"/>
        <color theme="1"/>
        <rFont val="Calibri"/>
        <family val="2"/>
        <scheme val="minor"/>
      </rPr>
      <t xml:space="preserve"> - Program placement
</t>
    </r>
    <r>
      <rPr>
        <b/>
        <sz val="11"/>
        <color theme="1"/>
        <rFont val="Calibri"/>
        <family val="2"/>
        <scheme val="minor"/>
      </rPr>
      <t>00062</t>
    </r>
    <r>
      <rPr>
        <sz val="11"/>
        <color theme="1"/>
        <rFont val="Calibri"/>
        <family val="2"/>
        <scheme val="minor"/>
      </rPr>
      <t xml:space="preserve"> - Promotion to or retention in a grade or program
</t>
    </r>
    <r>
      <rPr>
        <b/>
        <sz val="11"/>
        <color theme="1"/>
        <rFont val="Calibri"/>
        <family val="2"/>
        <scheme val="minor"/>
      </rPr>
      <t>00061</t>
    </r>
    <r>
      <rPr>
        <sz val="11"/>
        <color theme="1"/>
        <rFont val="Calibri"/>
        <family val="2"/>
        <scheme val="minor"/>
      </rPr>
      <t xml:space="preserve"> - Screening
</t>
    </r>
    <r>
      <rPr>
        <b/>
        <sz val="11"/>
        <color theme="1"/>
        <rFont val="Calibri"/>
        <family val="2"/>
        <scheme val="minor"/>
      </rPr>
      <t>03458</t>
    </r>
    <r>
      <rPr>
        <sz val="11"/>
        <color theme="1"/>
        <rFont val="Calibri"/>
        <family val="2"/>
        <scheme val="minor"/>
      </rPr>
      <t xml:space="preserve"> - State accountability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00054</t>
    </r>
    <r>
      <rPr>
        <sz val="11"/>
        <color theme="1"/>
        <rFont val="Calibri"/>
        <family val="2"/>
        <scheme val="minor"/>
      </rPr>
      <t xml:space="preserve"> - State graduation requirement
</t>
    </r>
  </si>
  <si>
    <r>
      <t>73080</t>
    </r>
    <r>
      <rPr>
        <sz val="11"/>
        <color theme="1"/>
        <rFont val="Calibri"/>
        <family val="2"/>
        <scheme val="minor"/>
      </rPr>
      <t xml:space="preserve"> - Birth to Three
</t>
    </r>
    <r>
      <rPr>
        <b/>
        <sz val="11"/>
        <color theme="1"/>
        <rFont val="Calibri"/>
        <family val="2"/>
        <scheme val="minor"/>
      </rPr>
      <t>01043</t>
    </r>
    <r>
      <rPr>
        <sz val="11"/>
        <color theme="1"/>
        <rFont val="Calibri"/>
        <family val="2"/>
        <scheme val="minor"/>
      </rPr>
      <t xml:space="preserve"> - No school completed 
</t>
    </r>
    <r>
      <rPr>
        <b/>
        <sz val="11"/>
        <color theme="1"/>
        <rFont val="Calibri"/>
        <family val="2"/>
        <scheme val="minor"/>
      </rPr>
      <t>00788</t>
    </r>
    <r>
      <rPr>
        <sz val="11"/>
        <color theme="1"/>
        <rFont val="Calibri"/>
        <family val="2"/>
        <scheme val="minor"/>
      </rPr>
      <t xml:space="preserve"> - Preschool 
</t>
    </r>
    <r>
      <rPr>
        <b/>
        <sz val="11"/>
        <color theme="1"/>
        <rFont val="Calibri"/>
        <family val="2"/>
        <scheme val="minor"/>
      </rPr>
      <t>00805</t>
    </r>
    <r>
      <rPr>
        <sz val="11"/>
        <color theme="1"/>
        <rFont val="Calibri"/>
        <family val="2"/>
        <scheme val="minor"/>
      </rPr>
      <t xml:space="preserve"> - Kindergarten 
</t>
    </r>
    <r>
      <rPr>
        <b/>
        <sz val="11"/>
        <color theme="1"/>
        <rFont val="Calibri"/>
        <family val="2"/>
        <scheme val="minor"/>
      </rPr>
      <t>00790</t>
    </r>
    <r>
      <rPr>
        <sz val="11"/>
        <color theme="1"/>
        <rFont val="Calibri"/>
        <family val="2"/>
        <scheme val="minor"/>
      </rPr>
      <t xml:space="preserve"> - First grade 
</t>
    </r>
    <r>
      <rPr>
        <b/>
        <sz val="11"/>
        <color theme="1"/>
        <rFont val="Calibri"/>
        <family val="2"/>
        <scheme val="minor"/>
      </rPr>
      <t>00791</t>
    </r>
    <r>
      <rPr>
        <sz val="11"/>
        <color theme="1"/>
        <rFont val="Calibri"/>
        <family val="2"/>
        <scheme val="minor"/>
      </rPr>
      <t xml:space="preserve"> - Second grade 
</t>
    </r>
    <r>
      <rPr>
        <b/>
        <sz val="11"/>
        <color theme="1"/>
        <rFont val="Calibri"/>
        <family val="2"/>
        <scheme val="minor"/>
      </rPr>
      <t>00792</t>
    </r>
    <r>
      <rPr>
        <sz val="11"/>
        <color theme="1"/>
        <rFont val="Calibri"/>
        <family val="2"/>
        <scheme val="minor"/>
      </rPr>
      <t xml:space="preserve"> - Third grade 
</t>
    </r>
    <r>
      <rPr>
        <b/>
        <sz val="11"/>
        <color theme="1"/>
        <rFont val="Calibri"/>
        <family val="2"/>
        <scheme val="minor"/>
      </rPr>
      <t>00793</t>
    </r>
    <r>
      <rPr>
        <sz val="11"/>
        <color theme="1"/>
        <rFont val="Calibri"/>
        <family val="2"/>
        <scheme val="minor"/>
      </rPr>
      <t xml:space="preserve"> - Fourth grade 
</t>
    </r>
    <r>
      <rPr>
        <b/>
        <sz val="11"/>
        <color theme="1"/>
        <rFont val="Calibri"/>
        <family val="2"/>
        <scheme val="minor"/>
      </rPr>
      <t>00794</t>
    </r>
    <r>
      <rPr>
        <sz val="11"/>
        <color theme="1"/>
        <rFont val="Calibri"/>
        <family val="2"/>
        <scheme val="minor"/>
      </rPr>
      <t xml:space="preserve"> - Fifth grade 
</t>
    </r>
    <r>
      <rPr>
        <b/>
        <sz val="11"/>
        <color theme="1"/>
        <rFont val="Calibri"/>
        <family val="2"/>
        <scheme val="minor"/>
      </rPr>
      <t>00795</t>
    </r>
    <r>
      <rPr>
        <sz val="11"/>
        <color theme="1"/>
        <rFont val="Calibri"/>
        <family val="2"/>
        <scheme val="minor"/>
      </rPr>
      <t xml:space="preserve"> - Sixth grade 
</t>
    </r>
    <r>
      <rPr>
        <b/>
        <sz val="11"/>
        <color theme="1"/>
        <rFont val="Calibri"/>
        <family val="2"/>
        <scheme val="minor"/>
      </rPr>
      <t>00796</t>
    </r>
    <r>
      <rPr>
        <sz val="11"/>
        <color theme="1"/>
        <rFont val="Calibri"/>
        <family val="2"/>
        <scheme val="minor"/>
      </rPr>
      <t xml:space="preserve"> - Seventh grade 
</t>
    </r>
    <r>
      <rPr>
        <b/>
        <sz val="11"/>
        <color theme="1"/>
        <rFont val="Calibri"/>
        <family val="2"/>
        <scheme val="minor"/>
      </rPr>
      <t>00798</t>
    </r>
    <r>
      <rPr>
        <sz val="11"/>
        <color theme="1"/>
        <rFont val="Calibri"/>
        <family val="2"/>
        <scheme val="minor"/>
      </rPr>
      <t xml:space="preserve"> - Eighth grade 
</t>
    </r>
    <r>
      <rPr>
        <b/>
        <sz val="11"/>
        <color theme="1"/>
        <rFont val="Calibri"/>
        <family val="2"/>
        <scheme val="minor"/>
      </rPr>
      <t>00799</t>
    </r>
    <r>
      <rPr>
        <sz val="11"/>
        <color theme="1"/>
        <rFont val="Calibri"/>
        <family val="2"/>
        <scheme val="minor"/>
      </rPr>
      <t xml:space="preserve"> - Ninth grade 
</t>
    </r>
    <r>
      <rPr>
        <b/>
        <sz val="11"/>
        <color theme="1"/>
        <rFont val="Calibri"/>
        <family val="2"/>
        <scheme val="minor"/>
      </rPr>
      <t>00800</t>
    </r>
    <r>
      <rPr>
        <sz val="11"/>
        <color theme="1"/>
        <rFont val="Calibri"/>
        <family val="2"/>
        <scheme val="minor"/>
      </rPr>
      <t xml:space="preserve"> - Tenth grade 
</t>
    </r>
    <r>
      <rPr>
        <b/>
        <sz val="11"/>
        <color theme="1"/>
        <rFont val="Calibri"/>
        <family val="2"/>
        <scheme val="minor"/>
      </rPr>
      <t>00801</t>
    </r>
    <r>
      <rPr>
        <sz val="11"/>
        <color theme="1"/>
        <rFont val="Calibri"/>
        <family val="2"/>
        <scheme val="minor"/>
      </rPr>
      <t xml:space="preserve"> - Eleventh Grade 
</t>
    </r>
    <r>
      <rPr>
        <b/>
        <sz val="11"/>
        <color theme="1"/>
        <rFont val="Calibri"/>
        <family val="2"/>
        <scheme val="minor"/>
      </rPr>
      <t>01809</t>
    </r>
    <r>
      <rPr>
        <sz val="11"/>
        <color theme="1"/>
        <rFont val="Calibri"/>
        <family val="2"/>
        <scheme val="minor"/>
      </rPr>
      <t xml:space="preserve"> - 12th grade, no diploma 
</t>
    </r>
    <r>
      <rPr>
        <b/>
        <sz val="11"/>
        <color theme="1"/>
        <rFont val="Calibri"/>
        <family val="2"/>
        <scheme val="minor"/>
      </rPr>
      <t>01044</t>
    </r>
    <r>
      <rPr>
        <sz val="11"/>
        <color theme="1"/>
        <rFont val="Calibri"/>
        <family val="2"/>
        <scheme val="minor"/>
      </rPr>
      <t xml:space="preserve"> - High school diploma 
</t>
    </r>
    <r>
      <rPr>
        <b/>
        <sz val="11"/>
        <color theme="1"/>
        <rFont val="Calibri"/>
        <family val="2"/>
        <scheme val="minor"/>
      </rPr>
      <t>02408</t>
    </r>
    <r>
      <rPr>
        <sz val="11"/>
        <color theme="1"/>
        <rFont val="Calibri"/>
        <family val="2"/>
        <scheme val="minor"/>
      </rPr>
      <t xml:space="preserve"> - High school completers (e.g., certificate of attendance) 
</t>
    </r>
    <r>
      <rPr>
        <b/>
        <sz val="11"/>
        <color theme="1"/>
        <rFont val="Calibri"/>
        <family val="2"/>
        <scheme val="minor"/>
      </rPr>
      <t>02409</t>
    </r>
    <r>
      <rPr>
        <sz val="11"/>
        <color theme="1"/>
        <rFont val="Calibri"/>
        <family val="2"/>
        <scheme val="minor"/>
      </rPr>
      <t xml:space="preserve"> - High school equivalency (e.g., GED)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01049</t>
    </r>
    <r>
      <rPr>
        <sz val="11"/>
        <color theme="1"/>
        <rFont val="Calibri"/>
        <family val="2"/>
        <scheme val="minor"/>
      </rPr>
      <t xml:space="preserve"> - Some college but no degree 
</t>
    </r>
    <r>
      <rPr>
        <b/>
        <sz val="11"/>
        <color theme="1"/>
        <rFont val="Calibri"/>
        <family val="2"/>
        <scheme val="minor"/>
      </rPr>
      <t>01047</t>
    </r>
    <r>
      <rPr>
        <sz val="11"/>
        <color theme="1"/>
        <rFont val="Calibri"/>
        <family val="2"/>
        <scheme val="minor"/>
      </rPr>
      <t xml:space="preserve"> - Formal award, certificate or diploma (less than one year) 
</t>
    </r>
    <r>
      <rPr>
        <b/>
        <sz val="11"/>
        <color theme="1"/>
        <rFont val="Calibri"/>
        <family val="2"/>
        <scheme val="minor"/>
      </rPr>
      <t>01048</t>
    </r>
    <r>
      <rPr>
        <sz val="11"/>
        <color theme="1"/>
        <rFont val="Calibri"/>
        <family val="2"/>
        <scheme val="minor"/>
      </rPr>
      <t xml:space="preserve"> - Formal award, certificate or diploma (more than or equal to one year) 
</t>
    </r>
    <r>
      <rPr>
        <b/>
        <sz val="11"/>
        <color theme="1"/>
        <rFont val="Calibri"/>
        <family val="2"/>
        <scheme val="minor"/>
      </rPr>
      <t>01050</t>
    </r>
    <r>
      <rPr>
        <sz val="11"/>
        <color theme="1"/>
        <rFont val="Calibri"/>
        <family val="2"/>
        <scheme val="minor"/>
      </rPr>
      <t xml:space="preserve"> - Associate's degree (two years or more) 
</t>
    </r>
    <r>
      <rPr>
        <b/>
        <sz val="11"/>
        <color theme="1"/>
        <rFont val="Calibri"/>
        <family val="2"/>
        <scheme val="minor"/>
      </rPr>
      <t>73063</t>
    </r>
    <r>
      <rPr>
        <sz val="11"/>
        <color theme="1"/>
        <rFont val="Calibri"/>
        <family val="2"/>
        <scheme val="minor"/>
      </rPr>
      <t xml:space="preserve"> - Adult education certification, endorsement, or degree
</t>
    </r>
    <r>
      <rPr>
        <b/>
        <sz val="11"/>
        <color theme="1"/>
        <rFont val="Calibri"/>
        <family val="2"/>
        <scheme val="minor"/>
      </rPr>
      <t>01051</t>
    </r>
    <r>
      <rPr>
        <sz val="11"/>
        <color theme="1"/>
        <rFont val="Calibri"/>
        <family val="2"/>
        <scheme val="minor"/>
      </rPr>
      <t xml:space="preserve"> - Bachelor's (Baccalaureate) degree 
</t>
    </r>
    <r>
      <rPr>
        <b/>
        <sz val="11"/>
        <color theme="1"/>
        <rFont val="Calibri"/>
        <family val="2"/>
        <scheme val="minor"/>
      </rPr>
      <t>01054</t>
    </r>
    <r>
      <rPr>
        <sz val="11"/>
        <color theme="1"/>
        <rFont val="Calibri"/>
        <family val="2"/>
        <scheme val="minor"/>
      </rPr>
      <t xml:space="preserve"> - Master's degree (e.g., M.A., M.S., M. Eng., M.Ed., M.S.W., M.B.A., M.L.S.) 
</t>
    </r>
    <r>
      <rPr>
        <b/>
        <sz val="11"/>
        <color theme="1"/>
        <rFont val="Calibri"/>
        <family val="2"/>
        <scheme val="minor"/>
      </rPr>
      <t>01055</t>
    </r>
    <r>
      <rPr>
        <sz val="11"/>
        <color theme="1"/>
        <rFont val="Calibri"/>
        <family val="2"/>
        <scheme val="minor"/>
      </rPr>
      <t xml:space="preserve"> - Specialist's degree (e.g., Ed.S.) 
</t>
    </r>
    <r>
      <rPr>
        <b/>
        <sz val="11"/>
        <color theme="1"/>
        <rFont val="Calibri"/>
        <family val="2"/>
        <scheme val="minor"/>
      </rPr>
      <t>73081</t>
    </r>
    <r>
      <rPr>
        <sz val="11"/>
        <color theme="1"/>
        <rFont val="Calibri"/>
        <family val="2"/>
        <scheme val="minor"/>
      </rPr>
      <t xml:space="preserve"> - Post-master’s certificate
</t>
    </r>
    <r>
      <rPr>
        <b/>
        <sz val="11"/>
        <color theme="1"/>
        <rFont val="Calibri"/>
        <family val="2"/>
        <scheme val="minor"/>
      </rPr>
      <t>01052</t>
    </r>
    <r>
      <rPr>
        <sz val="11"/>
        <color theme="1"/>
        <rFont val="Calibri"/>
        <family val="2"/>
        <scheme val="minor"/>
      </rPr>
      <t xml:space="preserve"> - Graduate certificate 
</t>
    </r>
    <r>
      <rPr>
        <b/>
        <sz val="11"/>
        <color theme="1"/>
        <rFont val="Calibri"/>
        <family val="2"/>
        <scheme val="minor"/>
      </rPr>
      <t>01057</t>
    </r>
    <r>
      <rPr>
        <sz val="11"/>
        <color theme="1"/>
        <rFont val="Calibri"/>
        <family val="2"/>
        <scheme val="minor"/>
      </rPr>
      <t xml:space="preserve"> - Doctoral (Doctor's) degree 
</t>
    </r>
    <r>
      <rPr>
        <b/>
        <sz val="11"/>
        <color theme="1"/>
        <rFont val="Calibri"/>
        <family val="2"/>
        <scheme val="minor"/>
      </rPr>
      <t>01053</t>
    </r>
    <r>
      <rPr>
        <sz val="11"/>
        <color theme="1"/>
        <rFont val="Calibri"/>
        <family val="2"/>
        <scheme val="minor"/>
      </rPr>
      <t xml:space="preserve"> - First-professional degree 
</t>
    </r>
    <r>
      <rPr>
        <b/>
        <sz val="11"/>
        <color theme="1"/>
        <rFont val="Calibri"/>
        <family val="2"/>
        <scheme val="minor"/>
      </rPr>
      <t>01056</t>
    </r>
    <r>
      <rPr>
        <sz val="11"/>
        <color theme="1"/>
        <rFont val="Calibri"/>
        <family val="2"/>
        <scheme val="minor"/>
      </rPr>
      <t xml:space="preserve"> - Post-professional degree 
</t>
    </r>
    <r>
      <rPr>
        <b/>
        <sz val="11"/>
        <color theme="1"/>
        <rFont val="Calibri"/>
        <family val="2"/>
        <scheme val="minor"/>
      </rPr>
      <t>73082</t>
    </r>
    <r>
      <rPr>
        <sz val="11"/>
        <color theme="1"/>
        <rFont val="Calibri"/>
        <family val="2"/>
        <scheme val="minor"/>
      </rPr>
      <t xml:space="preserve"> - Doctor’s degree-research/scholarship
</t>
    </r>
    <r>
      <rPr>
        <b/>
        <sz val="11"/>
        <color theme="1"/>
        <rFont val="Calibri"/>
        <family val="2"/>
        <scheme val="minor"/>
      </rPr>
      <t>73083</t>
    </r>
    <r>
      <rPr>
        <sz val="11"/>
        <color theme="1"/>
        <rFont val="Calibri"/>
        <family val="2"/>
        <scheme val="minor"/>
      </rPr>
      <t xml:space="preserve"> - Doctor’s degree-professional practice
</t>
    </r>
    <r>
      <rPr>
        <b/>
        <sz val="11"/>
        <color theme="1"/>
        <rFont val="Calibri"/>
        <family val="2"/>
        <scheme val="minor"/>
      </rPr>
      <t>73084</t>
    </r>
    <r>
      <rPr>
        <sz val="11"/>
        <color theme="1"/>
        <rFont val="Calibri"/>
        <family val="2"/>
        <scheme val="minor"/>
      </rPr>
      <t xml:space="preserve"> - Doctor’s degree-other
</t>
    </r>
    <r>
      <rPr>
        <b/>
        <sz val="11"/>
        <color theme="1"/>
        <rFont val="Calibri"/>
        <family val="2"/>
        <scheme val="minor"/>
      </rPr>
      <t>73085</t>
    </r>
    <r>
      <rPr>
        <sz val="11"/>
        <color theme="1"/>
        <rFont val="Calibri"/>
        <family val="2"/>
        <scheme val="minor"/>
      </rPr>
      <t xml:space="preserve"> - Doctor’s degree-research/scholarship
</t>
    </r>
    <r>
      <rPr>
        <b/>
        <sz val="11"/>
        <color theme="1"/>
        <rFont val="Calibri"/>
        <family val="2"/>
        <scheme val="minor"/>
      </rPr>
      <t>09999</t>
    </r>
    <r>
      <rPr>
        <sz val="11"/>
        <color theme="1"/>
        <rFont val="Calibri"/>
        <family val="2"/>
        <scheme val="minor"/>
      </rPr>
      <t xml:space="preserve"> - Other
</t>
    </r>
  </si>
  <si>
    <r>
      <t>Participated</t>
    </r>
    <r>
      <rPr>
        <sz val="11"/>
        <color theme="1"/>
        <rFont val="Calibri"/>
        <family val="2"/>
        <scheme val="minor"/>
      </rPr>
      <t xml:space="preserve"> - Participated
</t>
    </r>
    <r>
      <rPr>
        <b/>
        <sz val="11"/>
        <color theme="1"/>
        <rFont val="Calibri"/>
        <family val="2"/>
        <scheme val="minor"/>
      </rPr>
      <t>DidNotParticipate</t>
    </r>
    <r>
      <rPr>
        <sz val="11"/>
        <color theme="1"/>
        <rFont val="Calibri"/>
        <family val="2"/>
        <scheme val="minor"/>
      </rPr>
      <t xml:space="preserve"> - Did Not Participate
</t>
    </r>
  </si>
  <si>
    <r>
      <t>ParentsOptOut</t>
    </r>
    <r>
      <rPr>
        <sz val="11"/>
        <color theme="1"/>
        <rFont val="Calibri"/>
        <family val="2"/>
        <scheme val="minor"/>
      </rPr>
      <t xml:space="preserve"> - Parents opt out
</t>
    </r>
    <r>
      <rPr>
        <b/>
        <sz val="11"/>
        <color theme="1"/>
        <rFont val="Calibri"/>
        <family val="2"/>
        <scheme val="minor"/>
      </rPr>
      <t>Absent</t>
    </r>
    <r>
      <rPr>
        <sz val="11"/>
        <color theme="1"/>
        <rFont val="Calibri"/>
        <family val="2"/>
        <scheme val="minor"/>
      </rPr>
      <t xml:space="preserve"> - Absent during
</t>
    </r>
    <r>
      <rPr>
        <b/>
        <sz val="11"/>
        <color theme="1"/>
        <rFont val="Calibri"/>
        <family val="2"/>
        <scheme val="minor"/>
      </rPr>
      <t>Other</t>
    </r>
    <r>
      <rPr>
        <sz val="11"/>
        <color theme="1"/>
        <rFont val="Calibri"/>
        <family val="2"/>
        <scheme val="minor"/>
      </rPr>
      <t xml:space="preserve"> - Did not participate for other reason
</t>
    </r>
    <r>
      <rPr>
        <b/>
        <sz val="11"/>
        <color theme="1"/>
        <rFont val="Calibri"/>
        <family val="2"/>
        <scheme val="minor"/>
      </rPr>
      <t>OutOfLevelTest</t>
    </r>
    <r>
      <rPr>
        <sz val="11"/>
        <color theme="1"/>
        <rFont val="Calibri"/>
        <family val="2"/>
        <scheme val="minor"/>
      </rPr>
      <t xml:space="preserve"> - Students who participated in an out of level test (not in accordance with ESEA as amended)
</t>
    </r>
    <r>
      <rPr>
        <b/>
        <sz val="11"/>
        <color theme="1"/>
        <rFont val="Calibri"/>
        <family val="2"/>
        <scheme val="minor"/>
      </rPr>
      <t>NoValidScore</t>
    </r>
    <r>
      <rPr>
        <sz val="11"/>
        <color theme="1"/>
        <rFont val="Calibri"/>
        <family val="2"/>
        <scheme val="minor"/>
      </rPr>
      <t xml:space="preserve"> - No valid score
</t>
    </r>
    <r>
      <rPr>
        <b/>
        <sz val="11"/>
        <color theme="1"/>
        <rFont val="Calibri"/>
        <family val="2"/>
        <scheme val="minor"/>
      </rPr>
      <t>Medical</t>
    </r>
    <r>
      <rPr>
        <sz val="11"/>
        <color theme="1"/>
        <rFont val="Calibri"/>
        <family val="2"/>
        <scheme val="minor"/>
      </rPr>
      <t xml:space="preserve"> - Medical emergency
</t>
    </r>
    <r>
      <rPr>
        <b/>
        <sz val="11"/>
        <color theme="1"/>
        <rFont val="Calibri"/>
        <family val="2"/>
        <scheme val="minor"/>
      </rPr>
      <t>Moved</t>
    </r>
    <r>
      <rPr>
        <sz val="11"/>
        <color theme="1"/>
        <rFont val="Calibri"/>
        <family val="2"/>
        <scheme val="minor"/>
      </rPr>
      <t xml:space="preserve"> - Moved
</t>
    </r>
    <r>
      <rPr>
        <b/>
        <sz val="11"/>
        <color theme="1"/>
        <rFont val="Calibri"/>
        <family val="2"/>
        <scheme val="minor"/>
      </rPr>
      <t>LeftProgram</t>
    </r>
    <r>
      <rPr>
        <sz val="11"/>
        <color theme="1"/>
        <rFont val="Calibri"/>
        <family val="2"/>
        <scheme val="minor"/>
      </rPr>
      <t xml:space="preserve"> - Person left program - unable to locate
</t>
    </r>
  </si>
  <si>
    <r>
      <t>13807</t>
    </r>
    <r>
      <rPr>
        <sz val="11"/>
        <color theme="1"/>
        <rFont val="Calibri"/>
        <family val="2"/>
        <scheme val="minor"/>
      </rPr>
      <t xml:space="preserve"> - Long-term suspension - non-special education
</t>
    </r>
    <r>
      <rPr>
        <b/>
        <sz val="11"/>
        <color theme="1"/>
        <rFont val="Calibri"/>
        <family val="2"/>
        <scheme val="minor"/>
      </rPr>
      <t>13808</t>
    </r>
    <r>
      <rPr>
        <sz val="11"/>
        <color theme="1"/>
        <rFont val="Calibri"/>
        <family val="2"/>
        <scheme val="minor"/>
      </rPr>
      <t xml:space="preserve"> - Short-term suspension - non-special education
</t>
    </r>
    <r>
      <rPr>
        <b/>
        <sz val="11"/>
        <color theme="1"/>
        <rFont val="Calibri"/>
        <family val="2"/>
        <scheme val="minor"/>
      </rPr>
      <t>13809</t>
    </r>
    <r>
      <rPr>
        <sz val="11"/>
        <color theme="1"/>
        <rFont val="Calibri"/>
        <family val="2"/>
        <scheme val="minor"/>
      </rPr>
      <t xml:space="preserve"> - Suspension - special education
</t>
    </r>
    <r>
      <rPr>
        <b/>
        <sz val="11"/>
        <color theme="1"/>
        <rFont val="Calibri"/>
        <family val="2"/>
        <scheme val="minor"/>
      </rPr>
      <t>13810</t>
    </r>
    <r>
      <rPr>
        <sz val="11"/>
        <color theme="1"/>
        <rFont val="Calibri"/>
        <family val="2"/>
        <scheme val="minor"/>
      </rPr>
      <t xml:space="preserve"> - Truancy - paperwork filed
</t>
    </r>
    <r>
      <rPr>
        <b/>
        <sz val="11"/>
        <color theme="1"/>
        <rFont val="Calibri"/>
        <family val="2"/>
        <scheme val="minor"/>
      </rPr>
      <t>13811</t>
    </r>
    <r>
      <rPr>
        <sz val="11"/>
        <color theme="1"/>
        <rFont val="Calibri"/>
        <family val="2"/>
        <scheme val="minor"/>
      </rPr>
      <t xml:space="preserve"> - Truancy - no paperwork filed
</t>
    </r>
    <r>
      <rPr>
        <b/>
        <sz val="11"/>
        <color theme="1"/>
        <rFont val="Calibri"/>
        <family val="2"/>
        <scheme val="minor"/>
      </rPr>
      <t>13812</t>
    </r>
    <r>
      <rPr>
        <sz val="11"/>
        <color theme="1"/>
        <rFont val="Calibri"/>
        <family val="2"/>
        <scheme val="minor"/>
      </rPr>
      <t xml:space="preserve"> - Earlier truancy
</t>
    </r>
    <r>
      <rPr>
        <b/>
        <sz val="11"/>
        <color theme="1"/>
        <rFont val="Calibri"/>
        <family val="2"/>
        <scheme val="minor"/>
      </rPr>
      <t>13813</t>
    </r>
    <r>
      <rPr>
        <sz val="11"/>
        <color theme="1"/>
        <rFont val="Calibri"/>
        <family val="2"/>
        <scheme val="minor"/>
      </rPr>
      <t xml:space="preserve"> - Chronic absences
</t>
    </r>
    <r>
      <rPr>
        <b/>
        <sz val="11"/>
        <color theme="1"/>
        <rFont val="Calibri"/>
        <family val="2"/>
        <scheme val="minor"/>
      </rPr>
      <t>13814</t>
    </r>
    <r>
      <rPr>
        <sz val="11"/>
        <color theme="1"/>
        <rFont val="Calibri"/>
        <family val="2"/>
        <scheme val="minor"/>
      </rPr>
      <t xml:space="preserve"> - Catastrophic illness or accident
</t>
    </r>
    <r>
      <rPr>
        <b/>
        <sz val="11"/>
        <color theme="1"/>
        <rFont val="Calibri"/>
        <family val="2"/>
        <scheme val="minor"/>
      </rPr>
      <t>13815</t>
    </r>
    <r>
      <rPr>
        <sz val="11"/>
        <color theme="1"/>
        <rFont val="Calibri"/>
        <family val="2"/>
        <scheme val="minor"/>
      </rPr>
      <t xml:space="preserve"> - Home schooled for assessed subjects
</t>
    </r>
    <r>
      <rPr>
        <b/>
        <sz val="11"/>
        <color theme="1"/>
        <rFont val="Calibri"/>
        <family val="2"/>
        <scheme val="minor"/>
      </rPr>
      <t>13816</t>
    </r>
    <r>
      <rPr>
        <sz val="11"/>
        <color theme="1"/>
        <rFont val="Calibri"/>
        <family val="2"/>
        <scheme val="minor"/>
      </rPr>
      <t xml:space="preserve"> - Student took this grade level assessment last year
</t>
    </r>
    <r>
      <rPr>
        <b/>
        <sz val="11"/>
        <color theme="1"/>
        <rFont val="Calibri"/>
        <family val="2"/>
        <scheme val="minor"/>
      </rPr>
      <t>13817</t>
    </r>
    <r>
      <rPr>
        <sz val="11"/>
        <color theme="1"/>
        <rFont val="Calibri"/>
        <family val="2"/>
        <scheme val="minor"/>
      </rPr>
      <t xml:space="preserve"> - Incarcerated at adult facility
</t>
    </r>
    <r>
      <rPr>
        <b/>
        <sz val="11"/>
        <color theme="1"/>
        <rFont val="Calibri"/>
        <family val="2"/>
        <scheme val="minor"/>
      </rPr>
      <t>13818</t>
    </r>
    <r>
      <rPr>
        <sz val="11"/>
        <color theme="1"/>
        <rFont val="Calibri"/>
        <family val="2"/>
        <scheme val="minor"/>
      </rPr>
      <t xml:space="preserve"> - Special treatment center
</t>
    </r>
    <r>
      <rPr>
        <b/>
        <sz val="11"/>
        <color theme="1"/>
        <rFont val="Calibri"/>
        <family val="2"/>
        <scheme val="minor"/>
      </rPr>
      <t>13819</t>
    </r>
    <r>
      <rPr>
        <sz val="11"/>
        <color theme="1"/>
        <rFont val="Calibri"/>
        <family val="2"/>
        <scheme val="minor"/>
      </rPr>
      <t xml:space="preserve"> - Special detention center
</t>
    </r>
    <r>
      <rPr>
        <b/>
        <sz val="11"/>
        <color theme="1"/>
        <rFont val="Calibri"/>
        <family val="2"/>
        <scheme val="minor"/>
      </rPr>
      <t>13820</t>
    </r>
    <r>
      <rPr>
        <sz val="11"/>
        <color theme="1"/>
        <rFont val="Calibri"/>
        <family val="2"/>
        <scheme val="minor"/>
      </rPr>
      <t xml:space="preserve"> - Parent refusal
</t>
    </r>
    <r>
      <rPr>
        <b/>
        <sz val="11"/>
        <color theme="1"/>
        <rFont val="Calibri"/>
        <family val="2"/>
        <scheme val="minor"/>
      </rPr>
      <t>13821</t>
    </r>
    <r>
      <rPr>
        <sz val="11"/>
        <color theme="1"/>
        <rFont val="Calibri"/>
        <family val="2"/>
        <scheme val="minor"/>
      </rPr>
      <t xml:space="preserve"> - Cheating
</t>
    </r>
    <r>
      <rPr>
        <b/>
        <sz val="11"/>
        <color theme="1"/>
        <rFont val="Calibri"/>
        <family val="2"/>
        <scheme val="minor"/>
      </rPr>
      <t>13822</t>
    </r>
    <r>
      <rPr>
        <sz val="11"/>
        <color theme="1"/>
        <rFont val="Calibri"/>
        <family val="2"/>
        <scheme val="minor"/>
      </rPr>
      <t xml:space="preserve"> - Psychological factors of emotional trauma
</t>
    </r>
    <r>
      <rPr>
        <b/>
        <sz val="11"/>
        <color theme="1"/>
        <rFont val="Calibri"/>
        <family val="2"/>
        <scheme val="minor"/>
      </rPr>
      <t>13823</t>
    </r>
    <r>
      <rPr>
        <sz val="11"/>
        <color theme="1"/>
        <rFont val="Calibri"/>
        <family val="2"/>
        <scheme val="minor"/>
      </rPr>
      <t xml:space="preserve"> - Student not showing adequate effort
</t>
    </r>
    <r>
      <rPr>
        <b/>
        <sz val="11"/>
        <color theme="1"/>
        <rFont val="Calibri"/>
        <family val="2"/>
        <scheme val="minor"/>
      </rPr>
      <t>13824</t>
    </r>
    <r>
      <rPr>
        <sz val="11"/>
        <color theme="1"/>
        <rFont val="Calibri"/>
        <family val="2"/>
        <scheme val="minor"/>
      </rPr>
      <t xml:space="preserve"> - Homebound
</t>
    </r>
    <r>
      <rPr>
        <b/>
        <sz val="11"/>
        <color theme="1"/>
        <rFont val="Calibri"/>
        <family val="2"/>
        <scheme val="minor"/>
      </rPr>
      <t>13825</t>
    </r>
    <r>
      <rPr>
        <sz val="11"/>
        <color theme="1"/>
        <rFont val="Calibri"/>
        <family val="2"/>
        <scheme val="minor"/>
      </rPr>
      <t xml:space="preserve"> - Foreign exchange student
</t>
    </r>
    <r>
      <rPr>
        <b/>
        <sz val="11"/>
        <color theme="1"/>
        <rFont val="Calibri"/>
        <family val="2"/>
        <scheme val="minor"/>
      </rPr>
      <t>13826</t>
    </r>
    <r>
      <rPr>
        <sz val="11"/>
        <color theme="1"/>
        <rFont val="Calibri"/>
        <family val="2"/>
        <scheme val="minor"/>
      </rPr>
      <t xml:space="preserve"> - Student refusal
</t>
    </r>
    <r>
      <rPr>
        <b/>
        <sz val="11"/>
        <color theme="1"/>
        <rFont val="Calibri"/>
        <family val="2"/>
        <scheme val="minor"/>
      </rPr>
      <t>13827</t>
    </r>
    <r>
      <rPr>
        <sz val="11"/>
        <color theme="1"/>
        <rFont val="Calibri"/>
        <family val="2"/>
        <scheme val="minor"/>
      </rPr>
      <t xml:space="preserve"> - Reading passage read to student (IEP)
</t>
    </r>
    <r>
      <rPr>
        <b/>
        <sz val="11"/>
        <color theme="1"/>
        <rFont val="Calibri"/>
        <family val="2"/>
        <scheme val="minor"/>
      </rPr>
      <t>13828</t>
    </r>
    <r>
      <rPr>
        <sz val="11"/>
        <color theme="1"/>
        <rFont val="Calibri"/>
        <family val="2"/>
        <scheme val="minor"/>
      </rPr>
      <t xml:space="preserve"> - Non-special education student used calculator on non-calculator items
</t>
    </r>
    <r>
      <rPr>
        <b/>
        <sz val="11"/>
        <color theme="1"/>
        <rFont val="Calibri"/>
        <family val="2"/>
        <scheme val="minor"/>
      </rPr>
      <t>13829</t>
    </r>
    <r>
      <rPr>
        <sz val="11"/>
        <color theme="1"/>
        <rFont val="Calibri"/>
        <family val="2"/>
        <scheme val="minor"/>
      </rPr>
      <t xml:space="preserve"> - Student used math journal (non-IEP)
</t>
    </r>
    <r>
      <rPr>
        <b/>
        <sz val="11"/>
        <color theme="1"/>
        <rFont val="Calibri"/>
        <family val="2"/>
        <scheme val="minor"/>
      </rPr>
      <t>13830</t>
    </r>
    <r>
      <rPr>
        <sz val="11"/>
        <color theme="1"/>
        <rFont val="Calibri"/>
        <family val="2"/>
        <scheme val="minor"/>
      </rPr>
      <t xml:space="preserve"> - Other reason for ineligibility
</t>
    </r>
    <r>
      <rPr>
        <b/>
        <sz val="11"/>
        <color theme="1"/>
        <rFont val="Calibri"/>
        <family val="2"/>
        <scheme val="minor"/>
      </rPr>
      <t>13831</t>
    </r>
    <r>
      <rPr>
        <sz val="11"/>
        <color theme="1"/>
        <rFont val="Calibri"/>
        <family val="2"/>
        <scheme val="minor"/>
      </rPr>
      <t xml:space="preserve"> - Other reason for nonparticipation
</t>
    </r>
    <r>
      <rPr>
        <b/>
        <sz val="11"/>
        <color theme="1"/>
        <rFont val="Calibri"/>
        <family val="2"/>
        <scheme val="minor"/>
      </rPr>
      <t>13832</t>
    </r>
    <r>
      <rPr>
        <sz val="11"/>
        <color theme="1"/>
        <rFont val="Calibri"/>
        <family val="2"/>
        <scheme val="minor"/>
      </rPr>
      <t xml:space="preserve"> - Left testing
</t>
    </r>
    <r>
      <rPr>
        <b/>
        <sz val="11"/>
        <color theme="1"/>
        <rFont val="Calibri"/>
        <family val="2"/>
        <scheme val="minor"/>
      </rPr>
      <t>13833</t>
    </r>
    <r>
      <rPr>
        <sz val="11"/>
        <color theme="1"/>
        <rFont val="Calibri"/>
        <family val="2"/>
        <scheme val="minor"/>
      </rPr>
      <t xml:space="preserve"> - Cross-enrolled
</t>
    </r>
    <r>
      <rPr>
        <b/>
        <sz val="11"/>
        <color theme="1"/>
        <rFont val="Calibri"/>
        <family val="2"/>
        <scheme val="minor"/>
      </rPr>
      <t>13834</t>
    </r>
    <r>
      <rPr>
        <sz val="11"/>
        <color theme="1"/>
        <rFont val="Calibri"/>
        <family val="2"/>
        <scheme val="minor"/>
      </rPr>
      <t xml:space="preserve"> - Only for writing
</t>
    </r>
    <r>
      <rPr>
        <b/>
        <sz val="11"/>
        <color theme="1"/>
        <rFont val="Calibri"/>
        <family val="2"/>
        <scheme val="minor"/>
      </rPr>
      <t>13835</t>
    </r>
    <r>
      <rPr>
        <sz val="11"/>
        <color theme="1"/>
        <rFont val="Calibri"/>
        <family val="2"/>
        <scheme val="minor"/>
      </rPr>
      <t xml:space="preserve"> - Administration or system failure
</t>
    </r>
    <r>
      <rPr>
        <b/>
        <sz val="11"/>
        <color theme="1"/>
        <rFont val="Calibri"/>
        <family val="2"/>
        <scheme val="minor"/>
      </rPr>
      <t>13836</t>
    </r>
    <r>
      <rPr>
        <sz val="11"/>
        <color theme="1"/>
        <rFont val="Calibri"/>
        <family val="2"/>
        <scheme val="minor"/>
      </rPr>
      <t xml:space="preserve"> - Teacher cheating or mis-admin
</t>
    </r>
    <r>
      <rPr>
        <b/>
        <sz val="11"/>
        <color theme="1"/>
        <rFont val="Calibri"/>
        <family val="2"/>
        <scheme val="minor"/>
      </rPr>
      <t>13837</t>
    </r>
    <r>
      <rPr>
        <sz val="11"/>
        <color theme="1"/>
        <rFont val="Calibri"/>
        <family val="2"/>
        <scheme val="minor"/>
      </rPr>
      <t xml:space="preserve"> - Fire alarm
</t>
    </r>
    <r>
      <rPr>
        <b/>
        <sz val="11"/>
        <color theme="1"/>
        <rFont val="Calibri"/>
        <family val="2"/>
        <scheme val="minor"/>
      </rPr>
      <t>09999</t>
    </r>
    <r>
      <rPr>
        <sz val="11"/>
        <color theme="1"/>
        <rFont val="Calibri"/>
        <family val="2"/>
        <scheme val="minor"/>
      </rPr>
      <t xml:space="preserve"> - Other
</t>
    </r>
  </si>
  <si>
    <r>
      <t>GradeLevel</t>
    </r>
    <r>
      <rPr>
        <sz val="11"/>
        <color theme="1"/>
        <rFont val="Calibri"/>
        <family val="2"/>
        <scheme val="minor"/>
      </rPr>
      <t xml:space="preserve"> - At or above Grade Level
</t>
    </r>
    <r>
      <rPr>
        <b/>
        <sz val="11"/>
        <color theme="1"/>
        <rFont val="Calibri"/>
        <family val="2"/>
        <scheme val="minor"/>
      </rPr>
      <t>BelowGradeLevel</t>
    </r>
    <r>
      <rPr>
        <sz val="11"/>
        <color theme="1"/>
        <rFont val="Calibri"/>
        <family val="2"/>
        <scheme val="minor"/>
      </rPr>
      <t xml:space="preserve"> - Below Grade Level
</t>
    </r>
    <r>
      <rPr>
        <b/>
        <sz val="11"/>
        <color theme="1"/>
        <rFont val="Calibri"/>
        <family val="2"/>
        <scheme val="minor"/>
      </rPr>
      <t>NA</t>
    </r>
    <r>
      <rPr>
        <sz val="11"/>
        <color theme="1"/>
        <rFont val="Calibri"/>
        <family val="2"/>
        <scheme val="minor"/>
      </rPr>
      <t xml:space="preserve"> - Not applicable
</t>
    </r>
  </si>
  <si>
    <r>
      <t>AchievementTest</t>
    </r>
    <r>
      <rPr>
        <sz val="11"/>
        <color theme="1"/>
        <rFont val="Calibri"/>
        <family val="2"/>
        <scheme val="minor"/>
      </rPr>
      <t xml:space="preserve"> - Achievement test
</t>
    </r>
    <r>
      <rPr>
        <b/>
        <sz val="11"/>
        <color theme="1"/>
        <rFont val="Calibri"/>
        <family val="2"/>
        <scheme val="minor"/>
      </rPr>
      <t>AdvancedPlacementTest</t>
    </r>
    <r>
      <rPr>
        <sz val="11"/>
        <color theme="1"/>
        <rFont val="Calibri"/>
        <family val="2"/>
        <scheme val="minor"/>
      </rPr>
      <t xml:space="preserve"> - Advanced placement test
</t>
    </r>
    <r>
      <rPr>
        <b/>
        <sz val="11"/>
        <color theme="1"/>
        <rFont val="Calibri"/>
        <family val="2"/>
        <scheme val="minor"/>
      </rPr>
      <t>AlternateAssessmentELL</t>
    </r>
    <r>
      <rPr>
        <sz val="11"/>
        <color theme="1"/>
        <rFont val="Calibri"/>
        <family val="2"/>
        <scheme val="minor"/>
      </rPr>
      <t xml:space="preserve"> - Alternate assessment/ELL
</t>
    </r>
    <r>
      <rPr>
        <b/>
        <sz val="11"/>
        <color theme="1"/>
        <rFont val="Calibri"/>
        <family val="2"/>
        <scheme val="minor"/>
      </rPr>
      <t>AlternateAssessmentGradeLevelStandards</t>
    </r>
    <r>
      <rPr>
        <sz val="11"/>
        <color theme="1"/>
        <rFont val="Calibri"/>
        <family val="2"/>
        <scheme val="minor"/>
      </rPr>
      <t xml:space="preserve"> - Alternate assessment/grade-level standards
</t>
    </r>
    <r>
      <rPr>
        <b/>
        <sz val="11"/>
        <color theme="1"/>
        <rFont val="Calibri"/>
        <family val="2"/>
        <scheme val="minor"/>
      </rPr>
      <t>AlternativeAssessmentModifiedStandards</t>
    </r>
    <r>
      <rPr>
        <sz val="11"/>
        <color theme="1"/>
        <rFont val="Calibri"/>
        <family val="2"/>
        <scheme val="minor"/>
      </rPr>
      <t xml:space="preserve"> - Alternative assessment/modified standards
</t>
    </r>
    <r>
      <rPr>
        <b/>
        <sz val="11"/>
        <color theme="1"/>
        <rFont val="Calibri"/>
        <family val="2"/>
        <scheme val="minor"/>
      </rPr>
      <t>AptitudeTest</t>
    </r>
    <r>
      <rPr>
        <sz val="11"/>
        <color theme="1"/>
        <rFont val="Calibri"/>
        <family val="2"/>
        <scheme val="minor"/>
      </rPr>
      <t xml:space="preserve"> - Aptitude Test
</t>
    </r>
    <r>
      <rPr>
        <b/>
        <sz val="11"/>
        <color theme="1"/>
        <rFont val="Calibri"/>
        <family val="2"/>
        <scheme val="minor"/>
      </rPr>
      <t>Benchmark</t>
    </r>
    <r>
      <rPr>
        <sz val="11"/>
        <color theme="1"/>
        <rFont val="Calibri"/>
        <family val="2"/>
        <scheme val="minor"/>
      </rPr>
      <t xml:space="preserve"> - Benchmark
</t>
    </r>
    <r>
      <rPr>
        <b/>
        <sz val="11"/>
        <color theme="1"/>
        <rFont val="Calibri"/>
        <family val="2"/>
        <scheme val="minor"/>
      </rPr>
      <t>CognitiveAndPerceptualSkills</t>
    </r>
    <r>
      <rPr>
        <sz val="11"/>
        <color theme="1"/>
        <rFont val="Calibri"/>
        <family val="2"/>
        <scheme val="minor"/>
      </rPr>
      <t xml:space="preserve"> - Cognitive and perceptual skills test
</t>
    </r>
    <r>
      <rPr>
        <b/>
        <sz val="11"/>
        <color theme="1"/>
        <rFont val="Calibri"/>
        <family val="2"/>
        <scheme val="minor"/>
      </rPr>
      <t>ComputerAdaptiveTest</t>
    </r>
    <r>
      <rPr>
        <sz val="11"/>
        <color theme="1"/>
        <rFont val="Calibri"/>
        <family val="2"/>
        <scheme val="minor"/>
      </rPr>
      <t xml:space="preserve"> - Computer Adaptive Test
</t>
    </r>
    <r>
      <rPr>
        <b/>
        <sz val="11"/>
        <color theme="1"/>
        <rFont val="Calibri"/>
        <family val="2"/>
        <scheme val="minor"/>
      </rPr>
      <t>DevelopmentalObservation</t>
    </r>
    <r>
      <rPr>
        <sz val="11"/>
        <color theme="1"/>
        <rFont val="Calibri"/>
        <family val="2"/>
        <scheme val="minor"/>
      </rPr>
      <t xml:space="preserve"> - Developmental observation
</t>
    </r>
    <r>
      <rPr>
        <b/>
        <sz val="11"/>
        <color theme="1"/>
        <rFont val="Calibri"/>
        <family val="2"/>
        <scheme val="minor"/>
      </rPr>
      <t>Diagnostic</t>
    </r>
    <r>
      <rPr>
        <sz val="11"/>
        <color theme="1"/>
        <rFont val="Calibri"/>
        <family val="2"/>
        <scheme val="minor"/>
      </rPr>
      <t xml:space="preserve"> - Diagnostic
</t>
    </r>
    <r>
      <rPr>
        <b/>
        <sz val="11"/>
        <color theme="1"/>
        <rFont val="Calibri"/>
        <family val="2"/>
        <scheme val="minor"/>
      </rPr>
      <t>DirectAssessment</t>
    </r>
    <r>
      <rPr>
        <sz val="11"/>
        <color theme="1"/>
        <rFont val="Calibri"/>
        <family val="2"/>
        <scheme val="minor"/>
      </rPr>
      <t xml:space="preserve"> - Direct Assessment
</t>
    </r>
    <r>
      <rPr>
        <b/>
        <sz val="11"/>
        <color theme="1"/>
        <rFont val="Calibri"/>
        <family val="2"/>
        <scheme val="minor"/>
      </rPr>
      <t>Formative</t>
    </r>
    <r>
      <rPr>
        <sz val="11"/>
        <color theme="1"/>
        <rFont val="Calibri"/>
        <family val="2"/>
        <scheme val="minor"/>
      </rPr>
      <t xml:space="preserve"> - Formative
</t>
    </r>
    <r>
      <rPr>
        <b/>
        <sz val="11"/>
        <color theme="1"/>
        <rFont val="Calibri"/>
        <family val="2"/>
        <scheme val="minor"/>
      </rPr>
      <t>GrowthMeasure</t>
    </r>
    <r>
      <rPr>
        <sz val="11"/>
        <color theme="1"/>
        <rFont val="Calibri"/>
        <family val="2"/>
        <scheme val="minor"/>
      </rPr>
      <t xml:space="preserve"> - Growth Measure
</t>
    </r>
    <r>
      <rPr>
        <b/>
        <sz val="11"/>
        <color theme="1"/>
        <rFont val="Calibri"/>
        <family val="2"/>
        <scheme val="minor"/>
      </rPr>
      <t>Interim</t>
    </r>
    <r>
      <rPr>
        <sz val="11"/>
        <color theme="1"/>
        <rFont val="Calibri"/>
        <family val="2"/>
        <scheme val="minor"/>
      </rPr>
      <t xml:space="preserve"> - Interim
</t>
    </r>
    <r>
      <rPr>
        <b/>
        <sz val="11"/>
        <color theme="1"/>
        <rFont val="Calibri"/>
        <family val="2"/>
        <scheme val="minor"/>
      </rPr>
      <t>KindergartenReadiness</t>
    </r>
    <r>
      <rPr>
        <sz val="11"/>
        <color theme="1"/>
        <rFont val="Calibri"/>
        <family val="2"/>
        <scheme val="minor"/>
      </rPr>
      <t xml:space="preserve"> - Kindergarten Readiness
</t>
    </r>
    <r>
      <rPr>
        <b/>
        <sz val="11"/>
        <color theme="1"/>
        <rFont val="Calibri"/>
        <family val="2"/>
        <scheme val="minor"/>
      </rPr>
      <t>LanguageProficiency</t>
    </r>
    <r>
      <rPr>
        <sz val="11"/>
        <color theme="1"/>
        <rFont val="Calibri"/>
        <family val="2"/>
        <scheme val="minor"/>
      </rPr>
      <t xml:space="preserve"> - Language proficiency test
</t>
    </r>
    <r>
      <rPr>
        <b/>
        <sz val="11"/>
        <color theme="1"/>
        <rFont val="Calibri"/>
        <family val="2"/>
        <scheme val="minor"/>
      </rPr>
      <t>MentalAbility</t>
    </r>
    <r>
      <rPr>
        <sz val="11"/>
        <color theme="1"/>
        <rFont val="Calibri"/>
        <family val="2"/>
        <scheme val="minor"/>
      </rPr>
      <t xml:space="preserve"> - Mental ability (intelligence) test
</t>
    </r>
    <r>
      <rPr>
        <b/>
        <sz val="11"/>
        <color theme="1"/>
        <rFont val="Calibri"/>
        <family val="2"/>
        <scheme val="minor"/>
      </rPr>
      <t>Observation</t>
    </r>
    <r>
      <rPr>
        <sz val="11"/>
        <color theme="1"/>
        <rFont val="Calibri"/>
        <family val="2"/>
        <scheme val="minor"/>
      </rPr>
      <t xml:space="preserve"> - Observation
</t>
    </r>
    <r>
      <rPr>
        <b/>
        <sz val="11"/>
        <color theme="1"/>
        <rFont val="Calibri"/>
        <family val="2"/>
        <scheme val="minor"/>
      </rPr>
      <t>ParentReport</t>
    </r>
    <r>
      <rPr>
        <sz val="11"/>
        <color theme="1"/>
        <rFont val="Calibri"/>
        <family val="2"/>
        <scheme val="minor"/>
      </rPr>
      <t xml:space="preserve"> - Parent Report
</t>
    </r>
    <r>
      <rPr>
        <b/>
        <sz val="11"/>
        <color theme="1"/>
        <rFont val="Calibri"/>
        <family val="2"/>
        <scheme val="minor"/>
      </rPr>
      <t>PerformanceAssessment</t>
    </r>
    <r>
      <rPr>
        <sz val="11"/>
        <color theme="1"/>
        <rFont val="Calibri"/>
        <family val="2"/>
        <scheme val="minor"/>
      </rPr>
      <t xml:space="preserve"> - Performance assessment
</t>
    </r>
    <r>
      <rPr>
        <b/>
        <sz val="11"/>
        <color theme="1"/>
        <rFont val="Calibri"/>
        <family val="2"/>
        <scheme val="minor"/>
      </rPr>
      <t>PortfolioAssessment</t>
    </r>
    <r>
      <rPr>
        <sz val="11"/>
        <color theme="1"/>
        <rFont val="Calibri"/>
        <family val="2"/>
        <scheme val="minor"/>
      </rPr>
      <t xml:space="preserve"> - Portfolio assessment
</t>
    </r>
    <r>
      <rPr>
        <b/>
        <sz val="11"/>
        <color theme="1"/>
        <rFont val="Calibri"/>
        <family val="2"/>
        <scheme val="minor"/>
      </rPr>
      <t>PrekindergartenReadiness</t>
    </r>
    <r>
      <rPr>
        <sz val="11"/>
        <color theme="1"/>
        <rFont val="Calibri"/>
        <family val="2"/>
        <scheme val="minor"/>
      </rPr>
      <t xml:space="preserve"> - Prekindergarten Readiness
</t>
    </r>
    <r>
      <rPr>
        <b/>
        <sz val="11"/>
        <color theme="1"/>
        <rFont val="Calibri"/>
        <family val="2"/>
        <scheme val="minor"/>
      </rPr>
      <t>ReadingReadiness</t>
    </r>
    <r>
      <rPr>
        <sz val="11"/>
        <color theme="1"/>
        <rFont val="Calibri"/>
        <family val="2"/>
        <scheme val="minor"/>
      </rPr>
      <t xml:space="preserve"> - Reading readiness test
</t>
    </r>
    <r>
      <rPr>
        <b/>
        <sz val="11"/>
        <color theme="1"/>
        <rFont val="Calibri"/>
        <family val="2"/>
        <scheme val="minor"/>
      </rPr>
      <t>Screening</t>
    </r>
    <r>
      <rPr>
        <sz val="11"/>
        <color theme="1"/>
        <rFont val="Calibri"/>
        <family val="2"/>
        <scheme val="minor"/>
      </rPr>
      <t xml:space="preserve"> - Screening
</t>
    </r>
    <r>
      <rPr>
        <b/>
        <sz val="11"/>
        <color theme="1"/>
        <rFont val="Calibri"/>
        <family val="2"/>
        <scheme val="minor"/>
      </rPr>
      <t>TeacherReport</t>
    </r>
    <r>
      <rPr>
        <sz val="11"/>
        <color theme="1"/>
        <rFont val="Calibri"/>
        <family val="2"/>
        <scheme val="minor"/>
      </rPr>
      <t xml:space="preserve"> - Teacher Report
</t>
    </r>
    <r>
      <rPr>
        <b/>
        <sz val="11"/>
        <color theme="1"/>
        <rFont val="Calibri"/>
        <family val="2"/>
        <scheme val="minor"/>
      </rPr>
      <t>Other</t>
    </r>
    <r>
      <rPr>
        <sz val="11"/>
        <color theme="1"/>
        <rFont val="Calibri"/>
        <family val="2"/>
        <scheme val="minor"/>
      </rPr>
      <t xml:space="preserve"> - Other
</t>
    </r>
  </si>
  <si>
    <r>
      <t>REGASSWOACC</t>
    </r>
    <r>
      <rPr>
        <sz val="11"/>
        <color theme="1"/>
        <rFont val="Calibri"/>
        <family val="2"/>
        <scheme val="minor"/>
      </rPr>
      <t xml:space="preserve"> - Regular assessments based on grade-level achievement standards without accommodations
</t>
    </r>
    <r>
      <rPr>
        <b/>
        <sz val="11"/>
        <color theme="1"/>
        <rFont val="Calibri"/>
        <family val="2"/>
        <scheme val="minor"/>
      </rPr>
      <t>REGASSWACC</t>
    </r>
    <r>
      <rPr>
        <sz val="11"/>
        <color theme="1"/>
        <rFont val="Calibri"/>
        <family val="2"/>
        <scheme val="minor"/>
      </rPr>
      <t xml:space="preserve"> - Regular assessments based on grade-level achievement standards with accommodations
</t>
    </r>
    <r>
      <rPr>
        <b/>
        <sz val="11"/>
        <color theme="1"/>
        <rFont val="Calibri"/>
        <family val="2"/>
        <scheme val="minor"/>
      </rPr>
      <t>ALTASSGRADELVL</t>
    </r>
    <r>
      <rPr>
        <sz val="11"/>
        <color theme="1"/>
        <rFont val="Calibri"/>
        <family val="2"/>
        <scheme val="minor"/>
      </rPr>
      <t xml:space="preserve"> - Alternate assessments based on grade-level achievement standards
</t>
    </r>
    <r>
      <rPr>
        <b/>
        <sz val="11"/>
        <color theme="1"/>
        <rFont val="Calibri"/>
        <family val="2"/>
        <scheme val="minor"/>
      </rPr>
      <t>ALTASSMODACH</t>
    </r>
    <r>
      <rPr>
        <sz val="11"/>
        <color theme="1"/>
        <rFont val="Calibri"/>
        <family val="2"/>
        <scheme val="minor"/>
      </rPr>
      <t xml:space="preserve"> - Alternate assessments based on modified achievement standards
</t>
    </r>
    <r>
      <rPr>
        <b/>
        <sz val="11"/>
        <color theme="1"/>
        <rFont val="Calibri"/>
        <family val="2"/>
        <scheme val="minor"/>
      </rPr>
      <t>ALTASSALTACH</t>
    </r>
    <r>
      <rPr>
        <sz val="11"/>
        <color theme="1"/>
        <rFont val="Calibri"/>
        <family val="2"/>
        <scheme val="minor"/>
      </rPr>
      <t xml:space="preserve"> - Alternate assessments based on alternate achievement standards
</t>
    </r>
    <r>
      <rPr>
        <b/>
        <sz val="11"/>
        <color theme="1"/>
        <rFont val="Calibri"/>
        <family val="2"/>
        <scheme val="minor"/>
      </rPr>
      <t>AgeLevelWithoutAccommodations</t>
    </r>
    <r>
      <rPr>
        <sz val="11"/>
        <color theme="1"/>
        <rFont val="Calibri"/>
        <family val="2"/>
        <scheme val="minor"/>
      </rPr>
      <t xml:space="preserve"> - Assessment based on age level standards without accommodations
</t>
    </r>
    <r>
      <rPr>
        <b/>
        <sz val="11"/>
        <color theme="1"/>
        <rFont val="Calibri"/>
        <family val="2"/>
        <scheme val="minor"/>
      </rPr>
      <t>AgeLevelWithAccommodations</t>
    </r>
    <r>
      <rPr>
        <sz val="11"/>
        <color theme="1"/>
        <rFont val="Calibri"/>
        <family val="2"/>
        <scheme val="minor"/>
      </rPr>
      <t xml:space="preserve"> - Assessment based on age level standards with accommodations
</t>
    </r>
    <r>
      <rPr>
        <b/>
        <sz val="11"/>
        <color theme="1"/>
        <rFont val="Calibri"/>
        <family val="2"/>
        <scheme val="minor"/>
      </rPr>
      <t>BelowAgeLevelWithoutAccommodations</t>
    </r>
    <r>
      <rPr>
        <sz val="11"/>
        <color theme="1"/>
        <rFont val="Calibri"/>
        <family val="2"/>
        <scheme val="minor"/>
      </rPr>
      <t xml:space="preserve"> - Assessment based on standards below age level without accommodations
</t>
    </r>
    <r>
      <rPr>
        <b/>
        <sz val="11"/>
        <color theme="1"/>
        <rFont val="Calibri"/>
        <family val="2"/>
        <scheme val="minor"/>
      </rPr>
      <t>BelowAgeLevelWithAccommodations</t>
    </r>
    <r>
      <rPr>
        <sz val="11"/>
        <color theme="1"/>
        <rFont val="Calibri"/>
        <family val="2"/>
        <scheme val="minor"/>
      </rPr>
      <t xml:space="preserve"> - Assessment based on standards below age level with accommodations
</t>
    </r>
  </si>
  <si>
    <r>
      <t>DailyAttendance</t>
    </r>
    <r>
      <rPr>
        <sz val="11"/>
        <color theme="1"/>
        <rFont val="Calibri"/>
        <family val="2"/>
        <scheme val="minor"/>
      </rPr>
      <t xml:space="preserve"> - Daily attendance
</t>
    </r>
    <r>
      <rPr>
        <b/>
        <sz val="11"/>
        <color theme="1"/>
        <rFont val="Calibri"/>
        <family val="2"/>
        <scheme val="minor"/>
      </rPr>
      <t>ClassSectionAttendance</t>
    </r>
    <r>
      <rPr>
        <sz val="11"/>
        <color theme="1"/>
        <rFont val="Calibri"/>
        <family val="2"/>
        <scheme val="minor"/>
      </rPr>
      <t xml:space="preserve"> - Class/section attendance
</t>
    </r>
    <r>
      <rPr>
        <b/>
        <sz val="11"/>
        <color theme="1"/>
        <rFont val="Calibri"/>
        <family val="2"/>
        <scheme val="minor"/>
      </rPr>
      <t>ProgramAttendance</t>
    </r>
    <r>
      <rPr>
        <sz val="11"/>
        <color theme="1"/>
        <rFont val="Calibri"/>
        <family val="2"/>
        <scheme val="minor"/>
      </rPr>
      <t xml:space="preserve"> - Program attendance
</t>
    </r>
    <r>
      <rPr>
        <b/>
        <sz val="11"/>
        <color theme="1"/>
        <rFont val="Calibri"/>
        <family val="2"/>
        <scheme val="minor"/>
      </rPr>
      <t>ExtracurricularAttendance</t>
    </r>
    <r>
      <rPr>
        <sz val="11"/>
        <color theme="1"/>
        <rFont val="Calibri"/>
        <family val="2"/>
        <scheme val="minor"/>
      </rPr>
      <t xml:space="preserve"> - Extracurricular attendance
</t>
    </r>
  </si>
  <si>
    <r>
      <t>Present</t>
    </r>
    <r>
      <rPr>
        <sz val="11"/>
        <color theme="1"/>
        <rFont val="Calibri"/>
        <family val="2"/>
        <scheme val="minor"/>
      </rPr>
      <t xml:space="preserve"> - Present
</t>
    </r>
    <r>
      <rPr>
        <b/>
        <sz val="11"/>
        <color theme="1"/>
        <rFont val="Calibri"/>
        <family val="2"/>
        <scheme val="minor"/>
      </rPr>
      <t>ExcusedAbsence</t>
    </r>
    <r>
      <rPr>
        <sz val="11"/>
        <color theme="1"/>
        <rFont val="Calibri"/>
        <family val="2"/>
        <scheme val="minor"/>
      </rPr>
      <t xml:space="preserve"> - Excused Absence
</t>
    </r>
    <r>
      <rPr>
        <b/>
        <sz val="11"/>
        <color theme="1"/>
        <rFont val="Calibri"/>
        <family val="2"/>
        <scheme val="minor"/>
      </rPr>
      <t>UnexcusedAbsence</t>
    </r>
    <r>
      <rPr>
        <sz val="11"/>
        <color theme="1"/>
        <rFont val="Calibri"/>
        <family val="2"/>
        <scheme val="minor"/>
      </rPr>
      <t xml:space="preserve"> - Unexcused Absence
</t>
    </r>
    <r>
      <rPr>
        <b/>
        <sz val="11"/>
        <color theme="1"/>
        <rFont val="Calibri"/>
        <family val="2"/>
        <scheme val="minor"/>
      </rPr>
      <t>Tardy</t>
    </r>
    <r>
      <rPr>
        <sz val="11"/>
        <color theme="1"/>
        <rFont val="Calibri"/>
        <family val="2"/>
        <scheme val="minor"/>
      </rPr>
      <t xml:space="preserve"> - Tardy
</t>
    </r>
    <r>
      <rPr>
        <b/>
        <sz val="11"/>
        <color theme="1"/>
        <rFont val="Calibri"/>
        <family val="2"/>
        <scheme val="minor"/>
      </rPr>
      <t>EarlyDeparture</t>
    </r>
    <r>
      <rPr>
        <sz val="11"/>
        <color theme="1"/>
        <rFont val="Calibri"/>
        <family val="2"/>
        <scheme val="minor"/>
      </rPr>
      <t xml:space="preserve"> - Early Departure
</t>
    </r>
  </si>
  <si>
    <r>
      <t>Eligibility</t>
    </r>
    <r>
      <rPr>
        <sz val="11"/>
        <color theme="1"/>
        <rFont val="Calibri"/>
        <family val="2"/>
        <scheme val="minor"/>
      </rPr>
      <t xml:space="preserve"> - Eligibility for homeless services
</t>
    </r>
    <r>
      <rPr>
        <b/>
        <sz val="11"/>
        <color theme="1"/>
        <rFont val="Calibri"/>
        <family val="2"/>
        <scheme val="minor"/>
      </rPr>
      <t>SchoolSelection</t>
    </r>
    <r>
      <rPr>
        <sz val="11"/>
        <color theme="1"/>
        <rFont val="Calibri"/>
        <family val="2"/>
        <scheme val="minor"/>
      </rPr>
      <t xml:space="preserve"> - School selection
</t>
    </r>
    <r>
      <rPr>
        <b/>
        <sz val="11"/>
        <color theme="1"/>
        <rFont val="Calibri"/>
        <family val="2"/>
        <scheme val="minor"/>
      </rPr>
      <t>Transportation</t>
    </r>
    <r>
      <rPr>
        <sz val="11"/>
        <color theme="1"/>
        <rFont val="Calibri"/>
        <family val="2"/>
        <scheme val="minor"/>
      </rPr>
      <t xml:space="preserve"> - Transportation
</t>
    </r>
    <r>
      <rPr>
        <b/>
        <sz val="11"/>
        <color theme="1"/>
        <rFont val="Calibri"/>
        <family val="2"/>
        <scheme val="minor"/>
      </rPr>
      <t>SchoolRecords</t>
    </r>
    <r>
      <rPr>
        <sz val="11"/>
        <color theme="1"/>
        <rFont val="Calibri"/>
        <family val="2"/>
        <scheme val="minor"/>
      </rPr>
      <t xml:space="preserve"> - School records
</t>
    </r>
    <r>
      <rPr>
        <b/>
        <sz val="11"/>
        <color theme="1"/>
        <rFont val="Calibri"/>
        <family val="2"/>
        <scheme val="minor"/>
      </rPr>
      <t>Immunizations</t>
    </r>
    <r>
      <rPr>
        <sz val="11"/>
        <color theme="1"/>
        <rFont val="Calibri"/>
        <family val="2"/>
        <scheme val="minor"/>
      </rPr>
      <t xml:space="preserve"> - Immunizations
</t>
    </r>
    <r>
      <rPr>
        <b/>
        <sz val="11"/>
        <color theme="1"/>
        <rFont val="Calibri"/>
        <family val="2"/>
        <scheme val="minor"/>
      </rPr>
      <t>OtherMedicalRecords</t>
    </r>
    <r>
      <rPr>
        <sz val="11"/>
        <color theme="1"/>
        <rFont val="Calibri"/>
        <family val="2"/>
        <scheme val="minor"/>
      </rPr>
      <t xml:space="preserve"> - Other medical records
</t>
    </r>
    <r>
      <rPr>
        <b/>
        <sz val="11"/>
        <color theme="1"/>
        <rFont val="Calibri"/>
        <family val="2"/>
        <scheme val="minor"/>
      </rPr>
      <t>OtherBarriers</t>
    </r>
    <r>
      <rPr>
        <sz val="11"/>
        <color theme="1"/>
        <rFont val="Calibri"/>
        <family val="2"/>
        <scheme val="minor"/>
      </rPr>
      <t xml:space="preserve"> - Other barriers
</t>
    </r>
  </si>
  <si>
    <r>
      <t>Rotation</t>
    </r>
    <r>
      <rPr>
        <sz val="11"/>
        <color theme="1"/>
        <rFont val="Calibri"/>
        <family val="2"/>
        <scheme val="minor"/>
      </rPr>
      <t xml:space="preserve"> - Rotation model
</t>
    </r>
    <r>
      <rPr>
        <b/>
        <sz val="11"/>
        <color theme="1"/>
        <rFont val="Calibri"/>
        <family val="2"/>
        <scheme val="minor"/>
      </rPr>
      <t>FlexModel</t>
    </r>
    <r>
      <rPr>
        <sz val="11"/>
        <color theme="1"/>
        <rFont val="Calibri"/>
        <family val="2"/>
        <scheme val="minor"/>
      </rPr>
      <t xml:space="preserve"> - Flex model
</t>
    </r>
    <r>
      <rPr>
        <b/>
        <sz val="11"/>
        <color theme="1"/>
        <rFont val="Calibri"/>
        <family val="2"/>
        <scheme val="minor"/>
      </rPr>
      <t>ALaCarte</t>
    </r>
    <r>
      <rPr>
        <sz val="11"/>
        <color theme="1"/>
        <rFont val="Calibri"/>
        <family val="2"/>
        <scheme val="minor"/>
      </rPr>
      <t xml:space="preserve"> - A La Carte model
</t>
    </r>
    <r>
      <rPr>
        <b/>
        <sz val="11"/>
        <color theme="1"/>
        <rFont val="Calibri"/>
        <family val="2"/>
        <scheme val="minor"/>
      </rPr>
      <t>EnrichedVirtual</t>
    </r>
    <r>
      <rPr>
        <sz val="11"/>
        <color theme="1"/>
        <rFont val="Calibri"/>
        <family val="2"/>
        <scheme val="minor"/>
      </rPr>
      <t xml:space="preserve"> - Enriched Virtual model
</t>
    </r>
  </si>
  <si>
    <r>
      <t>13700</t>
    </r>
    <r>
      <rPr>
        <sz val="11"/>
        <color theme="1"/>
        <rFont val="Calibri"/>
        <family val="2"/>
        <scheme val="minor"/>
      </rPr>
      <t xml:space="preserve"> - Administrative building
</t>
    </r>
    <r>
      <rPr>
        <b/>
        <sz val="11"/>
        <color theme="1"/>
        <rFont val="Calibri"/>
        <family val="2"/>
        <scheme val="minor"/>
      </rPr>
      <t>13699</t>
    </r>
    <r>
      <rPr>
        <sz val="11"/>
        <color theme="1"/>
        <rFont val="Calibri"/>
        <family val="2"/>
        <scheme val="minor"/>
      </rPr>
      <t xml:space="preserve"> - Alternative school
</t>
    </r>
    <r>
      <rPr>
        <b/>
        <sz val="11"/>
        <color theme="1"/>
        <rFont val="Calibri"/>
        <family val="2"/>
        <scheme val="minor"/>
      </rPr>
      <t>02621</t>
    </r>
    <r>
      <rPr>
        <sz val="11"/>
        <color theme="1"/>
        <rFont val="Calibri"/>
        <family val="2"/>
        <scheme val="minor"/>
      </rPr>
      <t xml:space="preserve"> - Assembly building
</t>
    </r>
    <r>
      <rPr>
        <b/>
        <sz val="11"/>
        <color theme="1"/>
        <rFont val="Calibri"/>
        <family val="2"/>
        <scheme val="minor"/>
      </rPr>
      <t>02614</t>
    </r>
    <r>
      <rPr>
        <sz val="11"/>
        <color theme="1"/>
        <rFont val="Calibri"/>
        <family val="2"/>
        <scheme val="minor"/>
      </rPr>
      <t xml:space="preserve"> - Central kitchen building
</t>
    </r>
    <r>
      <rPr>
        <b/>
        <sz val="11"/>
        <color theme="1"/>
        <rFont val="Calibri"/>
        <family val="2"/>
        <scheme val="minor"/>
      </rPr>
      <t>02803</t>
    </r>
    <r>
      <rPr>
        <sz val="11"/>
        <color theme="1"/>
        <rFont val="Calibri"/>
        <family val="2"/>
        <scheme val="minor"/>
      </rPr>
      <t xml:space="preserve"> - Chapel building
</t>
    </r>
    <r>
      <rPr>
        <b/>
        <sz val="11"/>
        <color theme="1"/>
        <rFont val="Calibri"/>
        <family val="2"/>
        <scheme val="minor"/>
      </rPr>
      <t>02619</t>
    </r>
    <r>
      <rPr>
        <sz val="11"/>
        <color theme="1"/>
        <rFont val="Calibri"/>
        <family val="2"/>
        <scheme val="minor"/>
      </rPr>
      <t xml:space="preserve"> - Dormitory building
</t>
    </r>
    <r>
      <rPr>
        <b/>
        <sz val="11"/>
        <color theme="1"/>
        <rFont val="Calibri"/>
        <family val="2"/>
        <scheme val="minor"/>
      </rPr>
      <t>02616</t>
    </r>
    <r>
      <rPr>
        <sz val="11"/>
        <color theme="1"/>
        <rFont val="Calibri"/>
        <family val="2"/>
        <scheme val="minor"/>
      </rPr>
      <t xml:space="preserve"> - Field house building
</t>
    </r>
    <r>
      <rPr>
        <b/>
        <sz val="11"/>
        <color theme="1"/>
        <rFont val="Calibri"/>
        <family val="2"/>
        <scheme val="minor"/>
      </rPr>
      <t>02613</t>
    </r>
    <r>
      <rPr>
        <sz val="11"/>
        <color theme="1"/>
        <rFont val="Calibri"/>
        <family val="2"/>
        <scheme val="minor"/>
      </rPr>
      <t xml:space="preserve"> - Garage building
</t>
    </r>
    <r>
      <rPr>
        <b/>
        <sz val="11"/>
        <color theme="1"/>
        <rFont val="Calibri"/>
        <family val="2"/>
        <scheme val="minor"/>
      </rPr>
      <t>13698</t>
    </r>
    <r>
      <rPr>
        <sz val="11"/>
        <color theme="1"/>
        <rFont val="Calibri"/>
        <family val="2"/>
        <scheme val="minor"/>
      </rPr>
      <t xml:space="preserve"> - Grade level school
</t>
    </r>
    <r>
      <rPr>
        <b/>
        <sz val="11"/>
        <color theme="1"/>
        <rFont val="Calibri"/>
        <family val="2"/>
        <scheme val="minor"/>
      </rPr>
      <t>02620</t>
    </r>
    <r>
      <rPr>
        <sz val="11"/>
        <color theme="1"/>
        <rFont val="Calibri"/>
        <family val="2"/>
        <scheme val="minor"/>
      </rPr>
      <t xml:space="preserve"> - Gymnasium building
</t>
    </r>
    <r>
      <rPr>
        <b/>
        <sz val="11"/>
        <color theme="1"/>
        <rFont val="Calibri"/>
        <family val="2"/>
        <scheme val="minor"/>
      </rPr>
      <t>02806</t>
    </r>
    <r>
      <rPr>
        <sz val="11"/>
        <color theme="1"/>
        <rFont val="Calibri"/>
        <family val="2"/>
        <scheme val="minor"/>
      </rPr>
      <t xml:space="preserve"> - Holding school
</t>
    </r>
    <r>
      <rPr>
        <b/>
        <sz val="11"/>
        <color theme="1"/>
        <rFont val="Calibri"/>
        <family val="2"/>
        <scheme val="minor"/>
      </rPr>
      <t>02804</t>
    </r>
    <r>
      <rPr>
        <sz val="11"/>
        <color theme="1"/>
        <rFont val="Calibri"/>
        <family val="2"/>
        <scheme val="minor"/>
      </rPr>
      <t xml:space="preserve"> - Investment
</t>
    </r>
    <r>
      <rPr>
        <b/>
        <sz val="11"/>
        <color theme="1"/>
        <rFont val="Calibri"/>
        <family val="2"/>
        <scheme val="minor"/>
      </rPr>
      <t>02617</t>
    </r>
    <r>
      <rPr>
        <sz val="11"/>
        <color theme="1"/>
        <rFont val="Calibri"/>
        <family val="2"/>
        <scheme val="minor"/>
      </rPr>
      <t xml:space="preserve"> - Media production center building
</t>
    </r>
    <r>
      <rPr>
        <b/>
        <sz val="11"/>
        <color theme="1"/>
        <rFont val="Calibri"/>
        <family val="2"/>
        <scheme val="minor"/>
      </rPr>
      <t>02618</t>
    </r>
    <r>
      <rPr>
        <sz val="11"/>
        <color theme="1"/>
        <rFont val="Calibri"/>
        <family val="2"/>
        <scheme val="minor"/>
      </rPr>
      <t xml:space="preserve"> - Natatorium
</t>
    </r>
    <r>
      <rPr>
        <b/>
        <sz val="11"/>
        <color theme="1"/>
        <rFont val="Calibri"/>
        <family val="2"/>
        <scheme val="minor"/>
      </rPr>
      <t>02805</t>
    </r>
    <r>
      <rPr>
        <sz val="11"/>
        <color theme="1"/>
        <rFont val="Calibri"/>
        <family val="2"/>
        <scheme val="minor"/>
      </rPr>
      <t xml:space="preserve"> - Not in use
</t>
    </r>
    <r>
      <rPr>
        <b/>
        <sz val="11"/>
        <color theme="1"/>
        <rFont val="Calibri"/>
        <family val="2"/>
        <scheme val="minor"/>
      </rPr>
      <t>02611</t>
    </r>
    <r>
      <rPr>
        <sz val="11"/>
        <color theme="1"/>
        <rFont val="Calibri"/>
        <family val="2"/>
        <scheme val="minor"/>
      </rPr>
      <t xml:space="preserve"> - Office building
</t>
    </r>
    <r>
      <rPr>
        <b/>
        <sz val="11"/>
        <color theme="1"/>
        <rFont val="Calibri"/>
        <family val="2"/>
        <scheme val="minor"/>
      </rPr>
      <t>02802</t>
    </r>
    <r>
      <rPr>
        <sz val="11"/>
        <color theme="1"/>
        <rFont val="Calibri"/>
        <family val="2"/>
        <scheme val="minor"/>
      </rPr>
      <t xml:space="preserve"> - Operations building
</t>
    </r>
    <r>
      <rPr>
        <b/>
        <sz val="11"/>
        <color theme="1"/>
        <rFont val="Calibri"/>
        <family val="2"/>
        <scheme val="minor"/>
      </rPr>
      <t>03106</t>
    </r>
    <r>
      <rPr>
        <sz val="11"/>
        <color theme="1"/>
        <rFont val="Calibri"/>
        <family val="2"/>
        <scheme val="minor"/>
      </rPr>
      <t xml:space="preserve"> - School building
</t>
    </r>
    <r>
      <rPr>
        <b/>
        <sz val="11"/>
        <color theme="1"/>
        <rFont val="Calibri"/>
        <family val="2"/>
        <scheme val="minor"/>
      </rPr>
      <t>02610</t>
    </r>
    <r>
      <rPr>
        <sz val="11"/>
        <color theme="1"/>
        <rFont val="Calibri"/>
        <family val="2"/>
        <scheme val="minor"/>
      </rPr>
      <t xml:space="preserve"> - Service center building
</t>
    </r>
    <r>
      <rPr>
        <b/>
        <sz val="11"/>
        <color theme="1"/>
        <rFont val="Calibri"/>
        <family val="2"/>
        <scheme val="minor"/>
      </rPr>
      <t>02615</t>
    </r>
    <r>
      <rPr>
        <sz val="11"/>
        <color theme="1"/>
        <rFont val="Calibri"/>
        <family val="2"/>
        <scheme val="minor"/>
      </rPr>
      <t xml:space="preserve"> - Stadium building
</t>
    </r>
    <r>
      <rPr>
        <b/>
        <sz val="11"/>
        <color theme="1"/>
        <rFont val="Calibri"/>
        <family val="2"/>
        <scheme val="minor"/>
      </rPr>
      <t>02612</t>
    </r>
    <r>
      <rPr>
        <sz val="11"/>
        <color theme="1"/>
        <rFont val="Calibri"/>
        <family val="2"/>
        <scheme val="minor"/>
      </rPr>
      <t xml:space="preserve"> - Warehouse building
</t>
    </r>
    <r>
      <rPr>
        <b/>
        <sz val="11"/>
        <color theme="1"/>
        <rFont val="Calibri"/>
        <family val="2"/>
        <scheme val="minor"/>
      </rPr>
      <t>09999</t>
    </r>
    <r>
      <rPr>
        <sz val="11"/>
        <color theme="1"/>
        <rFont val="Calibri"/>
        <family val="2"/>
        <scheme val="minor"/>
      </rPr>
      <t xml:space="preserve"> - Other
</t>
    </r>
  </si>
  <si>
    <r>
      <t>EmergencyDay</t>
    </r>
    <r>
      <rPr>
        <sz val="11"/>
        <color theme="1"/>
        <rFont val="Calibri"/>
        <family val="2"/>
        <scheme val="minor"/>
      </rPr>
      <t xml:space="preserve"> - Emergency day
</t>
    </r>
    <r>
      <rPr>
        <b/>
        <sz val="11"/>
        <color theme="1"/>
        <rFont val="Calibri"/>
        <family val="2"/>
        <scheme val="minor"/>
      </rPr>
      <t>Holiday</t>
    </r>
    <r>
      <rPr>
        <sz val="11"/>
        <color theme="1"/>
        <rFont val="Calibri"/>
        <family val="2"/>
        <scheme val="minor"/>
      </rPr>
      <t xml:space="preserve"> - Holiday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Strike</t>
    </r>
    <r>
      <rPr>
        <sz val="11"/>
        <color theme="1"/>
        <rFont val="Calibri"/>
        <family val="2"/>
        <scheme val="minor"/>
      </rPr>
      <t xml:space="preserve"> - Strike
</t>
    </r>
    <r>
      <rPr>
        <b/>
        <sz val="11"/>
        <color theme="1"/>
        <rFont val="Calibri"/>
        <family val="2"/>
        <scheme val="minor"/>
      </rPr>
      <t>LateArrivalEarlyDismissal</t>
    </r>
    <r>
      <rPr>
        <sz val="11"/>
        <color theme="1"/>
        <rFont val="Calibri"/>
        <family val="2"/>
        <scheme val="minor"/>
      </rPr>
      <t xml:space="preserve"> - Student late arrival/early dismissal
</t>
    </r>
    <r>
      <rPr>
        <b/>
        <sz val="11"/>
        <color theme="1"/>
        <rFont val="Calibri"/>
        <family val="2"/>
        <scheme val="minor"/>
      </rPr>
      <t>TeacherOnlyDay</t>
    </r>
    <r>
      <rPr>
        <sz val="11"/>
        <color theme="1"/>
        <rFont val="Calibri"/>
        <family val="2"/>
        <scheme val="minor"/>
      </rPr>
      <t xml:space="preserve"> - Teacher only day
</t>
    </r>
  </si>
  <si>
    <r>
      <t>OnCampus</t>
    </r>
    <r>
      <rPr>
        <sz val="11"/>
        <color theme="1"/>
        <rFont val="Calibri"/>
        <family val="2"/>
        <scheme val="minor"/>
      </rPr>
      <t xml:space="preserve"> - On campus
</t>
    </r>
    <r>
      <rPr>
        <b/>
        <sz val="11"/>
        <color theme="1"/>
        <rFont val="Calibri"/>
        <family val="2"/>
        <scheme val="minor"/>
      </rPr>
      <t>OffCampusWFamily</t>
    </r>
    <r>
      <rPr>
        <sz val="11"/>
        <color theme="1"/>
        <rFont val="Calibri"/>
        <family val="2"/>
        <scheme val="minor"/>
      </rPr>
      <t xml:space="preserve"> - Off campus, with family
</t>
    </r>
    <r>
      <rPr>
        <b/>
        <sz val="11"/>
        <color theme="1"/>
        <rFont val="Calibri"/>
        <family val="2"/>
        <scheme val="minor"/>
      </rPr>
      <t>OffCampusWOFamily</t>
    </r>
    <r>
      <rPr>
        <sz val="11"/>
        <color theme="1"/>
        <rFont val="Calibri"/>
        <family val="2"/>
        <scheme val="minor"/>
      </rPr>
      <t xml:space="preserve"> - Off campus, without family
</t>
    </r>
    <r>
      <rPr>
        <b/>
        <sz val="11"/>
        <color theme="1"/>
        <rFont val="Calibri"/>
        <family val="2"/>
        <scheme val="minor"/>
      </rPr>
      <t>Unknown</t>
    </r>
    <r>
      <rPr>
        <sz val="11"/>
        <color theme="1"/>
        <rFont val="Calibri"/>
        <family val="2"/>
        <scheme val="minor"/>
      </rPr>
      <t xml:space="preserve"> - Unknown
</t>
    </r>
  </si>
  <si>
    <r>
      <t>IncludedAsGraduated</t>
    </r>
    <r>
      <rPr>
        <sz val="11"/>
        <color theme="1"/>
        <rFont val="Calibri"/>
        <family val="2"/>
        <scheme val="minor"/>
      </rPr>
      <t xml:space="preserve"> - Included in computation as graduated 
</t>
    </r>
    <r>
      <rPr>
        <b/>
        <sz val="11"/>
        <color theme="1"/>
        <rFont val="Calibri"/>
        <family val="2"/>
        <scheme val="minor"/>
      </rPr>
      <t>NotIncludedAsGraduated</t>
    </r>
    <r>
      <rPr>
        <sz val="11"/>
        <color theme="1"/>
        <rFont val="Calibri"/>
        <family val="2"/>
        <scheme val="minor"/>
      </rPr>
      <t xml:space="preserve"> - Included in computation as not graduated.
</t>
    </r>
  </si>
  <si>
    <r>
      <t>01</t>
    </r>
    <r>
      <rPr>
        <sz val="11"/>
        <color theme="1"/>
        <rFont val="Calibri"/>
        <family val="2"/>
        <scheme val="minor"/>
      </rPr>
      <t xml:space="preserve"> - Agriculture, Food &amp; Natural Resources
</t>
    </r>
    <r>
      <rPr>
        <b/>
        <sz val="11"/>
        <color theme="1"/>
        <rFont val="Calibri"/>
        <family val="2"/>
        <scheme val="minor"/>
      </rPr>
      <t>02</t>
    </r>
    <r>
      <rPr>
        <sz val="11"/>
        <color theme="1"/>
        <rFont val="Calibri"/>
        <family val="2"/>
        <scheme val="minor"/>
      </rPr>
      <t xml:space="preserve"> - Architecture &amp; Construction
</t>
    </r>
    <r>
      <rPr>
        <b/>
        <sz val="11"/>
        <color theme="1"/>
        <rFont val="Calibri"/>
        <family val="2"/>
        <scheme val="minor"/>
      </rPr>
      <t>03</t>
    </r>
    <r>
      <rPr>
        <sz val="11"/>
        <color theme="1"/>
        <rFont val="Calibri"/>
        <family val="2"/>
        <scheme val="minor"/>
      </rPr>
      <t xml:space="preserve"> - Arts, A/V Technology &amp; Communications
</t>
    </r>
    <r>
      <rPr>
        <b/>
        <sz val="11"/>
        <color theme="1"/>
        <rFont val="Calibri"/>
        <family val="2"/>
        <scheme val="minor"/>
      </rPr>
      <t>04</t>
    </r>
    <r>
      <rPr>
        <sz val="11"/>
        <color theme="1"/>
        <rFont val="Calibri"/>
        <family val="2"/>
        <scheme val="minor"/>
      </rPr>
      <t xml:space="preserve"> - Business Management &amp; Administration
</t>
    </r>
    <r>
      <rPr>
        <b/>
        <sz val="11"/>
        <color theme="1"/>
        <rFont val="Calibri"/>
        <family val="2"/>
        <scheme val="minor"/>
      </rPr>
      <t>05</t>
    </r>
    <r>
      <rPr>
        <sz val="11"/>
        <color theme="1"/>
        <rFont val="Calibri"/>
        <family val="2"/>
        <scheme val="minor"/>
      </rPr>
      <t xml:space="preserve"> - Education &amp; Training
</t>
    </r>
    <r>
      <rPr>
        <b/>
        <sz val="11"/>
        <color theme="1"/>
        <rFont val="Calibri"/>
        <family val="2"/>
        <scheme val="minor"/>
      </rPr>
      <t>06</t>
    </r>
    <r>
      <rPr>
        <sz val="11"/>
        <color theme="1"/>
        <rFont val="Calibri"/>
        <family val="2"/>
        <scheme val="minor"/>
      </rPr>
      <t xml:space="preserve"> - Finance
</t>
    </r>
    <r>
      <rPr>
        <b/>
        <sz val="11"/>
        <color theme="1"/>
        <rFont val="Calibri"/>
        <family val="2"/>
        <scheme val="minor"/>
      </rPr>
      <t>07</t>
    </r>
    <r>
      <rPr>
        <sz val="11"/>
        <color theme="1"/>
        <rFont val="Calibri"/>
        <family val="2"/>
        <scheme val="minor"/>
      </rPr>
      <t xml:space="preserve"> - Government &amp; Public Administration
</t>
    </r>
    <r>
      <rPr>
        <b/>
        <sz val="11"/>
        <color theme="1"/>
        <rFont val="Calibri"/>
        <family val="2"/>
        <scheme val="minor"/>
      </rPr>
      <t>08</t>
    </r>
    <r>
      <rPr>
        <sz val="11"/>
        <color theme="1"/>
        <rFont val="Calibri"/>
        <family val="2"/>
        <scheme val="minor"/>
      </rPr>
      <t xml:space="preserve"> - Health Science
</t>
    </r>
    <r>
      <rPr>
        <b/>
        <sz val="11"/>
        <color theme="1"/>
        <rFont val="Calibri"/>
        <family val="2"/>
        <scheme val="minor"/>
      </rPr>
      <t>09</t>
    </r>
    <r>
      <rPr>
        <sz val="11"/>
        <color theme="1"/>
        <rFont val="Calibri"/>
        <family val="2"/>
        <scheme val="minor"/>
      </rPr>
      <t xml:space="preserve"> - Hospitality &amp; Tourism
</t>
    </r>
    <r>
      <rPr>
        <b/>
        <sz val="11"/>
        <color theme="1"/>
        <rFont val="Calibri"/>
        <family val="2"/>
        <scheme val="minor"/>
      </rPr>
      <t>10</t>
    </r>
    <r>
      <rPr>
        <sz val="11"/>
        <color theme="1"/>
        <rFont val="Calibri"/>
        <family val="2"/>
        <scheme val="minor"/>
      </rPr>
      <t xml:space="preserve"> - Human Services
</t>
    </r>
    <r>
      <rPr>
        <b/>
        <sz val="11"/>
        <color theme="1"/>
        <rFont val="Calibri"/>
        <family val="2"/>
        <scheme val="minor"/>
      </rPr>
      <t>11</t>
    </r>
    <r>
      <rPr>
        <sz val="11"/>
        <color theme="1"/>
        <rFont val="Calibri"/>
        <family val="2"/>
        <scheme val="minor"/>
      </rPr>
      <t xml:space="preserve"> - Information Technology
</t>
    </r>
    <r>
      <rPr>
        <b/>
        <sz val="11"/>
        <color theme="1"/>
        <rFont val="Calibri"/>
        <family val="2"/>
        <scheme val="minor"/>
      </rPr>
      <t>12</t>
    </r>
    <r>
      <rPr>
        <sz val="11"/>
        <color theme="1"/>
        <rFont val="Calibri"/>
        <family val="2"/>
        <scheme val="minor"/>
      </rPr>
      <t xml:space="preserve"> - Law, Public Safety, Corrections &amp; Security
</t>
    </r>
    <r>
      <rPr>
        <b/>
        <sz val="11"/>
        <color theme="1"/>
        <rFont val="Calibri"/>
        <family val="2"/>
        <scheme val="minor"/>
      </rPr>
      <t>13</t>
    </r>
    <r>
      <rPr>
        <sz val="11"/>
        <color theme="1"/>
        <rFont val="Calibri"/>
        <family val="2"/>
        <scheme val="minor"/>
      </rPr>
      <t xml:space="preserve"> - Manufacturing
</t>
    </r>
    <r>
      <rPr>
        <b/>
        <sz val="11"/>
        <color theme="1"/>
        <rFont val="Calibri"/>
        <family val="2"/>
        <scheme val="minor"/>
      </rPr>
      <t>14</t>
    </r>
    <r>
      <rPr>
        <sz val="11"/>
        <color theme="1"/>
        <rFont val="Calibri"/>
        <family val="2"/>
        <scheme val="minor"/>
      </rPr>
      <t xml:space="preserve"> - Marketing
</t>
    </r>
    <r>
      <rPr>
        <b/>
        <sz val="11"/>
        <color theme="1"/>
        <rFont val="Calibri"/>
        <family val="2"/>
        <scheme val="minor"/>
      </rPr>
      <t>15</t>
    </r>
    <r>
      <rPr>
        <sz val="11"/>
        <color theme="1"/>
        <rFont val="Calibri"/>
        <family val="2"/>
        <scheme val="minor"/>
      </rPr>
      <t xml:space="preserve"> - Science, Technology, Engineering &amp; Mathematics
</t>
    </r>
    <r>
      <rPr>
        <b/>
        <sz val="11"/>
        <color theme="1"/>
        <rFont val="Calibri"/>
        <family val="2"/>
        <scheme val="minor"/>
      </rPr>
      <t>16</t>
    </r>
    <r>
      <rPr>
        <sz val="11"/>
        <color theme="1"/>
        <rFont val="Calibri"/>
        <family val="2"/>
        <scheme val="minor"/>
      </rPr>
      <t xml:space="preserve"> - Transportation, Distribution &amp; Logistics
</t>
    </r>
  </si>
  <si>
    <r>
      <t>Education</t>
    </r>
    <r>
      <rPr>
        <sz val="11"/>
        <color theme="1"/>
        <rFont val="Calibri"/>
        <family val="2"/>
        <scheme val="minor"/>
      </rPr>
      <t xml:space="preserve"> - Education plan
</t>
    </r>
    <r>
      <rPr>
        <b/>
        <sz val="11"/>
        <color theme="1"/>
        <rFont val="Calibri"/>
        <family val="2"/>
        <scheme val="minor"/>
      </rPr>
      <t>Career</t>
    </r>
    <r>
      <rPr>
        <sz val="11"/>
        <color theme="1"/>
        <rFont val="Calibri"/>
        <family val="2"/>
        <scheme val="minor"/>
      </rPr>
      <t xml:space="preserve"> - Career plan
</t>
    </r>
    <r>
      <rPr>
        <b/>
        <sz val="11"/>
        <color theme="1"/>
        <rFont val="Calibri"/>
        <family val="2"/>
        <scheme val="minor"/>
      </rPr>
      <t>Both</t>
    </r>
    <r>
      <rPr>
        <sz val="11"/>
        <color theme="1"/>
        <rFont val="Calibri"/>
        <family val="2"/>
        <scheme val="minor"/>
      </rPr>
      <t xml:space="preserve"> - Both education and career plan
</t>
    </r>
    <r>
      <rPr>
        <b/>
        <sz val="11"/>
        <color theme="1"/>
        <rFont val="Calibri"/>
        <family val="2"/>
        <scheme val="minor"/>
      </rPr>
      <t>Other</t>
    </r>
    <r>
      <rPr>
        <sz val="11"/>
        <color theme="1"/>
        <rFont val="Calibri"/>
        <family val="2"/>
        <scheme val="minor"/>
      </rPr>
      <t xml:space="preserve"> - Other
</t>
    </r>
  </si>
  <si>
    <r>
      <t>Underrepresented</t>
    </r>
    <r>
      <rPr>
        <sz val="11"/>
        <color theme="1"/>
        <rFont val="Calibri"/>
        <family val="2"/>
        <scheme val="minor"/>
      </rPr>
      <t xml:space="preserve"> - Members of an underrepresented gender group
</t>
    </r>
    <r>
      <rPr>
        <b/>
        <sz val="11"/>
        <color theme="1"/>
        <rFont val="Calibri"/>
        <family val="2"/>
        <scheme val="minor"/>
      </rPr>
      <t>NotUnderrepresented</t>
    </r>
    <r>
      <rPr>
        <sz val="11"/>
        <color theme="1"/>
        <rFont val="Calibri"/>
        <family val="2"/>
        <scheme val="minor"/>
      </rPr>
      <t xml:space="preserve"> - Not members of an underrepresented gender group
</t>
    </r>
  </si>
  <si>
    <r>
      <t>Assoc/Pub-R-S</t>
    </r>
    <r>
      <rPr>
        <sz val="11"/>
        <color theme="1"/>
        <rFont val="Calibri"/>
        <family val="2"/>
        <scheme val="minor"/>
      </rPr>
      <t xml:space="preserve"> - Associate's--Public Rural-serving Small
</t>
    </r>
    <r>
      <rPr>
        <b/>
        <sz val="11"/>
        <color theme="1"/>
        <rFont val="Calibri"/>
        <family val="2"/>
        <scheme val="minor"/>
      </rPr>
      <t>Assoc/Pub-R-M</t>
    </r>
    <r>
      <rPr>
        <sz val="11"/>
        <color theme="1"/>
        <rFont val="Calibri"/>
        <family val="2"/>
        <scheme val="minor"/>
      </rPr>
      <t xml:space="preserve"> - Associate's--Public Rural-serving Medium
</t>
    </r>
    <r>
      <rPr>
        <b/>
        <sz val="11"/>
        <color theme="1"/>
        <rFont val="Calibri"/>
        <family val="2"/>
        <scheme val="minor"/>
      </rPr>
      <t>Assoc/Pub-R-L</t>
    </r>
    <r>
      <rPr>
        <sz val="11"/>
        <color theme="1"/>
        <rFont val="Calibri"/>
        <family val="2"/>
        <scheme val="minor"/>
      </rPr>
      <t xml:space="preserve"> - Associate's--Public Rural-serving Large
</t>
    </r>
    <r>
      <rPr>
        <b/>
        <sz val="11"/>
        <color theme="1"/>
        <rFont val="Calibri"/>
        <family val="2"/>
        <scheme val="minor"/>
      </rPr>
      <t>Assoc/Pub-S-SC</t>
    </r>
    <r>
      <rPr>
        <sz val="11"/>
        <color theme="1"/>
        <rFont val="Calibri"/>
        <family val="2"/>
        <scheme val="minor"/>
      </rPr>
      <t xml:space="preserve"> - Associate's--Public Suburban-serving Single Campus
</t>
    </r>
    <r>
      <rPr>
        <b/>
        <sz val="11"/>
        <color theme="1"/>
        <rFont val="Calibri"/>
        <family val="2"/>
        <scheme val="minor"/>
      </rPr>
      <t>Assoc/Pub-S-MC</t>
    </r>
    <r>
      <rPr>
        <sz val="11"/>
        <color theme="1"/>
        <rFont val="Calibri"/>
        <family val="2"/>
        <scheme val="minor"/>
      </rPr>
      <t xml:space="preserve"> - Associate's--Public Suburban-serving Multicampus
</t>
    </r>
    <r>
      <rPr>
        <b/>
        <sz val="11"/>
        <color theme="1"/>
        <rFont val="Calibri"/>
        <family val="2"/>
        <scheme val="minor"/>
      </rPr>
      <t>Assoc/Pub-U-SC</t>
    </r>
    <r>
      <rPr>
        <sz val="11"/>
        <color theme="1"/>
        <rFont val="Calibri"/>
        <family val="2"/>
        <scheme val="minor"/>
      </rPr>
      <t xml:space="preserve"> - Associate's--Public Urban-serving Single Campus
</t>
    </r>
    <r>
      <rPr>
        <b/>
        <sz val="11"/>
        <color theme="1"/>
        <rFont val="Calibri"/>
        <family val="2"/>
        <scheme val="minor"/>
      </rPr>
      <t>Assoc/Pub-U-MC</t>
    </r>
    <r>
      <rPr>
        <sz val="11"/>
        <color theme="1"/>
        <rFont val="Calibri"/>
        <family val="2"/>
        <scheme val="minor"/>
      </rPr>
      <t xml:space="preserve"> - Associate's--Public Urban-serving Multicampus
</t>
    </r>
    <r>
      <rPr>
        <b/>
        <sz val="11"/>
        <color theme="1"/>
        <rFont val="Calibri"/>
        <family val="2"/>
        <scheme val="minor"/>
      </rPr>
      <t>Assoc/Pub-Spec</t>
    </r>
    <r>
      <rPr>
        <sz val="11"/>
        <color theme="1"/>
        <rFont val="Calibri"/>
        <family val="2"/>
        <scheme val="minor"/>
      </rPr>
      <t xml:space="preserve"> - Associate's--Public Special Use
</t>
    </r>
    <r>
      <rPr>
        <b/>
        <sz val="11"/>
        <color theme="1"/>
        <rFont val="Calibri"/>
        <family val="2"/>
        <scheme val="minor"/>
      </rPr>
      <t>Assoc/PrivNFP</t>
    </r>
    <r>
      <rPr>
        <sz val="11"/>
        <color theme="1"/>
        <rFont val="Calibri"/>
        <family val="2"/>
        <scheme val="minor"/>
      </rPr>
      <t xml:space="preserve"> - Associate's--Private Not-for-profit
</t>
    </r>
    <r>
      <rPr>
        <b/>
        <sz val="11"/>
        <color theme="1"/>
        <rFont val="Calibri"/>
        <family val="2"/>
        <scheme val="minor"/>
      </rPr>
      <t>Assoc/PrivFP</t>
    </r>
    <r>
      <rPr>
        <sz val="11"/>
        <color theme="1"/>
        <rFont val="Calibri"/>
        <family val="2"/>
        <scheme val="minor"/>
      </rPr>
      <t xml:space="preserve"> - Associate's--Private For-profit
</t>
    </r>
    <r>
      <rPr>
        <b/>
        <sz val="11"/>
        <color theme="1"/>
        <rFont val="Calibri"/>
        <family val="2"/>
        <scheme val="minor"/>
      </rPr>
      <t>Assoc/Pub2in4</t>
    </r>
    <r>
      <rPr>
        <sz val="11"/>
        <color theme="1"/>
        <rFont val="Calibri"/>
        <family val="2"/>
        <scheme val="minor"/>
      </rPr>
      <t xml:space="preserve"> - Associate's--Public 2-year Colleges under 4-year Universities
</t>
    </r>
    <r>
      <rPr>
        <b/>
        <sz val="11"/>
        <color theme="1"/>
        <rFont val="Calibri"/>
        <family val="2"/>
        <scheme val="minor"/>
      </rPr>
      <t>Assoc/Pub4</t>
    </r>
    <r>
      <rPr>
        <sz val="11"/>
        <color theme="1"/>
        <rFont val="Calibri"/>
        <family val="2"/>
        <scheme val="minor"/>
      </rPr>
      <t xml:space="preserve"> - Associate's--Public 4-year Primarily Associate's
</t>
    </r>
    <r>
      <rPr>
        <b/>
        <sz val="11"/>
        <color theme="1"/>
        <rFont val="Calibri"/>
        <family val="2"/>
        <scheme val="minor"/>
      </rPr>
      <t>Assoc/PrivNFP4</t>
    </r>
    <r>
      <rPr>
        <sz val="11"/>
        <color theme="1"/>
        <rFont val="Calibri"/>
        <family val="2"/>
        <scheme val="minor"/>
      </rPr>
      <t xml:space="preserve"> - Associate's--Private Not-for-profit 4-year Primarily Associate's
</t>
    </r>
    <r>
      <rPr>
        <b/>
        <sz val="11"/>
        <color theme="1"/>
        <rFont val="Calibri"/>
        <family val="2"/>
        <scheme val="minor"/>
      </rPr>
      <t>Assoc/PrivFP4</t>
    </r>
    <r>
      <rPr>
        <sz val="11"/>
        <color theme="1"/>
        <rFont val="Calibri"/>
        <family val="2"/>
        <scheme val="minor"/>
      </rPr>
      <t xml:space="preserve"> - Associate's--Private For-profit 4-year Primarily Associate's
</t>
    </r>
    <r>
      <rPr>
        <b/>
        <sz val="11"/>
        <color theme="1"/>
        <rFont val="Calibri"/>
        <family val="2"/>
        <scheme val="minor"/>
      </rPr>
      <t>RU/VH</t>
    </r>
    <r>
      <rPr>
        <sz val="11"/>
        <color theme="1"/>
        <rFont val="Calibri"/>
        <family val="2"/>
        <scheme val="minor"/>
      </rPr>
      <t xml:space="preserve"> - Research Universities (very high research activity)
</t>
    </r>
    <r>
      <rPr>
        <b/>
        <sz val="11"/>
        <color theme="1"/>
        <rFont val="Calibri"/>
        <family val="2"/>
        <scheme val="minor"/>
      </rPr>
      <t>RU/H</t>
    </r>
    <r>
      <rPr>
        <sz val="11"/>
        <color theme="1"/>
        <rFont val="Calibri"/>
        <family val="2"/>
        <scheme val="minor"/>
      </rPr>
      <t xml:space="preserve"> - Research Universities (high research activity)
</t>
    </r>
    <r>
      <rPr>
        <b/>
        <sz val="11"/>
        <color theme="1"/>
        <rFont val="Calibri"/>
        <family val="2"/>
        <scheme val="minor"/>
      </rPr>
      <t>DRU</t>
    </r>
    <r>
      <rPr>
        <sz val="11"/>
        <color theme="1"/>
        <rFont val="Calibri"/>
        <family val="2"/>
        <scheme val="minor"/>
      </rPr>
      <t xml:space="preserve"> - Doctoral/Research Universities
</t>
    </r>
    <r>
      <rPr>
        <b/>
        <sz val="11"/>
        <color theme="1"/>
        <rFont val="Calibri"/>
        <family val="2"/>
        <scheme val="minor"/>
      </rPr>
      <t>Masters/L</t>
    </r>
    <r>
      <rPr>
        <sz val="11"/>
        <color theme="1"/>
        <rFont val="Calibri"/>
        <family val="2"/>
        <scheme val="minor"/>
      </rPr>
      <t xml:space="preserve"> - Master's Colleges and Universities (larger programs)
</t>
    </r>
    <r>
      <rPr>
        <b/>
        <sz val="11"/>
        <color theme="1"/>
        <rFont val="Calibri"/>
        <family val="2"/>
        <scheme val="minor"/>
      </rPr>
      <t>Masters/M</t>
    </r>
    <r>
      <rPr>
        <sz val="11"/>
        <color theme="1"/>
        <rFont val="Calibri"/>
        <family val="2"/>
        <scheme val="minor"/>
      </rPr>
      <t xml:space="preserve"> - Master's Colleges and Universities (medium programs)
</t>
    </r>
    <r>
      <rPr>
        <b/>
        <sz val="11"/>
        <color theme="1"/>
        <rFont val="Calibri"/>
        <family val="2"/>
        <scheme val="minor"/>
      </rPr>
      <t>Masters/S</t>
    </r>
    <r>
      <rPr>
        <sz val="11"/>
        <color theme="1"/>
        <rFont val="Calibri"/>
        <family val="2"/>
        <scheme val="minor"/>
      </rPr>
      <t xml:space="preserve"> - Master's Colleges and Universities (smaller programs)
</t>
    </r>
    <r>
      <rPr>
        <b/>
        <sz val="11"/>
        <color theme="1"/>
        <rFont val="Calibri"/>
        <family val="2"/>
        <scheme val="minor"/>
      </rPr>
      <t>Bac/A&amp;S</t>
    </r>
    <r>
      <rPr>
        <sz val="11"/>
        <color theme="1"/>
        <rFont val="Calibri"/>
        <family val="2"/>
        <scheme val="minor"/>
      </rPr>
      <t xml:space="preserve"> - Baccalaureate Colleges--Arts &amp; Sciences
</t>
    </r>
    <r>
      <rPr>
        <b/>
        <sz val="11"/>
        <color theme="1"/>
        <rFont val="Calibri"/>
        <family val="2"/>
        <scheme val="minor"/>
      </rPr>
      <t>Bac/Diverse</t>
    </r>
    <r>
      <rPr>
        <sz val="11"/>
        <color theme="1"/>
        <rFont val="Calibri"/>
        <family val="2"/>
        <scheme val="minor"/>
      </rPr>
      <t xml:space="preserve"> - Baccalaureate Colleges--Diverse Fields
</t>
    </r>
    <r>
      <rPr>
        <b/>
        <sz val="11"/>
        <color theme="1"/>
        <rFont val="Calibri"/>
        <family val="2"/>
        <scheme val="minor"/>
      </rPr>
      <t>Bac/Assoc</t>
    </r>
    <r>
      <rPr>
        <sz val="11"/>
        <color theme="1"/>
        <rFont val="Calibri"/>
        <family val="2"/>
        <scheme val="minor"/>
      </rPr>
      <t xml:space="preserve"> - Baccalaureate/Associate's Colleges
</t>
    </r>
    <r>
      <rPr>
        <b/>
        <sz val="11"/>
        <color theme="1"/>
        <rFont val="Calibri"/>
        <family val="2"/>
        <scheme val="minor"/>
      </rPr>
      <t>Spec/Faith</t>
    </r>
    <r>
      <rPr>
        <sz val="11"/>
        <color theme="1"/>
        <rFont val="Calibri"/>
        <family val="2"/>
        <scheme val="minor"/>
      </rPr>
      <t xml:space="preserve"> - Special Focus Institutions--Theological seminaries, Bible colleges, other faith-related institutions
</t>
    </r>
    <r>
      <rPr>
        <b/>
        <sz val="11"/>
        <color theme="1"/>
        <rFont val="Calibri"/>
        <family val="2"/>
        <scheme val="minor"/>
      </rPr>
      <t>Spec/Med</t>
    </r>
    <r>
      <rPr>
        <sz val="11"/>
        <color theme="1"/>
        <rFont val="Calibri"/>
        <family val="2"/>
        <scheme val="minor"/>
      </rPr>
      <t xml:space="preserve"> - Special Focus Institutions--Medical schools and medical centers
</t>
    </r>
    <r>
      <rPr>
        <b/>
        <sz val="11"/>
        <color theme="1"/>
        <rFont val="Calibri"/>
        <family val="2"/>
        <scheme val="minor"/>
      </rPr>
      <t>Spec/Health</t>
    </r>
    <r>
      <rPr>
        <sz val="11"/>
        <color theme="1"/>
        <rFont val="Calibri"/>
        <family val="2"/>
        <scheme val="minor"/>
      </rPr>
      <t xml:space="preserve"> - Special Focus Institutions--Other health professions schools
</t>
    </r>
    <r>
      <rPr>
        <b/>
        <sz val="11"/>
        <color theme="1"/>
        <rFont val="Calibri"/>
        <family val="2"/>
        <scheme val="minor"/>
      </rPr>
      <t>Spec/Engg</t>
    </r>
    <r>
      <rPr>
        <sz val="11"/>
        <color theme="1"/>
        <rFont val="Calibri"/>
        <family val="2"/>
        <scheme val="minor"/>
      </rPr>
      <t xml:space="preserve"> - Special Focus Institutions--Schools of engineering
</t>
    </r>
    <r>
      <rPr>
        <b/>
        <sz val="11"/>
        <color theme="1"/>
        <rFont val="Calibri"/>
        <family val="2"/>
        <scheme val="minor"/>
      </rPr>
      <t>Spec/Tech</t>
    </r>
    <r>
      <rPr>
        <sz val="11"/>
        <color theme="1"/>
        <rFont val="Calibri"/>
        <family val="2"/>
        <scheme val="minor"/>
      </rPr>
      <t xml:space="preserve"> - Special Focus Institutions--Other technology-related schools
</t>
    </r>
    <r>
      <rPr>
        <b/>
        <sz val="11"/>
        <color theme="1"/>
        <rFont val="Calibri"/>
        <family val="2"/>
        <scheme val="minor"/>
      </rPr>
      <t>Spec/Bus</t>
    </r>
    <r>
      <rPr>
        <sz val="11"/>
        <color theme="1"/>
        <rFont val="Calibri"/>
        <family val="2"/>
        <scheme val="minor"/>
      </rPr>
      <t xml:space="preserve"> - Special Focus Institutions--Schools of business and management
</t>
    </r>
    <r>
      <rPr>
        <b/>
        <sz val="11"/>
        <color theme="1"/>
        <rFont val="Calibri"/>
        <family val="2"/>
        <scheme val="minor"/>
      </rPr>
      <t>Spec/Arts</t>
    </r>
    <r>
      <rPr>
        <sz val="11"/>
        <color theme="1"/>
        <rFont val="Calibri"/>
        <family val="2"/>
        <scheme val="minor"/>
      </rPr>
      <t xml:space="preserve"> - Special Focus Institutions--Schools of art, music, and design
</t>
    </r>
    <r>
      <rPr>
        <b/>
        <sz val="11"/>
        <color theme="1"/>
        <rFont val="Calibri"/>
        <family val="2"/>
        <scheme val="minor"/>
      </rPr>
      <t>Spec/Law</t>
    </r>
    <r>
      <rPr>
        <sz val="11"/>
        <color theme="1"/>
        <rFont val="Calibri"/>
        <family val="2"/>
        <scheme val="minor"/>
      </rPr>
      <t xml:space="preserve"> - Special Focus Institutions--Schools of law
</t>
    </r>
    <r>
      <rPr>
        <b/>
        <sz val="11"/>
        <color theme="1"/>
        <rFont val="Calibri"/>
        <family val="2"/>
        <scheme val="minor"/>
      </rPr>
      <t>Spec/Other</t>
    </r>
    <r>
      <rPr>
        <sz val="11"/>
        <color theme="1"/>
        <rFont val="Calibri"/>
        <family val="2"/>
        <scheme val="minor"/>
      </rPr>
      <t xml:space="preserve"> - Special Focus Institutions-Other special-focus institutions
</t>
    </r>
    <r>
      <rPr>
        <b/>
        <sz val="11"/>
        <color theme="1"/>
        <rFont val="Calibri"/>
        <family val="2"/>
        <scheme val="minor"/>
      </rPr>
      <t>Tribal</t>
    </r>
    <r>
      <rPr>
        <sz val="11"/>
        <color theme="1"/>
        <rFont val="Calibri"/>
        <family val="2"/>
        <scheme val="minor"/>
      </rPr>
      <t xml:space="preserve"> - Tribal Colleges
</t>
    </r>
  </si>
  <si>
    <r>
      <t>State</t>
    </r>
    <r>
      <rPr>
        <sz val="11"/>
        <color theme="1"/>
        <rFont val="Calibri"/>
        <family val="2"/>
        <scheme val="minor"/>
      </rPr>
      <t xml:space="preserve"> - State board of education
</t>
    </r>
    <r>
      <rPr>
        <b/>
        <sz val="11"/>
        <color theme="1"/>
        <rFont val="Calibri"/>
        <family val="2"/>
        <scheme val="minor"/>
      </rPr>
      <t>PublicCharterBoard</t>
    </r>
    <r>
      <rPr>
        <sz val="11"/>
        <color theme="1"/>
        <rFont val="Calibri"/>
        <family val="2"/>
        <scheme val="minor"/>
      </rPr>
      <t xml:space="preserve"> - Public charter school board
</t>
    </r>
    <r>
      <rPr>
        <b/>
        <sz val="11"/>
        <color theme="1"/>
        <rFont val="Calibri"/>
        <family val="2"/>
        <scheme val="minor"/>
      </rPr>
      <t>University</t>
    </r>
    <r>
      <rPr>
        <sz val="11"/>
        <color theme="1"/>
        <rFont val="Calibri"/>
        <family val="2"/>
        <scheme val="minor"/>
      </rPr>
      <t xml:space="preserve"> - University
</t>
    </r>
    <r>
      <rPr>
        <b/>
        <sz val="11"/>
        <color theme="1"/>
        <rFont val="Calibri"/>
        <family val="2"/>
        <scheme val="minor"/>
      </rPr>
      <t>Other</t>
    </r>
    <r>
      <rPr>
        <sz val="11"/>
        <color theme="1"/>
        <rFont val="Calibri"/>
        <family val="2"/>
        <scheme val="minor"/>
      </rPr>
      <t xml:space="preserve"> - Other
</t>
    </r>
  </si>
  <si>
    <r>
      <t>School</t>
    </r>
    <r>
      <rPr>
        <sz val="11"/>
        <color theme="1"/>
        <rFont val="Calibri"/>
        <family val="2"/>
        <scheme val="minor"/>
      </rPr>
      <t xml:space="preserve"> - School Charter
</t>
    </r>
    <r>
      <rPr>
        <b/>
        <sz val="11"/>
        <color theme="1"/>
        <rFont val="Calibri"/>
        <family val="2"/>
        <scheme val="minor"/>
      </rPr>
      <t>CollegeUniversity</t>
    </r>
    <r>
      <rPr>
        <sz val="11"/>
        <color theme="1"/>
        <rFont val="Calibri"/>
        <family val="2"/>
        <scheme val="minor"/>
      </rPr>
      <t xml:space="preserve"> - College/University Charter
</t>
    </r>
    <r>
      <rPr>
        <b/>
        <sz val="11"/>
        <color theme="1"/>
        <rFont val="Calibri"/>
        <family val="2"/>
        <scheme val="minor"/>
      </rPr>
      <t>OpenEnrollment</t>
    </r>
    <r>
      <rPr>
        <sz val="11"/>
        <color theme="1"/>
        <rFont val="Calibri"/>
        <family val="2"/>
        <scheme val="minor"/>
      </rPr>
      <t xml:space="preserve"> - Open Enrollment
</t>
    </r>
    <r>
      <rPr>
        <b/>
        <sz val="11"/>
        <color theme="1"/>
        <rFont val="Calibri"/>
        <family val="2"/>
        <scheme val="minor"/>
      </rPr>
      <t>NA</t>
    </r>
    <r>
      <rPr>
        <sz val="11"/>
        <color theme="1"/>
        <rFont val="Calibri"/>
        <family val="2"/>
        <scheme val="minor"/>
      </rPr>
      <t xml:space="preserve"> - Not a Charter School
</t>
    </r>
  </si>
  <si>
    <r>
      <t>01</t>
    </r>
    <r>
      <rPr>
        <sz val="11"/>
        <color theme="1"/>
        <rFont val="Calibri"/>
        <family val="2"/>
        <scheme val="minor"/>
      </rPr>
      <t xml:space="preserve"> - Infant/toddler
</t>
    </r>
    <r>
      <rPr>
        <b/>
        <sz val="11"/>
        <color theme="1"/>
        <rFont val="Calibri"/>
        <family val="2"/>
        <scheme val="minor"/>
      </rPr>
      <t>02</t>
    </r>
    <r>
      <rPr>
        <sz val="11"/>
        <color theme="1"/>
        <rFont val="Calibri"/>
        <family val="2"/>
        <scheme val="minor"/>
      </rPr>
      <t xml:space="preserve"> - Preschool
</t>
    </r>
    <r>
      <rPr>
        <b/>
        <sz val="11"/>
        <color theme="1"/>
        <rFont val="Calibri"/>
        <family val="2"/>
        <scheme val="minor"/>
      </rPr>
      <t>03</t>
    </r>
    <r>
      <rPr>
        <sz val="11"/>
        <color theme="1"/>
        <rFont val="Calibri"/>
        <family val="2"/>
        <scheme val="minor"/>
      </rPr>
      <t xml:space="preserve"> - Family child care home
</t>
    </r>
    <r>
      <rPr>
        <b/>
        <sz val="11"/>
        <color theme="1"/>
        <rFont val="Calibri"/>
        <family val="2"/>
        <scheme val="minor"/>
      </rPr>
      <t>04</t>
    </r>
    <r>
      <rPr>
        <sz val="11"/>
        <color theme="1"/>
        <rFont val="Calibri"/>
        <family val="2"/>
        <scheme val="minor"/>
      </rPr>
      <t xml:space="preserve"> - Home visitor
</t>
    </r>
    <r>
      <rPr>
        <b/>
        <sz val="11"/>
        <color theme="1"/>
        <rFont val="Calibri"/>
        <family val="2"/>
        <scheme val="minor"/>
      </rPr>
      <t>05</t>
    </r>
    <r>
      <rPr>
        <sz val="11"/>
        <color theme="1"/>
        <rFont val="Calibri"/>
        <family val="2"/>
        <scheme val="minor"/>
      </rPr>
      <t xml:space="preserve"> - Unknown
</t>
    </r>
    <r>
      <rPr>
        <b/>
        <sz val="11"/>
        <color theme="1"/>
        <rFont val="Calibri"/>
        <family val="2"/>
        <scheme val="minor"/>
      </rPr>
      <t>06</t>
    </r>
    <r>
      <rPr>
        <sz val="11"/>
        <color theme="1"/>
        <rFont val="Calibri"/>
        <family val="2"/>
        <scheme val="minor"/>
      </rPr>
      <t xml:space="preserve"> - Other
</t>
    </r>
    <r>
      <rPr>
        <b/>
        <sz val="11"/>
        <color theme="1"/>
        <rFont val="Calibri"/>
        <family val="2"/>
        <scheme val="minor"/>
      </rPr>
      <t>99</t>
    </r>
    <r>
      <rPr>
        <sz val="11"/>
        <color theme="1"/>
        <rFont val="Calibri"/>
        <family val="2"/>
        <scheme val="minor"/>
      </rPr>
      <t xml:space="preserve"> - No current CDA indicated
</t>
    </r>
  </si>
  <si>
    <r>
      <t>CanadianSIN</t>
    </r>
    <r>
      <rPr>
        <sz val="11"/>
        <color theme="1"/>
        <rFont val="Calibri"/>
        <family val="2"/>
        <scheme val="minor"/>
      </rPr>
      <t xml:space="preserve"> - Canadian Social Insurance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Family</t>
    </r>
    <r>
      <rPr>
        <sz val="11"/>
        <color theme="1"/>
        <rFont val="Calibri"/>
        <family val="2"/>
        <scheme val="minor"/>
      </rPr>
      <t xml:space="preserve"> - Family unit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NationalMigrant</t>
    </r>
    <r>
      <rPr>
        <sz val="11"/>
        <color theme="1"/>
        <rFont val="Calibri"/>
        <family val="2"/>
        <scheme val="minor"/>
      </rPr>
      <t xml:space="preserve"> - National migrant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SSN</t>
    </r>
    <r>
      <rPr>
        <sz val="11"/>
        <color theme="1"/>
        <rFont val="Calibri"/>
        <family val="2"/>
        <scheme val="minor"/>
      </rPr>
      <t xml:space="preserve"> - Social Security Administration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StateMigrant</t>
    </r>
    <r>
      <rPr>
        <sz val="11"/>
        <color theme="1"/>
        <rFont val="Calibri"/>
        <family val="2"/>
        <scheme val="minor"/>
      </rPr>
      <t xml:space="preserve"> - State migrant number
</t>
    </r>
    <r>
      <rPr>
        <b/>
        <sz val="11"/>
        <color theme="1"/>
        <rFont val="Calibri"/>
        <family val="2"/>
        <scheme val="minor"/>
      </rPr>
      <t>Program</t>
    </r>
    <r>
      <rPr>
        <sz val="11"/>
        <color theme="1"/>
        <rFont val="Calibri"/>
        <family val="2"/>
        <scheme val="minor"/>
      </rPr>
      <t xml:space="preserve"> - Program-assigned number
</t>
    </r>
  </si>
  <si>
    <r>
      <t>01</t>
    </r>
    <r>
      <rPr>
        <sz val="11"/>
        <color theme="1"/>
        <rFont val="Calibri"/>
        <family val="2"/>
        <scheme val="minor"/>
      </rPr>
      <t xml:space="preserve"> - Does not show functioning expected at age - does not include immediate foundational skills
</t>
    </r>
    <r>
      <rPr>
        <b/>
        <sz val="11"/>
        <color theme="1"/>
        <rFont val="Calibri"/>
        <family val="2"/>
        <scheme val="minor"/>
      </rPr>
      <t>02</t>
    </r>
    <r>
      <rPr>
        <sz val="11"/>
        <color theme="1"/>
        <rFont val="Calibri"/>
        <family val="2"/>
        <scheme val="minor"/>
      </rPr>
      <t xml:space="preserve"> - Occasionally uses immediate foundational skills across settings and situations
</t>
    </r>
    <r>
      <rPr>
        <b/>
        <sz val="11"/>
        <color theme="1"/>
        <rFont val="Calibri"/>
        <family val="2"/>
        <scheme val="minor"/>
      </rPr>
      <t>03</t>
    </r>
    <r>
      <rPr>
        <sz val="11"/>
        <color theme="1"/>
        <rFont val="Calibri"/>
        <family val="2"/>
        <scheme val="minor"/>
      </rPr>
      <t xml:space="preserve"> - Does not show functioning expected at age - uses immediate foundational skills
</t>
    </r>
    <r>
      <rPr>
        <b/>
        <sz val="11"/>
        <color theme="1"/>
        <rFont val="Calibri"/>
        <family val="2"/>
        <scheme val="minor"/>
      </rPr>
      <t>04</t>
    </r>
    <r>
      <rPr>
        <sz val="11"/>
        <color theme="1"/>
        <rFont val="Calibri"/>
        <family val="2"/>
        <scheme val="minor"/>
      </rPr>
      <t xml:space="preserve"> - Shows occasional age-appropriate functioning across settings and situations
</t>
    </r>
    <r>
      <rPr>
        <b/>
        <sz val="11"/>
        <color theme="1"/>
        <rFont val="Calibri"/>
        <family val="2"/>
        <scheme val="minor"/>
      </rPr>
      <t>05</t>
    </r>
    <r>
      <rPr>
        <sz val="11"/>
        <color theme="1"/>
        <rFont val="Calibri"/>
        <family val="2"/>
        <scheme val="minor"/>
      </rPr>
      <t xml:space="preserve"> - Shows functioning expected at age some of the time and/or in some settings and situations
</t>
    </r>
    <r>
      <rPr>
        <b/>
        <sz val="11"/>
        <color theme="1"/>
        <rFont val="Calibri"/>
        <family val="2"/>
        <scheme val="minor"/>
      </rPr>
      <t>06</t>
    </r>
    <r>
      <rPr>
        <sz val="11"/>
        <color theme="1"/>
        <rFont val="Calibri"/>
        <family val="2"/>
        <scheme val="minor"/>
      </rPr>
      <t xml:space="preserve"> - Functioning generally is considered appropriate for age but there are some significant concerns
</t>
    </r>
    <r>
      <rPr>
        <b/>
        <sz val="11"/>
        <color theme="1"/>
        <rFont val="Calibri"/>
        <family val="2"/>
        <scheme val="minor"/>
      </rPr>
      <t>07</t>
    </r>
    <r>
      <rPr>
        <sz val="11"/>
        <color theme="1"/>
        <rFont val="Calibri"/>
        <family val="2"/>
        <scheme val="minor"/>
      </rPr>
      <t xml:space="preserve"> - Shows functioning expected for age in all or almost all everyday situations
</t>
    </r>
  </si>
  <si>
    <r>
      <t>PrimaryEnrollment</t>
    </r>
    <r>
      <rPr>
        <sz val="11"/>
        <color theme="1"/>
        <rFont val="Calibri"/>
        <family val="2"/>
        <scheme val="minor"/>
      </rPr>
      <t xml:space="preserve"> - Primary enrollment
</t>
    </r>
    <r>
      <rPr>
        <b/>
        <sz val="11"/>
        <color theme="1"/>
        <rFont val="Calibri"/>
        <family val="2"/>
        <scheme val="minor"/>
      </rPr>
      <t>AdditionalEnrollment</t>
    </r>
    <r>
      <rPr>
        <sz val="11"/>
        <color theme="1"/>
        <rFont val="Calibri"/>
        <family val="2"/>
        <scheme val="minor"/>
      </rPr>
      <t xml:space="preserve"> - Additional enrollment
</t>
    </r>
    <r>
      <rPr>
        <b/>
        <sz val="11"/>
        <color theme="1"/>
        <rFont val="Calibri"/>
        <family val="2"/>
        <scheme val="minor"/>
      </rPr>
      <t>PrimaryCompletion</t>
    </r>
    <r>
      <rPr>
        <sz val="11"/>
        <color theme="1"/>
        <rFont val="Calibri"/>
        <family val="2"/>
        <scheme val="minor"/>
      </rPr>
      <t xml:space="preserve"> - Primary completion
</t>
    </r>
    <r>
      <rPr>
        <b/>
        <sz val="11"/>
        <color theme="1"/>
        <rFont val="Calibri"/>
        <family val="2"/>
        <scheme val="minor"/>
      </rPr>
      <t>AdditionalCompletion</t>
    </r>
    <r>
      <rPr>
        <sz val="11"/>
        <color theme="1"/>
        <rFont val="Calibri"/>
        <family val="2"/>
        <scheme val="minor"/>
      </rPr>
      <t xml:space="preserve"> - Additional completion
</t>
    </r>
  </si>
  <si>
    <r>
      <t>CIP1980</t>
    </r>
    <r>
      <rPr>
        <sz val="11"/>
        <color theme="1"/>
        <rFont val="Calibri"/>
        <family val="2"/>
        <scheme val="minor"/>
      </rPr>
      <t xml:space="preserve"> - CIP 1980
</t>
    </r>
    <r>
      <rPr>
        <b/>
        <sz val="11"/>
        <color theme="1"/>
        <rFont val="Calibri"/>
        <family val="2"/>
        <scheme val="minor"/>
      </rPr>
      <t>CIP1985</t>
    </r>
    <r>
      <rPr>
        <sz val="11"/>
        <color theme="1"/>
        <rFont val="Calibri"/>
        <family val="2"/>
        <scheme val="minor"/>
      </rPr>
      <t xml:space="preserve"> - CIP 1985
</t>
    </r>
    <r>
      <rPr>
        <b/>
        <sz val="11"/>
        <color theme="1"/>
        <rFont val="Calibri"/>
        <family val="2"/>
        <scheme val="minor"/>
      </rPr>
      <t>CIP1990</t>
    </r>
    <r>
      <rPr>
        <sz val="11"/>
        <color theme="1"/>
        <rFont val="Calibri"/>
        <family val="2"/>
        <scheme val="minor"/>
      </rPr>
      <t xml:space="preserve"> - CIP 1990
</t>
    </r>
    <r>
      <rPr>
        <b/>
        <sz val="11"/>
        <color theme="1"/>
        <rFont val="Calibri"/>
        <family val="2"/>
        <scheme val="minor"/>
      </rPr>
      <t>CIP2000</t>
    </r>
    <r>
      <rPr>
        <sz val="11"/>
        <color theme="1"/>
        <rFont val="Calibri"/>
        <family val="2"/>
        <scheme val="minor"/>
      </rPr>
      <t xml:space="preserve"> - CIP 2000
</t>
    </r>
    <r>
      <rPr>
        <b/>
        <sz val="11"/>
        <color theme="1"/>
        <rFont val="Calibri"/>
        <family val="2"/>
        <scheme val="minor"/>
      </rPr>
      <t>CIP2010</t>
    </r>
    <r>
      <rPr>
        <sz val="11"/>
        <color theme="1"/>
        <rFont val="Calibri"/>
        <family val="2"/>
        <scheme val="minor"/>
      </rPr>
      <t xml:space="preserve"> - CIP 2010
</t>
    </r>
  </si>
  <si>
    <r>
      <t>03187</t>
    </r>
    <r>
      <rPr>
        <sz val="11"/>
        <color theme="1"/>
        <rFont val="Calibri"/>
        <family val="2"/>
        <scheme val="minor"/>
      </rPr>
      <t xml:space="preserve"> - Administrative staff
</t>
    </r>
    <r>
      <rPr>
        <b/>
        <sz val="11"/>
        <color theme="1"/>
        <rFont val="Calibri"/>
        <family val="2"/>
        <scheme val="minor"/>
      </rPr>
      <t>73071</t>
    </r>
    <r>
      <rPr>
        <sz val="11"/>
        <color theme="1"/>
        <rFont val="Calibri"/>
        <family val="2"/>
        <scheme val="minor"/>
      </rPr>
      <t xml:space="preserve"> - Co-teacher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73073</t>
    </r>
    <r>
      <rPr>
        <sz val="11"/>
        <color theme="1"/>
        <rFont val="Calibri"/>
        <family val="2"/>
        <scheme val="minor"/>
      </rPr>
      <t xml:space="preserve"> - Course Proctor
</t>
    </r>
    <r>
      <rPr>
        <b/>
        <sz val="11"/>
        <color theme="1"/>
        <rFont val="Calibri"/>
        <family val="2"/>
        <scheme val="minor"/>
      </rPr>
      <t>05973</t>
    </r>
    <r>
      <rPr>
        <sz val="11"/>
        <color theme="1"/>
        <rFont val="Calibri"/>
        <family val="2"/>
        <scheme val="minor"/>
      </rPr>
      <t xml:space="preserve"> - Instructor of record
</t>
    </r>
    <r>
      <rPr>
        <b/>
        <sz val="11"/>
        <color theme="1"/>
        <rFont val="Calibri"/>
        <family val="2"/>
        <scheme val="minor"/>
      </rPr>
      <t>01234</t>
    </r>
    <r>
      <rPr>
        <sz val="11"/>
        <color theme="1"/>
        <rFont val="Calibri"/>
        <family val="2"/>
        <scheme val="minor"/>
      </rPr>
      <t xml:space="preserve"> - Intern
</t>
    </r>
    <r>
      <rPr>
        <b/>
        <sz val="11"/>
        <color theme="1"/>
        <rFont val="Calibri"/>
        <family val="2"/>
        <scheme val="minor"/>
      </rPr>
      <t>73072</t>
    </r>
    <r>
      <rPr>
        <sz val="11"/>
        <color theme="1"/>
        <rFont val="Calibri"/>
        <family val="2"/>
        <scheme val="minor"/>
      </rPr>
      <t xml:space="preserve"> - Lead Team Teacher
</t>
    </r>
    <r>
      <rPr>
        <b/>
        <sz val="11"/>
        <color theme="1"/>
        <rFont val="Calibri"/>
        <family val="2"/>
        <scheme val="minor"/>
      </rPr>
      <t>00069</t>
    </r>
    <r>
      <rPr>
        <sz val="11"/>
        <color theme="1"/>
        <rFont val="Calibri"/>
        <family val="2"/>
        <scheme val="minor"/>
      </rPr>
      <t xml:space="preserve"> - Non-instructional staff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00059</t>
    </r>
    <r>
      <rPr>
        <sz val="11"/>
        <color theme="1"/>
        <rFont val="Calibri"/>
        <family val="2"/>
        <scheme val="minor"/>
      </rPr>
      <t xml:space="preserve"> - Paraprofessionals/teacher aides
</t>
    </r>
    <r>
      <rPr>
        <b/>
        <sz val="11"/>
        <color theme="1"/>
        <rFont val="Calibri"/>
        <family val="2"/>
        <scheme val="minor"/>
      </rPr>
      <t>05971</t>
    </r>
    <r>
      <rPr>
        <sz val="11"/>
        <color theme="1"/>
        <rFont val="Calibri"/>
        <family val="2"/>
        <scheme val="minor"/>
      </rPr>
      <t xml:space="preserve"> - Primary instructor
</t>
    </r>
    <r>
      <rPr>
        <b/>
        <sz val="11"/>
        <color theme="1"/>
        <rFont val="Calibri"/>
        <family val="2"/>
        <scheme val="minor"/>
      </rPr>
      <t>04735</t>
    </r>
    <r>
      <rPr>
        <sz val="11"/>
        <color theme="1"/>
        <rFont val="Calibri"/>
        <family val="2"/>
        <scheme val="minor"/>
      </rPr>
      <t xml:space="preserve"> - Resource teacher
</t>
    </r>
    <r>
      <rPr>
        <b/>
        <sz val="11"/>
        <color theme="1"/>
        <rFont val="Calibri"/>
        <family val="2"/>
        <scheme val="minor"/>
      </rPr>
      <t>05972</t>
    </r>
    <r>
      <rPr>
        <sz val="11"/>
        <color theme="1"/>
        <rFont val="Calibri"/>
        <family val="2"/>
        <scheme val="minor"/>
      </rPr>
      <t xml:space="preserve"> - Secondary instructor
</t>
    </r>
    <r>
      <rPr>
        <b/>
        <sz val="11"/>
        <color theme="1"/>
        <rFont val="Calibri"/>
        <family val="2"/>
        <scheme val="minor"/>
      </rPr>
      <t>73074</t>
    </r>
    <r>
      <rPr>
        <sz val="11"/>
        <color theme="1"/>
        <rFont val="Calibri"/>
        <family val="2"/>
        <scheme val="minor"/>
      </rPr>
      <t xml:space="preserve"> - Special Education Consultant
</t>
    </r>
    <r>
      <rPr>
        <b/>
        <sz val="11"/>
        <color theme="1"/>
        <rFont val="Calibri"/>
        <family val="2"/>
        <scheme val="minor"/>
      </rPr>
      <t>00080</t>
    </r>
    <r>
      <rPr>
        <sz val="11"/>
        <color theme="1"/>
        <rFont val="Calibri"/>
        <family val="2"/>
        <scheme val="minor"/>
      </rPr>
      <t xml:space="preserve"> - Student teachers
</t>
    </r>
    <r>
      <rPr>
        <b/>
        <sz val="11"/>
        <color theme="1"/>
        <rFont val="Calibri"/>
        <family val="2"/>
        <scheme val="minor"/>
      </rPr>
      <t>01382</t>
    </r>
    <r>
      <rPr>
        <sz val="11"/>
        <color theme="1"/>
        <rFont val="Calibri"/>
        <family val="2"/>
        <scheme val="minor"/>
      </rPr>
      <t xml:space="preserve"> - Volunteer/no contract
</t>
    </r>
  </si>
  <si>
    <r>
      <t>01</t>
    </r>
    <r>
      <rPr>
        <sz val="11"/>
        <color theme="1"/>
        <rFont val="Calibri"/>
        <family val="2"/>
        <scheme val="minor"/>
      </rPr>
      <t xml:space="preserve"> - Death
</t>
    </r>
    <r>
      <rPr>
        <b/>
        <sz val="11"/>
        <color theme="1"/>
        <rFont val="Calibri"/>
        <family val="2"/>
        <scheme val="minor"/>
      </rPr>
      <t>02</t>
    </r>
    <r>
      <rPr>
        <sz val="11"/>
        <color theme="1"/>
        <rFont val="Calibri"/>
        <family val="2"/>
        <scheme val="minor"/>
      </rPr>
      <t xml:space="preserve"> - Total and permanent disability
</t>
    </r>
    <r>
      <rPr>
        <b/>
        <sz val="11"/>
        <color theme="1"/>
        <rFont val="Calibri"/>
        <family val="2"/>
        <scheme val="minor"/>
      </rPr>
      <t>03</t>
    </r>
    <r>
      <rPr>
        <sz val="11"/>
        <color theme="1"/>
        <rFont val="Calibri"/>
        <family val="2"/>
        <scheme val="minor"/>
      </rPr>
      <t xml:space="preserve"> - Service in the armed forces
</t>
    </r>
    <r>
      <rPr>
        <b/>
        <sz val="11"/>
        <color theme="1"/>
        <rFont val="Calibri"/>
        <family val="2"/>
        <scheme val="minor"/>
      </rPr>
      <t>04</t>
    </r>
    <r>
      <rPr>
        <sz val="11"/>
        <color theme="1"/>
        <rFont val="Calibri"/>
        <family val="2"/>
        <scheme val="minor"/>
      </rPr>
      <t xml:space="preserve"> - Service with a foreign aid service of the federal government
</t>
    </r>
    <r>
      <rPr>
        <b/>
        <sz val="11"/>
        <color theme="1"/>
        <rFont val="Calibri"/>
        <family val="2"/>
        <scheme val="minor"/>
      </rPr>
      <t>05</t>
    </r>
    <r>
      <rPr>
        <sz val="11"/>
        <color theme="1"/>
        <rFont val="Calibri"/>
        <family val="2"/>
        <scheme val="minor"/>
      </rPr>
      <t xml:space="preserve"> - Service on official church missions
</t>
    </r>
  </si>
  <si>
    <r>
      <t>01</t>
    </r>
    <r>
      <rPr>
        <sz val="11"/>
        <color theme="1"/>
        <rFont val="Calibri"/>
        <family val="2"/>
        <scheme val="minor"/>
      </rPr>
      <t xml:space="preserve"> - Providing services for the duration of the term
</t>
    </r>
    <r>
      <rPr>
        <b/>
        <sz val="11"/>
        <color theme="1"/>
        <rFont val="Calibri"/>
        <family val="2"/>
        <scheme val="minor"/>
      </rPr>
      <t>02</t>
    </r>
    <r>
      <rPr>
        <sz val="11"/>
        <color theme="1"/>
        <rFont val="Calibri"/>
        <family val="2"/>
        <scheme val="minor"/>
      </rPr>
      <t xml:space="preserve"> - Providing services for an additional year -comparable services are not available
</t>
    </r>
    <r>
      <rPr>
        <b/>
        <sz val="11"/>
        <color theme="1"/>
        <rFont val="Calibri"/>
        <family val="2"/>
        <scheme val="minor"/>
      </rPr>
      <t>03</t>
    </r>
    <r>
      <rPr>
        <sz val="11"/>
        <color theme="1"/>
        <rFont val="Calibri"/>
        <family val="2"/>
        <scheme val="minor"/>
      </rPr>
      <t xml:space="preserve"> - Serving secondary students through credit accrual programs
</t>
    </r>
  </si>
  <si>
    <r>
      <t>Multi-year</t>
    </r>
    <r>
      <rPr>
        <sz val="11"/>
        <color theme="1"/>
        <rFont val="Calibri"/>
        <family val="2"/>
        <scheme val="minor"/>
      </rPr>
      <t xml:space="preserve"> - Multi-year
</t>
    </r>
    <r>
      <rPr>
        <b/>
        <sz val="11"/>
        <color theme="1"/>
        <rFont val="Calibri"/>
        <family val="2"/>
        <scheme val="minor"/>
      </rPr>
      <t>Annual</t>
    </r>
    <r>
      <rPr>
        <sz val="11"/>
        <color theme="1"/>
        <rFont val="Calibri"/>
        <family val="2"/>
        <scheme val="minor"/>
      </rPr>
      <t xml:space="preserve"> - Annual
</t>
    </r>
    <r>
      <rPr>
        <b/>
        <sz val="11"/>
        <color theme="1"/>
        <rFont val="Calibri"/>
        <family val="2"/>
        <scheme val="minor"/>
      </rPr>
      <t>LessThanAnnual</t>
    </r>
    <r>
      <rPr>
        <sz val="11"/>
        <color theme="1"/>
        <rFont val="Calibri"/>
        <family val="2"/>
        <scheme val="minor"/>
      </rPr>
      <t xml:space="preserve"> - Less than annual
</t>
    </r>
    <r>
      <rPr>
        <b/>
        <sz val="11"/>
        <color theme="1"/>
        <rFont val="Calibri"/>
        <family val="2"/>
        <scheme val="minor"/>
      </rPr>
      <t>NotApplicable</t>
    </r>
    <r>
      <rPr>
        <sz val="11"/>
        <color theme="1"/>
        <rFont val="Calibri"/>
        <family val="2"/>
        <scheme val="minor"/>
      </rPr>
      <t xml:space="preserve"> - Not applicable
</t>
    </r>
  </si>
  <si>
    <r>
      <t>Public</t>
    </r>
    <r>
      <rPr>
        <sz val="11"/>
        <color theme="1"/>
        <rFont val="Calibri"/>
        <family val="2"/>
        <scheme val="minor"/>
      </rPr>
      <t xml:space="preserve"> - Public
</t>
    </r>
    <r>
      <rPr>
        <b/>
        <sz val="11"/>
        <color theme="1"/>
        <rFont val="Calibri"/>
        <family val="2"/>
        <scheme val="minor"/>
      </rPr>
      <t>PrivateNFP</t>
    </r>
    <r>
      <rPr>
        <sz val="11"/>
        <color theme="1"/>
        <rFont val="Calibri"/>
        <family val="2"/>
        <scheme val="minor"/>
      </rPr>
      <t xml:space="preserve"> - Private, not for profit
</t>
    </r>
    <r>
      <rPr>
        <b/>
        <sz val="11"/>
        <color theme="1"/>
        <rFont val="Calibri"/>
        <family val="2"/>
        <scheme val="minor"/>
      </rPr>
      <t>PrivateFP</t>
    </r>
    <r>
      <rPr>
        <sz val="11"/>
        <color theme="1"/>
        <rFont val="Calibri"/>
        <family val="2"/>
        <scheme val="minor"/>
      </rPr>
      <t xml:space="preserve"> - Private, for profit
</t>
    </r>
  </si>
  <si>
    <r>
      <t>Prison</t>
    </r>
    <r>
      <rPr>
        <sz val="11"/>
        <color theme="1"/>
        <rFont val="Calibri"/>
        <family val="2"/>
        <scheme val="minor"/>
      </rPr>
      <t xml:space="preserve"> - Prison, Penitentiary or Correctional Institution
</t>
    </r>
    <r>
      <rPr>
        <b/>
        <sz val="11"/>
        <color theme="1"/>
        <rFont val="Calibri"/>
        <family val="2"/>
        <scheme val="minor"/>
      </rPr>
      <t>Jail</t>
    </r>
    <r>
      <rPr>
        <sz val="11"/>
        <color theme="1"/>
        <rFont val="Calibri"/>
        <family val="2"/>
        <scheme val="minor"/>
      </rPr>
      <t xml:space="preserve"> - Jail
</t>
    </r>
    <r>
      <rPr>
        <b/>
        <sz val="11"/>
        <color theme="1"/>
        <rFont val="Calibri"/>
        <family val="2"/>
        <scheme val="minor"/>
      </rPr>
      <t>JuvenileFacility</t>
    </r>
    <r>
      <rPr>
        <sz val="11"/>
        <color theme="1"/>
        <rFont val="Calibri"/>
        <family val="2"/>
        <scheme val="minor"/>
      </rPr>
      <t xml:space="preserve"> - Juvenile Facility
</t>
    </r>
    <r>
      <rPr>
        <b/>
        <sz val="11"/>
        <color theme="1"/>
        <rFont val="Calibri"/>
        <family val="2"/>
        <scheme val="minor"/>
      </rPr>
      <t>CommunityCorrections</t>
    </r>
    <r>
      <rPr>
        <sz val="11"/>
        <color theme="1"/>
        <rFont val="Calibri"/>
        <family val="2"/>
        <scheme val="minor"/>
      </rPr>
      <t xml:space="preserve"> - Community Corrections
</t>
    </r>
    <r>
      <rPr>
        <b/>
        <sz val="11"/>
        <color theme="1"/>
        <rFont val="Calibri"/>
        <family val="2"/>
        <scheme val="minor"/>
      </rPr>
      <t>Other</t>
    </r>
    <r>
      <rPr>
        <sz val="11"/>
        <color theme="1"/>
        <rFont val="Calibri"/>
        <family val="2"/>
        <scheme val="minor"/>
      </rPr>
      <t xml:space="preserve"> - Other Institution
</t>
    </r>
  </si>
  <si>
    <r>
      <t>CA1</t>
    </r>
    <r>
      <rPr>
        <sz val="11"/>
        <color theme="1"/>
        <rFont val="Calibri"/>
        <family val="2"/>
        <scheme val="minor"/>
      </rPr>
      <t xml:space="preserve"> - Required implementation of a new research-based curriculum or instructional program
</t>
    </r>
    <r>
      <rPr>
        <b/>
        <sz val="11"/>
        <color theme="1"/>
        <rFont val="Calibri"/>
        <family val="2"/>
        <scheme val="minor"/>
      </rPr>
      <t>CA2</t>
    </r>
    <r>
      <rPr>
        <sz val="11"/>
        <color theme="1"/>
        <rFont val="Calibri"/>
        <family val="2"/>
        <scheme val="minor"/>
      </rPr>
      <t xml:space="preserve"> - Extension of the school year or school day 
</t>
    </r>
    <r>
      <rPr>
        <b/>
        <sz val="11"/>
        <color theme="1"/>
        <rFont val="Calibri"/>
        <family val="2"/>
        <scheme val="minor"/>
      </rPr>
      <t>CA3</t>
    </r>
    <r>
      <rPr>
        <sz val="11"/>
        <color theme="1"/>
        <rFont val="Calibri"/>
        <family val="2"/>
        <scheme val="minor"/>
      </rPr>
      <t xml:space="preserve"> - Replacement of staff members relevant to the school's low performance
</t>
    </r>
    <r>
      <rPr>
        <b/>
        <sz val="11"/>
        <color theme="1"/>
        <rFont val="Calibri"/>
        <family val="2"/>
        <scheme val="minor"/>
      </rPr>
      <t>CA4</t>
    </r>
    <r>
      <rPr>
        <sz val="11"/>
        <color theme="1"/>
        <rFont val="Calibri"/>
        <family val="2"/>
        <scheme val="minor"/>
      </rPr>
      <t xml:space="preserve"> - Significant decrease in management authority at the school level
</t>
    </r>
    <r>
      <rPr>
        <b/>
        <sz val="11"/>
        <color theme="1"/>
        <rFont val="Calibri"/>
        <family val="2"/>
        <scheme val="minor"/>
      </rPr>
      <t>CA5</t>
    </r>
    <r>
      <rPr>
        <sz val="11"/>
        <color theme="1"/>
        <rFont val="Calibri"/>
        <family val="2"/>
        <scheme val="minor"/>
      </rPr>
      <t xml:space="preserve"> - Replacement of the principal
</t>
    </r>
    <r>
      <rPr>
        <b/>
        <sz val="11"/>
        <color theme="1"/>
        <rFont val="Calibri"/>
        <family val="2"/>
        <scheme val="minor"/>
      </rPr>
      <t>CA6</t>
    </r>
    <r>
      <rPr>
        <sz val="11"/>
        <color theme="1"/>
        <rFont val="Calibri"/>
        <family val="2"/>
        <scheme val="minor"/>
      </rPr>
      <t xml:space="preserve"> - Restructuring of the internal organization of the school
</t>
    </r>
    <r>
      <rPr>
        <b/>
        <sz val="11"/>
        <color theme="1"/>
        <rFont val="Calibri"/>
        <family val="2"/>
        <scheme val="minor"/>
      </rPr>
      <t>CA7</t>
    </r>
    <r>
      <rPr>
        <sz val="11"/>
        <color theme="1"/>
        <rFont val="Calibri"/>
        <family val="2"/>
        <scheme val="minor"/>
      </rPr>
      <t xml:space="preserve"> - Appointment of an outside expert to advise the school
</t>
    </r>
  </si>
  <si>
    <r>
      <t>AF</t>
    </r>
    <r>
      <rPr>
        <sz val="11"/>
        <color theme="1"/>
        <rFont val="Calibri"/>
        <family val="2"/>
        <scheme val="minor"/>
      </rPr>
      <t xml:space="preserve"> - AFGHANISTAN
</t>
    </r>
    <r>
      <rPr>
        <b/>
        <sz val="11"/>
        <color theme="1"/>
        <rFont val="Calibri"/>
        <family val="2"/>
        <scheme val="minor"/>
      </rPr>
      <t>AX</t>
    </r>
    <r>
      <rPr>
        <sz val="11"/>
        <color theme="1"/>
        <rFont val="Calibri"/>
        <family val="2"/>
        <scheme val="minor"/>
      </rPr>
      <t xml:space="preserve"> - ÅLAND ISLANDS
</t>
    </r>
    <r>
      <rPr>
        <b/>
        <sz val="11"/>
        <color theme="1"/>
        <rFont val="Calibri"/>
        <family val="2"/>
        <scheme val="minor"/>
      </rPr>
      <t>AL</t>
    </r>
    <r>
      <rPr>
        <sz val="11"/>
        <color theme="1"/>
        <rFont val="Calibri"/>
        <family val="2"/>
        <scheme val="minor"/>
      </rPr>
      <t xml:space="preserve"> - ALBANIA
</t>
    </r>
    <r>
      <rPr>
        <b/>
        <sz val="11"/>
        <color theme="1"/>
        <rFont val="Calibri"/>
        <family val="2"/>
        <scheme val="minor"/>
      </rPr>
      <t>DZ</t>
    </r>
    <r>
      <rPr>
        <sz val="11"/>
        <color theme="1"/>
        <rFont val="Calibri"/>
        <family val="2"/>
        <scheme val="minor"/>
      </rPr>
      <t xml:space="preserve"> - ALGERIA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AD</t>
    </r>
    <r>
      <rPr>
        <sz val="11"/>
        <color theme="1"/>
        <rFont val="Calibri"/>
        <family val="2"/>
        <scheme val="minor"/>
      </rPr>
      <t xml:space="preserve"> - ANDORRA
</t>
    </r>
    <r>
      <rPr>
        <b/>
        <sz val="11"/>
        <color theme="1"/>
        <rFont val="Calibri"/>
        <family val="2"/>
        <scheme val="minor"/>
      </rPr>
      <t>AO</t>
    </r>
    <r>
      <rPr>
        <sz val="11"/>
        <color theme="1"/>
        <rFont val="Calibri"/>
        <family val="2"/>
        <scheme val="minor"/>
      </rPr>
      <t xml:space="preserve"> - ANGOLA
</t>
    </r>
    <r>
      <rPr>
        <b/>
        <sz val="11"/>
        <color theme="1"/>
        <rFont val="Calibri"/>
        <family val="2"/>
        <scheme val="minor"/>
      </rPr>
      <t>AI</t>
    </r>
    <r>
      <rPr>
        <sz val="11"/>
        <color theme="1"/>
        <rFont val="Calibri"/>
        <family val="2"/>
        <scheme val="minor"/>
      </rPr>
      <t xml:space="preserve"> - ANGUILLA
</t>
    </r>
    <r>
      <rPr>
        <b/>
        <sz val="11"/>
        <color theme="1"/>
        <rFont val="Calibri"/>
        <family val="2"/>
        <scheme val="minor"/>
      </rPr>
      <t>AQ</t>
    </r>
    <r>
      <rPr>
        <sz val="11"/>
        <color theme="1"/>
        <rFont val="Calibri"/>
        <family val="2"/>
        <scheme val="minor"/>
      </rPr>
      <t xml:space="preserve"> - ANTARCTICA
</t>
    </r>
    <r>
      <rPr>
        <b/>
        <sz val="11"/>
        <color theme="1"/>
        <rFont val="Calibri"/>
        <family val="2"/>
        <scheme val="minor"/>
      </rPr>
      <t>AG</t>
    </r>
    <r>
      <rPr>
        <sz val="11"/>
        <color theme="1"/>
        <rFont val="Calibri"/>
        <family val="2"/>
        <scheme val="minor"/>
      </rPr>
      <t xml:space="preserve"> - ANTIGUA AND BARBUDA
</t>
    </r>
    <r>
      <rPr>
        <b/>
        <sz val="11"/>
        <color theme="1"/>
        <rFont val="Calibri"/>
        <family val="2"/>
        <scheme val="minor"/>
      </rPr>
      <t>AR</t>
    </r>
    <r>
      <rPr>
        <sz val="11"/>
        <color theme="1"/>
        <rFont val="Calibri"/>
        <family val="2"/>
        <scheme val="minor"/>
      </rPr>
      <t xml:space="preserve"> - ARGENTINA
</t>
    </r>
    <r>
      <rPr>
        <b/>
        <sz val="11"/>
        <color theme="1"/>
        <rFont val="Calibri"/>
        <family val="2"/>
        <scheme val="minor"/>
      </rPr>
      <t>AM</t>
    </r>
    <r>
      <rPr>
        <sz val="11"/>
        <color theme="1"/>
        <rFont val="Calibri"/>
        <family val="2"/>
        <scheme val="minor"/>
      </rPr>
      <t xml:space="preserve"> - ARMENIA
</t>
    </r>
    <r>
      <rPr>
        <b/>
        <sz val="11"/>
        <color theme="1"/>
        <rFont val="Calibri"/>
        <family val="2"/>
        <scheme val="minor"/>
      </rPr>
      <t>AW</t>
    </r>
    <r>
      <rPr>
        <sz val="11"/>
        <color theme="1"/>
        <rFont val="Calibri"/>
        <family val="2"/>
        <scheme val="minor"/>
      </rPr>
      <t xml:space="preserve"> - ARUBA
</t>
    </r>
    <r>
      <rPr>
        <b/>
        <sz val="11"/>
        <color theme="1"/>
        <rFont val="Calibri"/>
        <family val="2"/>
        <scheme val="minor"/>
      </rPr>
      <t>AU</t>
    </r>
    <r>
      <rPr>
        <sz val="11"/>
        <color theme="1"/>
        <rFont val="Calibri"/>
        <family val="2"/>
        <scheme val="minor"/>
      </rPr>
      <t xml:space="preserve"> - AUSTRALIA
</t>
    </r>
    <r>
      <rPr>
        <b/>
        <sz val="11"/>
        <color theme="1"/>
        <rFont val="Calibri"/>
        <family val="2"/>
        <scheme val="minor"/>
      </rPr>
      <t>AT</t>
    </r>
    <r>
      <rPr>
        <sz val="11"/>
        <color theme="1"/>
        <rFont val="Calibri"/>
        <family val="2"/>
        <scheme val="minor"/>
      </rPr>
      <t xml:space="preserve"> - AUSTRIA
</t>
    </r>
    <r>
      <rPr>
        <b/>
        <sz val="11"/>
        <color theme="1"/>
        <rFont val="Calibri"/>
        <family val="2"/>
        <scheme val="minor"/>
      </rPr>
      <t>AZ</t>
    </r>
    <r>
      <rPr>
        <sz val="11"/>
        <color theme="1"/>
        <rFont val="Calibri"/>
        <family val="2"/>
        <scheme val="minor"/>
      </rPr>
      <t xml:space="preserve"> - AZERBAIJAN
</t>
    </r>
    <r>
      <rPr>
        <b/>
        <sz val="11"/>
        <color theme="1"/>
        <rFont val="Calibri"/>
        <family val="2"/>
        <scheme val="minor"/>
      </rPr>
      <t>BS</t>
    </r>
    <r>
      <rPr>
        <sz val="11"/>
        <color theme="1"/>
        <rFont val="Calibri"/>
        <family val="2"/>
        <scheme val="minor"/>
      </rPr>
      <t xml:space="preserve"> - BAHAMAS
</t>
    </r>
    <r>
      <rPr>
        <b/>
        <sz val="11"/>
        <color theme="1"/>
        <rFont val="Calibri"/>
        <family val="2"/>
        <scheme val="minor"/>
      </rPr>
      <t>BH</t>
    </r>
    <r>
      <rPr>
        <sz val="11"/>
        <color theme="1"/>
        <rFont val="Calibri"/>
        <family val="2"/>
        <scheme val="minor"/>
      </rPr>
      <t xml:space="preserve"> - BAHRAIN
</t>
    </r>
    <r>
      <rPr>
        <b/>
        <sz val="11"/>
        <color theme="1"/>
        <rFont val="Calibri"/>
        <family val="2"/>
        <scheme val="minor"/>
      </rPr>
      <t>BD</t>
    </r>
    <r>
      <rPr>
        <sz val="11"/>
        <color theme="1"/>
        <rFont val="Calibri"/>
        <family val="2"/>
        <scheme val="minor"/>
      </rPr>
      <t xml:space="preserve"> - BANGLADESH
</t>
    </r>
    <r>
      <rPr>
        <b/>
        <sz val="11"/>
        <color theme="1"/>
        <rFont val="Calibri"/>
        <family val="2"/>
        <scheme val="minor"/>
      </rPr>
      <t>BB</t>
    </r>
    <r>
      <rPr>
        <sz val="11"/>
        <color theme="1"/>
        <rFont val="Calibri"/>
        <family val="2"/>
        <scheme val="minor"/>
      </rPr>
      <t xml:space="preserve"> - BARBADOS
</t>
    </r>
    <r>
      <rPr>
        <b/>
        <sz val="11"/>
        <color theme="1"/>
        <rFont val="Calibri"/>
        <family val="2"/>
        <scheme val="minor"/>
      </rPr>
      <t>BY</t>
    </r>
    <r>
      <rPr>
        <sz val="11"/>
        <color theme="1"/>
        <rFont val="Calibri"/>
        <family val="2"/>
        <scheme val="minor"/>
      </rPr>
      <t xml:space="preserve"> - BELARUS
</t>
    </r>
    <r>
      <rPr>
        <b/>
        <sz val="11"/>
        <color theme="1"/>
        <rFont val="Calibri"/>
        <family val="2"/>
        <scheme val="minor"/>
      </rPr>
      <t>BE</t>
    </r>
    <r>
      <rPr>
        <sz val="11"/>
        <color theme="1"/>
        <rFont val="Calibri"/>
        <family val="2"/>
        <scheme val="minor"/>
      </rPr>
      <t xml:space="preserve"> - BELGIUM
</t>
    </r>
    <r>
      <rPr>
        <b/>
        <sz val="11"/>
        <color theme="1"/>
        <rFont val="Calibri"/>
        <family val="2"/>
        <scheme val="minor"/>
      </rPr>
      <t>BZ</t>
    </r>
    <r>
      <rPr>
        <sz val="11"/>
        <color theme="1"/>
        <rFont val="Calibri"/>
        <family val="2"/>
        <scheme val="minor"/>
      </rPr>
      <t xml:space="preserve"> - BELIZE
</t>
    </r>
    <r>
      <rPr>
        <b/>
        <sz val="11"/>
        <color theme="1"/>
        <rFont val="Calibri"/>
        <family val="2"/>
        <scheme val="minor"/>
      </rPr>
      <t>BJ</t>
    </r>
    <r>
      <rPr>
        <sz val="11"/>
        <color theme="1"/>
        <rFont val="Calibri"/>
        <family val="2"/>
        <scheme val="minor"/>
      </rPr>
      <t xml:space="preserve"> - BENIN
</t>
    </r>
    <r>
      <rPr>
        <b/>
        <sz val="11"/>
        <color theme="1"/>
        <rFont val="Calibri"/>
        <family val="2"/>
        <scheme val="minor"/>
      </rPr>
      <t>BM</t>
    </r>
    <r>
      <rPr>
        <sz val="11"/>
        <color theme="1"/>
        <rFont val="Calibri"/>
        <family val="2"/>
        <scheme val="minor"/>
      </rPr>
      <t xml:space="preserve"> - BERMUDA
</t>
    </r>
    <r>
      <rPr>
        <b/>
        <sz val="11"/>
        <color theme="1"/>
        <rFont val="Calibri"/>
        <family val="2"/>
        <scheme val="minor"/>
      </rPr>
      <t>BT</t>
    </r>
    <r>
      <rPr>
        <sz val="11"/>
        <color theme="1"/>
        <rFont val="Calibri"/>
        <family val="2"/>
        <scheme val="minor"/>
      </rPr>
      <t xml:space="preserve"> - BHUTAN
</t>
    </r>
    <r>
      <rPr>
        <b/>
        <sz val="11"/>
        <color theme="1"/>
        <rFont val="Calibri"/>
        <family val="2"/>
        <scheme val="minor"/>
      </rPr>
      <t>BO</t>
    </r>
    <r>
      <rPr>
        <sz val="11"/>
        <color theme="1"/>
        <rFont val="Calibri"/>
        <family val="2"/>
        <scheme val="minor"/>
      </rPr>
      <t xml:space="preserve"> - BOLIVIA, PLURINATIONAL STATE OF
</t>
    </r>
    <r>
      <rPr>
        <b/>
        <sz val="11"/>
        <color theme="1"/>
        <rFont val="Calibri"/>
        <family val="2"/>
        <scheme val="minor"/>
      </rPr>
      <t>BQ</t>
    </r>
    <r>
      <rPr>
        <sz val="11"/>
        <color theme="1"/>
        <rFont val="Calibri"/>
        <family val="2"/>
        <scheme val="minor"/>
      </rPr>
      <t xml:space="preserve"> - BONAIRE, SINT EUSTATIUS AND SABA
</t>
    </r>
    <r>
      <rPr>
        <b/>
        <sz val="11"/>
        <color theme="1"/>
        <rFont val="Calibri"/>
        <family val="2"/>
        <scheme val="minor"/>
      </rPr>
      <t>BA</t>
    </r>
    <r>
      <rPr>
        <sz val="11"/>
        <color theme="1"/>
        <rFont val="Calibri"/>
        <family val="2"/>
        <scheme val="minor"/>
      </rPr>
      <t xml:space="preserve"> - BOSNIA AND HERZEGOVINA
</t>
    </r>
    <r>
      <rPr>
        <b/>
        <sz val="11"/>
        <color theme="1"/>
        <rFont val="Calibri"/>
        <family val="2"/>
        <scheme val="minor"/>
      </rPr>
      <t>BW</t>
    </r>
    <r>
      <rPr>
        <sz val="11"/>
        <color theme="1"/>
        <rFont val="Calibri"/>
        <family val="2"/>
        <scheme val="minor"/>
      </rPr>
      <t xml:space="preserve"> - BOTSWANA
</t>
    </r>
    <r>
      <rPr>
        <b/>
        <sz val="11"/>
        <color theme="1"/>
        <rFont val="Calibri"/>
        <family val="2"/>
        <scheme val="minor"/>
      </rPr>
      <t>BV</t>
    </r>
    <r>
      <rPr>
        <sz val="11"/>
        <color theme="1"/>
        <rFont val="Calibri"/>
        <family val="2"/>
        <scheme val="minor"/>
      </rPr>
      <t xml:space="preserve"> - BOUVET ISLAND
</t>
    </r>
    <r>
      <rPr>
        <b/>
        <sz val="11"/>
        <color theme="1"/>
        <rFont val="Calibri"/>
        <family val="2"/>
        <scheme val="minor"/>
      </rPr>
      <t>BR</t>
    </r>
    <r>
      <rPr>
        <sz val="11"/>
        <color theme="1"/>
        <rFont val="Calibri"/>
        <family val="2"/>
        <scheme val="minor"/>
      </rPr>
      <t xml:space="preserve"> - BRAZIL
</t>
    </r>
    <r>
      <rPr>
        <b/>
        <sz val="11"/>
        <color theme="1"/>
        <rFont val="Calibri"/>
        <family val="2"/>
        <scheme val="minor"/>
      </rPr>
      <t>IO</t>
    </r>
    <r>
      <rPr>
        <sz val="11"/>
        <color theme="1"/>
        <rFont val="Calibri"/>
        <family val="2"/>
        <scheme val="minor"/>
      </rPr>
      <t xml:space="preserve"> - BRITISH INDIAN OCEAN TERRITORY
</t>
    </r>
    <r>
      <rPr>
        <b/>
        <sz val="11"/>
        <color theme="1"/>
        <rFont val="Calibri"/>
        <family val="2"/>
        <scheme val="minor"/>
      </rPr>
      <t>BN</t>
    </r>
    <r>
      <rPr>
        <sz val="11"/>
        <color theme="1"/>
        <rFont val="Calibri"/>
        <family val="2"/>
        <scheme val="minor"/>
      </rPr>
      <t xml:space="preserve"> - BRUNEI DARUSSALAM
</t>
    </r>
    <r>
      <rPr>
        <b/>
        <sz val="11"/>
        <color theme="1"/>
        <rFont val="Calibri"/>
        <family val="2"/>
        <scheme val="minor"/>
      </rPr>
      <t>BG</t>
    </r>
    <r>
      <rPr>
        <sz val="11"/>
        <color theme="1"/>
        <rFont val="Calibri"/>
        <family val="2"/>
        <scheme val="minor"/>
      </rPr>
      <t xml:space="preserve"> - BULGARIA
</t>
    </r>
    <r>
      <rPr>
        <b/>
        <sz val="11"/>
        <color theme="1"/>
        <rFont val="Calibri"/>
        <family val="2"/>
        <scheme val="minor"/>
      </rPr>
      <t>BF</t>
    </r>
    <r>
      <rPr>
        <sz val="11"/>
        <color theme="1"/>
        <rFont val="Calibri"/>
        <family val="2"/>
        <scheme val="minor"/>
      </rPr>
      <t xml:space="preserve"> - BURKINA FASO
</t>
    </r>
    <r>
      <rPr>
        <b/>
        <sz val="11"/>
        <color theme="1"/>
        <rFont val="Calibri"/>
        <family val="2"/>
        <scheme val="minor"/>
      </rPr>
      <t>BI</t>
    </r>
    <r>
      <rPr>
        <sz val="11"/>
        <color theme="1"/>
        <rFont val="Calibri"/>
        <family val="2"/>
        <scheme val="minor"/>
      </rPr>
      <t xml:space="preserve"> - BURUNDI
</t>
    </r>
    <r>
      <rPr>
        <b/>
        <sz val="11"/>
        <color theme="1"/>
        <rFont val="Calibri"/>
        <family val="2"/>
        <scheme val="minor"/>
      </rPr>
      <t>KH</t>
    </r>
    <r>
      <rPr>
        <sz val="11"/>
        <color theme="1"/>
        <rFont val="Calibri"/>
        <family val="2"/>
        <scheme val="minor"/>
      </rPr>
      <t xml:space="preserve"> - CAMBODIA
</t>
    </r>
    <r>
      <rPr>
        <b/>
        <sz val="11"/>
        <color theme="1"/>
        <rFont val="Calibri"/>
        <family val="2"/>
        <scheme val="minor"/>
      </rPr>
      <t>CM</t>
    </r>
    <r>
      <rPr>
        <sz val="11"/>
        <color theme="1"/>
        <rFont val="Calibri"/>
        <family val="2"/>
        <scheme val="minor"/>
      </rPr>
      <t xml:space="preserve"> - CAMEROON
</t>
    </r>
    <r>
      <rPr>
        <b/>
        <sz val="11"/>
        <color theme="1"/>
        <rFont val="Calibri"/>
        <family val="2"/>
        <scheme val="minor"/>
      </rPr>
      <t>CA</t>
    </r>
    <r>
      <rPr>
        <sz val="11"/>
        <color theme="1"/>
        <rFont val="Calibri"/>
        <family val="2"/>
        <scheme val="minor"/>
      </rPr>
      <t xml:space="preserve"> - CANADA
</t>
    </r>
    <r>
      <rPr>
        <b/>
        <sz val="11"/>
        <color theme="1"/>
        <rFont val="Calibri"/>
        <family val="2"/>
        <scheme val="minor"/>
      </rPr>
      <t>CV</t>
    </r>
    <r>
      <rPr>
        <sz val="11"/>
        <color theme="1"/>
        <rFont val="Calibri"/>
        <family val="2"/>
        <scheme val="minor"/>
      </rPr>
      <t xml:space="preserve"> - CAPE VERDE
</t>
    </r>
    <r>
      <rPr>
        <b/>
        <sz val="11"/>
        <color theme="1"/>
        <rFont val="Calibri"/>
        <family val="2"/>
        <scheme val="minor"/>
      </rPr>
      <t>KY</t>
    </r>
    <r>
      <rPr>
        <sz val="11"/>
        <color theme="1"/>
        <rFont val="Calibri"/>
        <family val="2"/>
        <scheme val="minor"/>
      </rPr>
      <t xml:space="preserve"> - CAYMAN ISLANDS
</t>
    </r>
    <r>
      <rPr>
        <b/>
        <sz val="11"/>
        <color theme="1"/>
        <rFont val="Calibri"/>
        <family val="2"/>
        <scheme val="minor"/>
      </rPr>
      <t>CF</t>
    </r>
    <r>
      <rPr>
        <sz val="11"/>
        <color theme="1"/>
        <rFont val="Calibri"/>
        <family val="2"/>
        <scheme val="minor"/>
      </rPr>
      <t xml:space="preserve"> - CENTRAL AFRICAN REPUBLIC
</t>
    </r>
    <r>
      <rPr>
        <b/>
        <sz val="11"/>
        <color theme="1"/>
        <rFont val="Calibri"/>
        <family val="2"/>
        <scheme val="minor"/>
      </rPr>
      <t>TD</t>
    </r>
    <r>
      <rPr>
        <sz val="11"/>
        <color theme="1"/>
        <rFont val="Calibri"/>
        <family val="2"/>
        <scheme val="minor"/>
      </rPr>
      <t xml:space="preserve"> - CHAD
</t>
    </r>
    <r>
      <rPr>
        <b/>
        <sz val="11"/>
        <color theme="1"/>
        <rFont val="Calibri"/>
        <family val="2"/>
        <scheme val="minor"/>
      </rPr>
      <t>CL</t>
    </r>
    <r>
      <rPr>
        <sz val="11"/>
        <color theme="1"/>
        <rFont val="Calibri"/>
        <family val="2"/>
        <scheme val="minor"/>
      </rPr>
      <t xml:space="preserve"> - CHILE
</t>
    </r>
    <r>
      <rPr>
        <b/>
        <sz val="11"/>
        <color theme="1"/>
        <rFont val="Calibri"/>
        <family val="2"/>
        <scheme val="minor"/>
      </rPr>
      <t>CN</t>
    </r>
    <r>
      <rPr>
        <sz val="11"/>
        <color theme="1"/>
        <rFont val="Calibri"/>
        <family val="2"/>
        <scheme val="minor"/>
      </rPr>
      <t xml:space="preserve"> - CHINA
</t>
    </r>
    <r>
      <rPr>
        <b/>
        <sz val="11"/>
        <color theme="1"/>
        <rFont val="Calibri"/>
        <family val="2"/>
        <scheme val="minor"/>
      </rPr>
      <t>CX</t>
    </r>
    <r>
      <rPr>
        <sz val="11"/>
        <color theme="1"/>
        <rFont val="Calibri"/>
        <family val="2"/>
        <scheme val="minor"/>
      </rPr>
      <t xml:space="preserve"> - CHRISTMAS ISLAND
</t>
    </r>
    <r>
      <rPr>
        <b/>
        <sz val="11"/>
        <color theme="1"/>
        <rFont val="Calibri"/>
        <family val="2"/>
        <scheme val="minor"/>
      </rPr>
      <t>CC</t>
    </r>
    <r>
      <rPr>
        <sz val="11"/>
        <color theme="1"/>
        <rFont val="Calibri"/>
        <family val="2"/>
        <scheme val="minor"/>
      </rPr>
      <t xml:space="preserve"> - COCOS (KEELING) ISLANDS
</t>
    </r>
    <r>
      <rPr>
        <b/>
        <sz val="11"/>
        <color theme="1"/>
        <rFont val="Calibri"/>
        <family val="2"/>
        <scheme val="minor"/>
      </rPr>
      <t>CO</t>
    </r>
    <r>
      <rPr>
        <sz val="11"/>
        <color theme="1"/>
        <rFont val="Calibri"/>
        <family val="2"/>
        <scheme val="minor"/>
      </rPr>
      <t xml:space="preserve"> - COLOMBIA
</t>
    </r>
    <r>
      <rPr>
        <b/>
        <sz val="11"/>
        <color theme="1"/>
        <rFont val="Calibri"/>
        <family val="2"/>
        <scheme val="minor"/>
      </rPr>
      <t>KM</t>
    </r>
    <r>
      <rPr>
        <sz val="11"/>
        <color theme="1"/>
        <rFont val="Calibri"/>
        <family val="2"/>
        <scheme val="minor"/>
      </rPr>
      <t xml:space="preserve"> - COMOROS
</t>
    </r>
    <r>
      <rPr>
        <b/>
        <sz val="11"/>
        <color theme="1"/>
        <rFont val="Calibri"/>
        <family val="2"/>
        <scheme val="minor"/>
      </rPr>
      <t>CG</t>
    </r>
    <r>
      <rPr>
        <sz val="11"/>
        <color theme="1"/>
        <rFont val="Calibri"/>
        <family val="2"/>
        <scheme val="minor"/>
      </rPr>
      <t xml:space="preserve"> - CONGO
</t>
    </r>
    <r>
      <rPr>
        <b/>
        <sz val="11"/>
        <color theme="1"/>
        <rFont val="Calibri"/>
        <family val="2"/>
        <scheme val="minor"/>
      </rPr>
      <t>CD</t>
    </r>
    <r>
      <rPr>
        <sz val="11"/>
        <color theme="1"/>
        <rFont val="Calibri"/>
        <family val="2"/>
        <scheme val="minor"/>
      </rPr>
      <t xml:space="preserve"> - CONGO, THE DEMOCRATIC REPUBLIC OF THE
</t>
    </r>
    <r>
      <rPr>
        <b/>
        <sz val="11"/>
        <color theme="1"/>
        <rFont val="Calibri"/>
        <family val="2"/>
        <scheme val="minor"/>
      </rPr>
      <t>CK</t>
    </r>
    <r>
      <rPr>
        <sz val="11"/>
        <color theme="1"/>
        <rFont val="Calibri"/>
        <family val="2"/>
        <scheme val="minor"/>
      </rPr>
      <t xml:space="preserve"> - COOK ISLANDS
</t>
    </r>
    <r>
      <rPr>
        <b/>
        <sz val="11"/>
        <color theme="1"/>
        <rFont val="Calibri"/>
        <family val="2"/>
        <scheme val="minor"/>
      </rPr>
      <t>CR</t>
    </r>
    <r>
      <rPr>
        <sz val="11"/>
        <color theme="1"/>
        <rFont val="Calibri"/>
        <family val="2"/>
        <scheme val="minor"/>
      </rPr>
      <t xml:space="preserve"> - COSTA RICA
</t>
    </r>
    <r>
      <rPr>
        <b/>
        <sz val="11"/>
        <color theme="1"/>
        <rFont val="Calibri"/>
        <family val="2"/>
        <scheme val="minor"/>
      </rPr>
      <t>CI</t>
    </r>
    <r>
      <rPr>
        <sz val="11"/>
        <color theme="1"/>
        <rFont val="Calibri"/>
        <family val="2"/>
        <scheme val="minor"/>
      </rPr>
      <t xml:space="preserve"> - CÔTE D'IVOIRE
</t>
    </r>
    <r>
      <rPr>
        <b/>
        <sz val="11"/>
        <color theme="1"/>
        <rFont val="Calibri"/>
        <family val="2"/>
        <scheme val="minor"/>
      </rPr>
      <t>HR</t>
    </r>
    <r>
      <rPr>
        <sz val="11"/>
        <color theme="1"/>
        <rFont val="Calibri"/>
        <family val="2"/>
        <scheme val="minor"/>
      </rPr>
      <t xml:space="preserve"> - CROATIA
</t>
    </r>
    <r>
      <rPr>
        <b/>
        <sz val="11"/>
        <color theme="1"/>
        <rFont val="Calibri"/>
        <family val="2"/>
        <scheme val="minor"/>
      </rPr>
      <t>CU</t>
    </r>
    <r>
      <rPr>
        <sz val="11"/>
        <color theme="1"/>
        <rFont val="Calibri"/>
        <family val="2"/>
        <scheme val="minor"/>
      </rPr>
      <t xml:space="preserve"> - CUBA
</t>
    </r>
    <r>
      <rPr>
        <b/>
        <sz val="11"/>
        <color theme="1"/>
        <rFont val="Calibri"/>
        <family val="2"/>
        <scheme val="minor"/>
      </rPr>
      <t>CW</t>
    </r>
    <r>
      <rPr>
        <sz val="11"/>
        <color theme="1"/>
        <rFont val="Calibri"/>
        <family val="2"/>
        <scheme val="minor"/>
      </rPr>
      <t xml:space="preserve"> - CURAÇAO
</t>
    </r>
    <r>
      <rPr>
        <b/>
        <sz val="11"/>
        <color theme="1"/>
        <rFont val="Calibri"/>
        <family val="2"/>
        <scheme val="minor"/>
      </rPr>
      <t>CY</t>
    </r>
    <r>
      <rPr>
        <sz val="11"/>
        <color theme="1"/>
        <rFont val="Calibri"/>
        <family val="2"/>
        <scheme val="minor"/>
      </rPr>
      <t xml:space="preserve"> - CYPRUS
</t>
    </r>
    <r>
      <rPr>
        <b/>
        <sz val="11"/>
        <color theme="1"/>
        <rFont val="Calibri"/>
        <family val="2"/>
        <scheme val="minor"/>
      </rPr>
      <t>CZ</t>
    </r>
    <r>
      <rPr>
        <sz val="11"/>
        <color theme="1"/>
        <rFont val="Calibri"/>
        <family val="2"/>
        <scheme val="minor"/>
      </rPr>
      <t xml:space="preserve"> - CZECH REPUBLIC
</t>
    </r>
    <r>
      <rPr>
        <b/>
        <sz val="11"/>
        <color theme="1"/>
        <rFont val="Calibri"/>
        <family val="2"/>
        <scheme val="minor"/>
      </rPr>
      <t>DK</t>
    </r>
    <r>
      <rPr>
        <sz val="11"/>
        <color theme="1"/>
        <rFont val="Calibri"/>
        <family val="2"/>
        <scheme val="minor"/>
      </rPr>
      <t xml:space="preserve"> - DENMARK
</t>
    </r>
    <r>
      <rPr>
        <b/>
        <sz val="11"/>
        <color theme="1"/>
        <rFont val="Calibri"/>
        <family val="2"/>
        <scheme val="minor"/>
      </rPr>
      <t>DJ</t>
    </r>
    <r>
      <rPr>
        <sz val="11"/>
        <color theme="1"/>
        <rFont val="Calibri"/>
        <family val="2"/>
        <scheme val="minor"/>
      </rPr>
      <t xml:space="preserve"> - DJIBOUTI
</t>
    </r>
    <r>
      <rPr>
        <b/>
        <sz val="11"/>
        <color theme="1"/>
        <rFont val="Calibri"/>
        <family val="2"/>
        <scheme val="minor"/>
      </rPr>
      <t>DM</t>
    </r>
    <r>
      <rPr>
        <sz val="11"/>
        <color theme="1"/>
        <rFont val="Calibri"/>
        <family val="2"/>
        <scheme val="minor"/>
      </rPr>
      <t xml:space="preserve"> - DOMINICA
</t>
    </r>
    <r>
      <rPr>
        <b/>
        <sz val="11"/>
        <color theme="1"/>
        <rFont val="Calibri"/>
        <family val="2"/>
        <scheme val="minor"/>
      </rPr>
      <t>DO</t>
    </r>
    <r>
      <rPr>
        <sz val="11"/>
        <color theme="1"/>
        <rFont val="Calibri"/>
        <family val="2"/>
        <scheme val="minor"/>
      </rPr>
      <t xml:space="preserve"> - DOMINICAN REPUBLIC
</t>
    </r>
    <r>
      <rPr>
        <b/>
        <sz val="11"/>
        <color theme="1"/>
        <rFont val="Calibri"/>
        <family val="2"/>
        <scheme val="minor"/>
      </rPr>
      <t>EC</t>
    </r>
    <r>
      <rPr>
        <sz val="11"/>
        <color theme="1"/>
        <rFont val="Calibri"/>
        <family val="2"/>
        <scheme val="minor"/>
      </rPr>
      <t xml:space="preserve"> - ECUADOR
</t>
    </r>
    <r>
      <rPr>
        <b/>
        <sz val="11"/>
        <color theme="1"/>
        <rFont val="Calibri"/>
        <family val="2"/>
        <scheme val="minor"/>
      </rPr>
      <t>EG</t>
    </r>
    <r>
      <rPr>
        <sz val="11"/>
        <color theme="1"/>
        <rFont val="Calibri"/>
        <family val="2"/>
        <scheme val="minor"/>
      </rPr>
      <t xml:space="preserve"> - EGYPT
</t>
    </r>
    <r>
      <rPr>
        <b/>
        <sz val="11"/>
        <color theme="1"/>
        <rFont val="Calibri"/>
        <family val="2"/>
        <scheme val="minor"/>
      </rPr>
      <t>SV</t>
    </r>
    <r>
      <rPr>
        <sz val="11"/>
        <color theme="1"/>
        <rFont val="Calibri"/>
        <family val="2"/>
        <scheme val="minor"/>
      </rPr>
      <t xml:space="preserve"> - EL SALVADOR
</t>
    </r>
    <r>
      <rPr>
        <b/>
        <sz val="11"/>
        <color theme="1"/>
        <rFont val="Calibri"/>
        <family val="2"/>
        <scheme val="minor"/>
      </rPr>
      <t>GQ</t>
    </r>
    <r>
      <rPr>
        <sz val="11"/>
        <color theme="1"/>
        <rFont val="Calibri"/>
        <family val="2"/>
        <scheme val="minor"/>
      </rPr>
      <t xml:space="preserve"> - EQUATORIAL GUINEA
</t>
    </r>
    <r>
      <rPr>
        <b/>
        <sz val="11"/>
        <color theme="1"/>
        <rFont val="Calibri"/>
        <family val="2"/>
        <scheme val="minor"/>
      </rPr>
      <t>ER</t>
    </r>
    <r>
      <rPr>
        <sz val="11"/>
        <color theme="1"/>
        <rFont val="Calibri"/>
        <family val="2"/>
        <scheme val="minor"/>
      </rPr>
      <t xml:space="preserve"> - ERITREA
</t>
    </r>
    <r>
      <rPr>
        <b/>
        <sz val="11"/>
        <color theme="1"/>
        <rFont val="Calibri"/>
        <family val="2"/>
        <scheme val="minor"/>
      </rPr>
      <t>EE</t>
    </r>
    <r>
      <rPr>
        <sz val="11"/>
        <color theme="1"/>
        <rFont val="Calibri"/>
        <family val="2"/>
        <scheme val="minor"/>
      </rPr>
      <t xml:space="preserve"> - ESTONIA
</t>
    </r>
    <r>
      <rPr>
        <b/>
        <sz val="11"/>
        <color theme="1"/>
        <rFont val="Calibri"/>
        <family val="2"/>
        <scheme val="minor"/>
      </rPr>
      <t>ET</t>
    </r>
    <r>
      <rPr>
        <sz val="11"/>
        <color theme="1"/>
        <rFont val="Calibri"/>
        <family val="2"/>
        <scheme val="minor"/>
      </rPr>
      <t xml:space="preserve"> - ETHIOPIA
</t>
    </r>
    <r>
      <rPr>
        <b/>
        <sz val="11"/>
        <color theme="1"/>
        <rFont val="Calibri"/>
        <family val="2"/>
        <scheme val="minor"/>
      </rPr>
      <t>FK</t>
    </r>
    <r>
      <rPr>
        <sz val="11"/>
        <color theme="1"/>
        <rFont val="Calibri"/>
        <family val="2"/>
        <scheme val="minor"/>
      </rPr>
      <t xml:space="preserve"> - FALKLAND ISLANDS (MALVINAS)
</t>
    </r>
    <r>
      <rPr>
        <b/>
        <sz val="11"/>
        <color theme="1"/>
        <rFont val="Calibri"/>
        <family val="2"/>
        <scheme val="minor"/>
      </rPr>
      <t>FO</t>
    </r>
    <r>
      <rPr>
        <sz val="11"/>
        <color theme="1"/>
        <rFont val="Calibri"/>
        <family val="2"/>
        <scheme val="minor"/>
      </rPr>
      <t xml:space="preserve"> - FAROE ISLANDS
</t>
    </r>
    <r>
      <rPr>
        <b/>
        <sz val="11"/>
        <color theme="1"/>
        <rFont val="Calibri"/>
        <family val="2"/>
        <scheme val="minor"/>
      </rPr>
      <t>FJ</t>
    </r>
    <r>
      <rPr>
        <sz val="11"/>
        <color theme="1"/>
        <rFont val="Calibri"/>
        <family val="2"/>
        <scheme val="minor"/>
      </rPr>
      <t xml:space="preserve"> - FIJI
</t>
    </r>
    <r>
      <rPr>
        <b/>
        <sz val="11"/>
        <color theme="1"/>
        <rFont val="Calibri"/>
        <family val="2"/>
        <scheme val="minor"/>
      </rPr>
      <t>FI</t>
    </r>
    <r>
      <rPr>
        <sz val="11"/>
        <color theme="1"/>
        <rFont val="Calibri"/>
        <family val="2"/>
        <scheme val="minor"/>
      </rPr>
      <t xml:space="preserve"> - FINLAND
</t>
    </r>
    <r>
      <rPr>
        <b/>
        <sz val="11"/>
        <color theme="1"/>
        <rFont val="Calibri"/>
        <family val="2"/>
        <scheme val="minor"/>
      </rPr>
      <t>FR</t>
    </r>
    <r>
      <rPr>
        <sz val="11"/>
        <color theme="1"/>
        <rFont val="Calibri"/>
        <family val="2"/>
        <scheme val="minor"/>
      </rPr>
      <t xml:space="preserve"> - FRANCE
</t>
    </r>
    <r>
      <rPr>
        <b/>
        <sz val="11"/>
        <color theme="1"/>
        <rFont val="Calibri"/>
        <family val="2"/>
        <scheme val="minor"/>
      </rPr>
      <t>GF</t>
    </r>
    <r>
      <rPr>
        <sz val="11"/>
        <color theme="1"/>
        <rFont val="Calibri"/>
        <family val="2"/>
        <scheme val="minor"/>
      </rPr>
      <t xml:space="preserve"> - FRENCH GUIANA
</t>
    </r>
    <r>
      <rPr>
        <b/>
        <sz val="11"/>
        <color theme="1"/>
        <rFont val="Calibri"/>
        <family val="2"/>
        <scheme val="minor"/>
      </rPr>
      <t>PF</t>
    </r>
    <r>
      <rPr>
        <sz val="11"/>
        <color theme="1"/>
        <rFont val="Calibri"/>
        <family val="2"/>
        <scheme val="minor"/>
      </rPr>
      <t xml:space="preserve"> - FRENCH POLYNESIA
</t>
    </r>
    <r>
      <rPr>
        <b/>
        <sz val="11"/>
        <color theme="1"/>
        <rFont val="Calibri"/>
        <family val="2"/>
        <scheme val="minor"/>
      </rPr>
      <t>TF</t>
    </r>
    <r>
      <rPr>
        <sz val="11"/>
        <color theme="1"/>
        <rFont val="Calibri"/>
        <family val="2"/>
        <scheme val="minor"/>
      </rPr>
      <t xml:space="preserve"> - FRENCH SOUTHERN TERRITORIES
</t>
    </r>
    <r>
      <rPr>
        <b/>
        <sz val="11"/>
        <color theme="1"/>
        <rFont val="Calibri"/>
        <family val="2"/>
        <scheme val="minor"/>
      </rPr>
      <t>GA</t>
    </r>
    <r>
      <rPr>
        <sz val="11"/>
        <color theme="1"/>
        <rFont val="Calibri"/>
        <family val="2"/>
        <scheme val="minor"/>
      </rPr>
      <t xml:space="preserve"> - GABON
</t>
    </r>
    <r>
      <rPr>
        <b/>
        <sz val="11"/>
        <color theme="1"/>
        <rFont val="Calibri"/>
        <family val="2"/>
        <scheme val="minor"/>
      </rPr>
      <t>GM</t>
    </r>
    <r>
      <rPr>
        <sz val="11"/>
        <color theme="1"/>
        <rFont val="Calibri"/>
        <family val="2"/>
        <scheme val="minor"/>
      </rPr>
      <t xml:space="preserve"> - GAMBIA
</t>
    </r>
    <r>
      <rPr>
        <b/>
        <sz val="11"/>
        <color theme="1"/>
        <rFont val="Calibri"/>
        <family val="2"/>
        <scheme val="minor"/>
      </rPr>
      <t>GE</t>
    </r>
    <r>
      <rPr>
        <sz val="11"/>
        <color theme="1"/>
        <rFont val="Calibri"/>
        <family val="2"/>
        <scheme val="minor"/>
      </rPr>
      <t xml:space="preserve"> - GEORGIA
</t>
    </r>
    <r>
      <rPr>
        <b/>
        <sz val="11"/>
        <color theme="1"/>
        <rFont val="Calibri"/>
        <family val="2"/>
        <scheme val="minor"/>
      </rPr>
      <t>DE</t>
    </r>
    <r>
      <rPr>
        <sz val="11"/>
        <color theme="1"/>
        <rFont val="Calibri"/>
        <family val="2"/>
        <scheme val="minor"/>
      </rPr>
      <t xml:space="preserve"> - GERMANY
</t>
    </r>
    <r>
      <rPr>
        <b/>
        <sz val="11"/>
        <color theme="1"/>
        <rFont val="Calibri"/>
        <family val="2"/>
        <scheme val="minor"/>
      </rPr>
      <t>GH</t>
    </r>
    <r>
      <rPr>
        <sz val="11"/>
        <color theme="1"/>
        <rFont val="Calibri"/>
        <family val="2"/>
        <scheme val="minor"/>
      </rPr>
      <t xml:space="preserve"> - GHANA
</t>
    </r>
    <r>
      <rPr>
        <b/>
        <sz val="11"/>
        <color theme="1"/>
        <rFont val="Calibri"/>
        <family val="2"/>
        <scheme val="minor"/>
      </rPr>
      <t>GI</t>
    </r>
    <r>
      <rPr>
        <sz val="11"/>
        <color theme="1"/>
        <rFont val="Calibri"/>
        <family val="2"/>
        <scheme val="minor"/>
      </rPr>
      <t xml:space="preserve"> - GIBRALTAR
</t>
    </r>
    <r>
      <rPr>
        <b/>
        <sz val="11"/>
        <color theme="1"/>
        <rFont val="Calibri"/>
        <family val="2"/>
        <scheme val="minor"/>
      </rPr>
      <t>GR</t>
    </r>
    <r>
      <rPr>
        <sz val="11"/>
        <color theme="1"/>
        <rFont val="Calibri"/>
        <family val="2"/>
        <scheme val="minor"/>
      </rPr>
      <t xml:space="preserve"> - GREECE
</t>
    </r>
    <r>
      <rPr>
        <b/>
        <sz val="11"/>
        <color theme="1"/>
        <rFont val="Calibri"/>
        <family val="2"/>
        <scheme val="minor"/>
      </rPr>
      <t>GL</t>
    </r>
    <r>
      <rPr>
        <sz val="11"/>
        <color theme="1"/>
        <rFont val="Calibri"/>
        <family val="2"/>
        <scheme val="minor"/>
      </rPr>
      <t xml:space="preserve"> - GREENLAND
</t>
    </r>
    <r>
      <rPr>
        <b/>
        <sz val="11"/>
        <color theme="1"/>
        <rFont val="Calibri"/>
        <family val="2"/>
        <scheme val="minor"/>
      </rPr>
      <t>GD</t>
    </r>
    <r>
      <rPr>
        <sz val="11"/>
        <color theme="1"/>
        <rFont val="Calibri"/>
        <family val="2"/>
        <scheme val="minor"/>
      </rPr>
      <t xml:space="preserve"> - GRENADA
</t>
    </r>
    <r>
      <rPr>
        <b/>
        <sz val="11"/>
        <color theme="1"/>
        <rFont val="Calibri"/>
        <family val="2"/>
        <scheme val="minor"/>
      </rPr>
      <t>GP</t>
    </r>
    <r>
      <rPr>
        <sz val="11"/>
        <color theme="1"/>
        <rFont val="Calibri"/>
        <family val="2"/>
        <scheme val="minor"/>
      </rPr>
      <t xml:space="preserve"> - GUADELOUPE
</t>
    </r>
    <r>
      <rPr>
        <b/>
        <sz val="11"/>
        <color theme="1"/>
        <rFont val="Calibri"/>
        <family val="2"/>
        <scheme val="minor"/>
      </rPr>
      <t>GU</t>
    </r>
    <r>
      <rPr>
        <sz val="11"/>
        <color theme="1"/>
        <rFont val="Calibri"/>
        <family val="2"/>
        <scheme val="minor"/>
      </rPr>
      <t xml:space="preserve"> - GUAM
</t>
    </r>
    <r>
      <rPr>
        <b/>
        <sz val="11"/>
        <color theme="1"/>
        <rFont val="Calibri"/>
        <family val="2"/>
        <scheme val="minor"/>
      </rPr>
      <t>GT</t>
    </r>
    <r>
      <rPr>
        <sz val="11"/>
        <color theme="1"/>
        <rFont val="Calibri"/>
        <family val="2"/>
        <scheme val="minor"/>
      </rPr>
      <t xml:space="preserve"> - GUATEMALA
</t>
    </r>
    <r>
      <rPr>
        <b/>
        <sz val="11"/>
        <color theme="1"/>
        <rFont val="Calibri"/>
        <family val="2"/>
        <scheme val="minor"/>
      </rPr>
      <t>GG</t>
    </r>
    <r>
      <rPr>
        <sz val="11"/>
        <color theme="1"/>
        <rFont val="Calibri"/>
        <family val="2"/>
        <scheme val="minor"/>
      </rPr>
      <t xml:space="preserve"> - GUERNSEY
</t>
    </r>
    <r>
      <rPr>
        <b/>
        <sz val="11"/>
        <color theme="1"/>
        <rFont val="Calibri"/>
        <family val="2"/>
        <scheme val="minor"/>
      </rPr>
      <t>GN</t>
    </r>
    <r>
      <rPr>
        <sz val="11"/>
        <color theme="1"/>
        <rFont val="Calibri"/>
        <family val="2"/>
        <scheme val="minor"/>
      </rPr>
      <t xml:space="preserve"> - GUINEA
</t>
    </r>
    <r>
      <rPr>
        <b/>
        <sz val="11"/>
        <color theme="1"/>
        <rFont val="Calibri"/>
        <family val="2"/>
        <scheme val="minor"/>
      </rPr>
      <t>GW</t>
    </r>
    <r>
      <rPr>
        <sz val="11"/>
        <color theme="1"/>
        <rFont val="Calibri"/>
        <family val="2"/>
        <scheme val="minor"/>
      </rPr>
      <t xml:space="preserve"> - GUINEA-BISSAU
</t>
    </r>
    <r>
      <rPr>
        <b/>
        <sz val="11"/>
        <color theme="1"/>
        <rFont val="Calibri"/>
        <family val="2"/>
        <scheme val="minor"/>
      </rPr>
      <t>GY</t>
    </r>
    <r>
      <rPr>
        <sz val="11"/>
        <color theme="1"/>
        <rFont val="Calibri"/>
        <family val="2"/>
        <scheme val="minor"/>
      </rPr>
      <t xml:space="preserve"> - GUYANA
</t>
    </r>
    <r>
      <rPr>
        <b/>
        <sz val="11"/>
        <color theme="1"/>
        <rFont val="Calibri"/>
        <family val="2"/>
        <scheme val="minor"/>
      </rPr>
      <t>HT</t>
    </r>
    <r>
      <rPr>
        <sz val="11"/>
        <color theme="1"/>
        <rFont val="Calibri"/>
        <family val="2"/>
        <scheme val="minor"/>
      </rPr>
      <t xml:space="preserve"> - HAITI
</t>
    </r>
    <r>
      <rPr>
        <b/>
        <sz val="11"/>
        <color theme="1"/>
        <rFont val="Calibri"/>
        <family val="2"/>
        <scheme val="minor"/>
      </rPr>
      <t>HM</t>
    </r>
    <r>
      <rPr>
        <sz val="11"/>
        <color theme="1"/>
        <rFont val="Calibri"/>
        <family val="2"/>
        <scheme val="minor"/>
      </rPr>
      <t xml:space="preserve"> - HEARD ISLAND AND MCDONALD ISLANDS
</t>
    </r>
    <r>
      <rPr>
        <b/>
        <sz val="11"/>
        <color theme="1"/>
        <rFont val="Calibri"/>
        <family val="2"/>
        <scheme val="minor"/>
      </rPr>
      <t>VA</t>
    </r>
    <r>
      <rPr>
        <sz val="11"/>
        <color theme="1"/>
        <rFont val="Calibri"/>
        <family val="2"/>
        <scheme val="minor"/>
      </rPr>
      <t xml:space="preserve"> - HOLY SEE (VATICAN CITY STATE)
</t>
    </r>
    <r>
      <rPr>
        <b/>
        <sz val="11"/>
        <color theme="1"/>
        <rFont val="Calibri"/>
        <family val="2"/>
        <scheme val="minor"/>
      </rPr>
      <t>HN</t>
    </r>
    <r>
      <rPr>
        <sz val="11"/>
        <color theme="1"/>
        <rFont val="Calibri"/>
        <family val="2"/>
        <scheme val="minor"/>
      </rPr>
      <t xml:space="preserve"> - HONDURAS
</t>
    </r>
    <r>
      <rPr>
        <b/>
        <sz val="11"/>
        <color theme="1"/>
        <rFont val="Calibri"/>
        <family val="2"/>
        <scheme val="minor"/>
      </rPr>
      <t>HK</t>
    </r>
    <r>
      <rPr>
        <sz val="11"/>
        <color theme="1"/>
        <rFont val="Calibri"/>
        <family val="2"/>
        <scheme val="minor"/>
      </rPr>
      <t xml:space="preserve"> - HONG KONG
</t>
    </r>
    <r>
      <rPr>
        <b/>
        <sz val="11"/>
        <color theme="1"/>
        <rFont val="Calibri"/>
        <family val="2"/>
        <scheme val="minor"/>
      </rPr>
      <t>HU</t>
    </r>
    <r>
      <rPr>
        <sz val="11"/>
        <color theme="1"/>
        <rFont val="Calibri"/>
        <family val="2"/>
        <scheme val="minor"/>
      </rPr>
      <t xml:space="preserve"> - HUNGARY
</t>
    </r>
    <r>
      <rPr>
        <b/>
        <sz val="11"/>
        <color theme="1"/>
        <rFont val="Calibri"/>
        <family val="2"/>
        <scheme val="minor"/>
      </rPr>
      <t>IS</t>
    </r>
    <r>
      <rPr>
        <sz val="11"/>
        <color theme="1"/>
        <rFont val="Calibri"/>
        <family val="2"/>
        <scheme val="minor"/>
      </rPr>
      <t xml:space="preserve"> - ICELAND
</t>
    </r>
    <r>
      <rPr>
        <b/>
        <sz val="11"/>
        <color theme="1"/>
        <rFont val="Calibri"/>
        <family val="2"/>
        <scheme val="minor"/>
      </rPr>
      <t>IN</t>
    </r>
    <r>
      <rPr>
        <sz val="11"/>
        <color theme="1"/>
        <rFont val="Calibri"/>
        <family val="2"/>
        <scheme val="minor"/>
      </rPr>
      <t xml:space="preserve"> - INDIA
</t>
    </r>
    <r>
      <rPr>
        <b/>
        <sz val="11"/>
        <color theme="1"/>
        <rFont val="Calibri"/>
        <family val="2"/>
        <scheme val="minor"/>
      </rPr>
      <t>ID</t>
    </r>
    <r>
      <rPr>
        <sz val="11"/>
        <color theme="1"/>
        <rFont val="Calibri"/>
        <family val="2"/>
        <scheme val="minor"/>
      </rPr>
      <t xml:space="preserve"> - INDONESIA
</t>
    </r>
    <r>
      <rPr>
        <b/>
        <sz val="11"/>
        <color theme="1"/>
        <rFont val="Calibri"/>
        <family val="2"/>
        <scheme val="minor"/>
      </rPr>
      <t>IR</t>
    </r>
    <r>
      <rPr>
        <sz val="11"/>
        <color theme="1"/>
        <rFont val="Calibri"/>
        <family val="2"/>
        <scheme val="minor"/>
      </rPr>
      <t xml:space="preserve"> - IRAN, ISLAMIC REPUBLIC OF
</t>
    </r>
    <r>
      <rPr>
        <b/>
        <sz val="11"/>
        <color theme="1"/>
        <rFont val="Calibri"/>
        <family val="2"/>
        <scheme val="minor"/>
      </rPr>
      <t>IQ</t>
    </r>
    <r>
      <rPr>
        <sz val="11"/>
        <color theme="1"/>
        <rFont val="Calibri"/>
        <family val="2"/>
        <scheme val="minor"/>
      </rPr>
      <t xml:space="preserve"> - IRAQ
</t>
    </r>
    <r>
      <rPr>
        <b/>
        <sz val="11"/>
        <color theme="1"/>
        <rFont val="Calibri"/>
        <family val="2"/>
        <scheme val="minor"/>
      </rPr>
      <t>IE</t>
    </r>
    <r>
      <rPr>
        <sz val="11"/>
        <color theme="1"/>
        <rFont val="Calibri"/>
        <family val="2"/>
        <scheme val="minor"/>
      </rPr>
      <t xml:space="preserve"> - IRELAND
</t>
    </r>
    <r>
      <rPr>
        <b/>
        <sz val="11"/>
        <color theme="1"/>
        <rFont val="Calibri"/>
        <family val="2"/>
        <scheme val="minor"/>
      </rPr>
      <t>IM</t>
    </r>
    <r>
      <rPr>
        <sz val="11"/>
        <color theme="1"/>
        <rFont val="Calibri"/>
        <family val="2"/>
        <scheme val="minor"/>
      </rPr>
      <t xml:space="preserve"> - ISLE OF MAN
</t>
    </r>
    <r>
      <rPr>
        <b/>
        <sz val="11"/>
        <color theme="1"/>
        <rFont val="Calibri"/>
        <family val="2"/>
        <scheme val="minor"/>
      </rPr>
      <t>IL</t>
    </r>
    <r>
      <rPr>
        <sz val="11"/>
        <color theme="1"/>
        <rFont val="Calibri"/>
        <family val="2"/>
        <scheme val="minor"/>
      </rPr>
      <t xml:space="preserve"> - ISRAEL
</t>
    </r>
    <r>
      <rPr>
        <b/>
        <sz val="11"/>
        <color theme="1"/>
        <rFont val="Calibri"/>
        <family val="2"/>
        <scheme val="minor"/>
      </rPr>
      <t>IT</t>
    </r>
    <r>
      <rPr>
        <sz val="11"/>
        <color theme="1"/>
        <rFont val="Calibri"/>
        <family val="2"/>
        <scheme val="minor"/>
      </rPr>
      <t xml:space="preserve"> - ITALY
</t>
    </r>
    <r>
      <rPr>
        <b/>
        <sz val="11"/>
        <color theme="1"/>
        <rFont val="Calibri"/>
        <family val="2"/>
        <scheme val="minor"/>
      </rPr>
      <t>JM</t>
    </r>
    <r>
      <rPr>
        <sz val="11"/>
        <color theme="1"/>
        <rFont val="Calibri"/>
        <family val="2"/>
        <scheme val="minor"/>
      </rPr>
      <t xml:space="preserve"> - JAMAICA
</t>
    </r>
    <r>
      <rPr>
        <b/>
        <sz val="11"/>
        <color theme="1"/>
        <rFont val="Calibri"/>
        <family val="2"/>
        <scheme val="minor"/>
      </rPr>
      <t>JP</t>
    </r>
    <r>
      <rPr>
        <sz val="11"/>
        <color theme="1"/>
        <rFont val="Calibri"/>
        <family val="2"/>
        <scheme val="minor"/>
      </rPr>
      <t xml:space="preserve"> - JAPAN
</t>
    </r>
    <r>
      <rPr>
        <b/>
        <sz val="11"/>
        <color theme="1"/>
        <rFont val="Calibri"/>
        <family val="2"/>
        <scheme val="minor"/>
      </rPr>
      <t>JE</t>
    </r>
    <r>
      <rPr>
        <sz val="11"/>
        <color theme="1"/>
        <rFont val="Calibri"/>
        <family val="2"/>
        <scheme val="minor"/>
      </rPr>
      <t xml:space="preserve"> - JERSEY
</t>
    </r>
    <r>
      <rPr>
        <b/>
        <sz val="11"/>
        <color theme="1"/>
        <rFont val="Calibri"/>
        <family val="2"/>
        <scheme val="minor"/>
      </rPr>
      <t>JO</t>
    </r>
    <r>
      <rPr>
        <sz val="11"/>
        <color theme="1"/>
        <rFont val="Calibri"/>
        <family val="2"/>
        <scheme val="minor"/>
      </rPr>
      <t xml:space="preserve"> - JORDAN
</t>
    </r>
    <r>
      <rPr>
        <b/>
        <sz val="11"/>
        <color theme="1"/>
        <rFont val="Calibri"/>
        <family val="2"/>
        <scheme val="minor"/>
      </rPr>
      <t>KZ</t>
    </r>
    <r>
      <rPr>
        <sz val="11"/>
        <color theme="1"/>
        <rFont val="Calibri"/>
        <family val="2"/>
        <scheme val="minor"/>
      </rPr>
      <t xml:space="preserve"> - KAZAKHSTAN
</t>
    </r>
    <r>
      <rPr>
        <b/>
        <sz val="11"/>
        <color theme="1"/>
        <rFont val="Calibri"/>
        <family val="2"/>
        <scheme val="minor"/>
      </rPr>
      <t>KE</t>
    </r>
    <r>
      <rPr>
        <sz val="11"/>
        <color theme="1"/>
        <rFont val="Calibri"/>
        <family val="2"/>
        <scheme val="minor"/>
      </rPr>
      <t xml:space="preserve"> - KENYA
</t>
    </r>
    <r>
      <rPr>
        <b/>
        <sz val="11"/>
        <color theme="1"/>
        <rFont val="Calibri"/>
        <family val="2"/>
        <scheme val="minor"/>
      </rPr>
      <t>KI</t>
    </r>
    <r>
      <rPr>
        <sz val="11"/>
        <color theme="1"/>
        <rFont val="Calibri"/>
        <family val="2"/>
        <scheme val="minor"/>
      </rPr>
      <t xml:space="preserve"> - KIRIBATI
</t>
    </r>
    <r>
      <rPr>
        <b/>
        <sz val="11"/>
        <color theme="1"/>
        <rFont val="Calibri"/>
        <family val="2"/>
        <scheme val="minor"/>
      </rPr>
      <t>KP</t>
    </r>
    <r>
      <rPr>
        <sz val="11"/>
        <color theme="1"/>
        <rFont val="Calibri"/>
        <family val="2"/>
        <scheme val="minor"/>
      </rPr>
      <t xml:space="preserve"> - KOREA, DEMOCRATIC PEOPLE'S REPUBLIC OF
</t>
    </r>
    <r>
      <rPr>
        <b/>
        <sz val="11"/>
        <color theme="1"/>
        <rFont val="Calibri"/>
        <family val="2"/>
        <scheme val="minor"/>
      </rPr>
      <t>KR</t>
    </r>
    <r>
      <rPr>
        <sz val="11"/>
        <color theme="1"/>
        <rFont val="Calibri"/>
        <family val="2"/>
        <scheme val="minor"/>
      </rPr>
      <t xml:space="preserve"> - KOREA, REPUBLIC OF
</t>
    </r>
    <r>
      <rPr>
        <b/>
        <sz val="11"/>
        <color theme="1"/>
        <rFont val="Calibri"/>
        <family val="2"/>
        <scheme val="minor"/>
      </rPr>
      <t>KW</t>
    </r>
    <r>
      <rPr>
        <sz val="11"/>
        <color theme="1"/>
        <rFont val="Calibri"/>
        <family val="2"/>
        <scheme val="minor"/>
      </rPr>
      <t xml:space="preserve"> - KUWAIT
</t>
    </r>
    <r>
      <rPr>
        <b/>
        <sz val="11"/>
        <color theme="1"/>
        <rFont val="Calibri"/>
        <family val="2"/>
        <scheme val="minor"/>
      </rPr>
      <t>KG</t>
    </r>
    <r>
      <rPr>
        <sz val="11"/>
        <color theme="1"/>
        <rFont val="Calibri"/>
        <family val="2"/>
        <scheme val="minor"/>
      </rPr>
      <t xml:space="preserve"> - KYRGYZSTAN
</t>
    </r>
    <r>
      <rPr>
        <b/>
        <sz val="11"/>
        <color theme="1"/>
        <rFont val="Calibri"/>
        <family val="2"/>
        <scheme val="minor"/>
      </rPr>
      <t>LA</t>
    </r>
    <r>
      <rPr>
        <sz val="11"/>
        <color theme="1"/>
        <rFont val="Calibri"/>
        <family val="2"/>
        <scheme val="minor"/>
      </rPr>
      <t xml:space="preserve"> - LAO PEOPLE'S DEMOCRATIC REPUBLIC
</t>
    </r>
    <r>
      <rPr>
        <b/>
        <sz val="11"/>
        <color theme="1"/>
        <rFont val="Calibri"/>
        <family val="2"/>
        <scheme val="minor"/>
      </rPr>
      <t>LV</t>
    </r>
    <r>
      <rPr>
        <sz val="11"/>
        <color theme="1"/>
        <rFont val="Calibri"/>
        <family val="2"/>
        <scheme val="minor"/>
      </rPr>
      <t xml:space="preserve"> - LATVIA
</t>
    </r>
    <r>
      <rPr>
        <b/>
        <sz val="11"/>
        <color theme="1"/>
        <rFont val="Calibri"/>
        <family val="2"/>
        <scheme val="minor"/>
      </rPr>
      <t>LB</t>
    </r>
    <r>
      <rPr>
        <sz val="11"/>
        <color theme="1"/>
        <rFont val="Calibri"/>
        <family val="2"/>
        <scheme val="minor"/>
      </rPr>
      <t xml:space="preserve"> - LEBANON
</t>
    </r>
    <r>
      <rPr>
        <b/>
        <sz val="11"/>
        <color theme="1"/>
        <rFont val="Calibri"/>
        <family val="2"/>
        <scheme val="minor"/>
      </rPr>
      <t>LS</t>
    </r>
    <r>
      <rPr>
        <sz val="11"/>
        <color theme="1"/>
        <rFont val="Calibri"/>
        <family val="2"/>
        <scheme val="minor"/>
      </rPr>
      <t xml:space="preserve"> - LESOTHO
</t>
    </r>
    <r>
      <rPr>
        <b/>
        <sz val="11"/>
        <color theme="1"/>
        <rFont val="Calibri"/>
        <family val="2"/>
        <scheme val="minor"/>
      </rPr>
      <t>LR</t>
    </r>
    <r>
      <rPr>
        <sz val="11"/>
        <color theme="1"/>
        <rFont val="Calibri"/>
        <family val="2"/>
        <scheme val="minor"/>
      </rPr>
      <t xml:space="preserve"> - LIBERIA
</t>
    </r>
    <r>
      <rPr>
        <b/>
        <sz val="11"/>
        <color theme="1"/>
        <rFont val="Calibri"/>
        <family val="2"/>
        <scheme val="minor"/>
      </rPr>
      <t>LY</t>
    </r>
    <r>
      <rPr>
        <sz val="11"/>
        <color theme="1"/>
        <rFont val="Calibri"/>
        <family val="2"/>
        <scheme val="minor"/>
      </rPr>
      <t xml:space="preserve"> - LIBYAN ARAB JAMAHIRIYA
</t>
    </r>
    <r>
      <rPr>
        <b/>
        <sz val="11"/>
        <color theme="1"/>
        <rFont val="Calibri"/>
        <family val="2"/>
        <scheme val="minor"/>
      </rPr>
      <t>LI</t>
    </r>
    <r>
      <rPr>
        <sz val="11"/>
        <color theme="1"/>
        <rFont val="Calibri"/>
        <family val="2"/>
        <scheme val="minor"/>
      </rPr>
      <t xml:space="preserve"> - LIECHTENSTEIN
</t>
    </r>
    <r>
      <rPr>
        <b/>
        <sz val="11"/>
        <color theme="1"/>
        <rFont val="Calibri"/>
        <family val="2"/>
        <scheme val="minor"/>
      </rPr>
      <t>LT</t>
    </r>
    <r>
      <rPr>
        <sz val="11"/>
        <color theme="1"/>
        <rFont val="Calibri"/>
        <family val="2"/>
        <scheme val="minor"/>
      </rPr>
      <t xml:space="preserve"> - LITHUANIA
</t>
    </r>
    <r>
      <rPr>
        <b/>
        <sz val="11"/>
        <color theme="1"/>
        <rFont val="Calibri"/>
        <family val="2"/>
        <scheme val="minor"/>
      </rPr>
      <t>LU</t>
    </r>
    <r>
      <rPr>
        <sz val="11"/>
        <color theme="1"/>
        <rFont val="Calibri"/>
        <family val="2"/>
        <scheme val="minor"/>
      </rPr>
      <t xml:space="preserve"> - LUXEMBOURG
</t>
    </r>
    <r>
      <rPr>
        <b/>
        <sz val="11"/>
        <color theme="1"/>
        <rFont val="Calibri"/>
        <family val="2"/>
        <scheme val="minor"/>
      </rPr>
      <t>MO</t>
    </r>
    <r>
      <rPr>
        <sz val="11"/>
        <color theme="1"/>
        <rFont val="Calibri"/>
        <family val="2"/>
        <scheme val="minor"/>
      </rPr>
      <t xml:space="preserve"> - MACAO
</t>
    </r>
    <r>
      <rPr>
        <b/>
        <sz val="11"/>
        <color theme="1"/>
        <rFont val="Calibri"/>
        <family val="2"/>
        <scheme val="minor"/>
      </rPr>
      <t>MK</t>
    </r>
    <r>
      <rPr>
        <sz val="11"/>
        <color theme="1"/>
        <rFont val="Calibri"/>
        <family val="2"/>
        <scheme val="minor"/>
      </rPr>
      <t xml:space="preserve"> - MACEDONIA, THE FORMER YUGOSLAV REPUBLIC OF
</t>
    </r>
    <r>
      <rPr>
        <b/>
        <sz val="11"/>
        <color theme="1"/>
        <rFont val="Calibri"/>
        <family val="2"/>
        <scheme val="minor"/>
      </rPr>
      <t>MG</t>
    </r>
    <r>
      <rPr>
        <sz val="11"/>
        <color theme="1"/>
        <rFont val="Calibri"/>
        <family val="2"/>
        <scheme val="minor"/>
      </rPr>
      <t xml:space="preserve"> - MADAGASCAR
</t>
    </r>
    <r>
      <rPr>
        <b/>
        <sz val="11"/>
        <color theme="1"/>
        <rFont val="Calibri"/>
        <family val="2"/>
        <scheme val="minor"/>
      </rPr>
      <t>MW</t>
    </r>
    <r>
      <rPr>
        <sz val="11"/>
        <color theme="1"/>
        <rFont val="Calibri"/>
        <family val="2"/>
        <scheme val="minor"/>
      </rPr>
      <t xml:space="preserve"> - MALAWI
</t>
    </r>
    <r>
      <rPr>
        <b/>
        <sz val="11"/>
        <color theme="1"/>
        <rFont val="Calibri"/>
        <family val="2"/>
        <scheme val="minor"/>
      </rPr>
      <t>MY</t>
    </r>
    <r>
      <rPr>
        <sz val="11"/>
        <color theme="1"/>
        <rFont val="Calibri"/>
        <family val="2"/>
        <scheme val="minor"/>
      </rPr>
      <t xml:space="preserve"> - MALAYSIA
</t>
    </r>
    <r>
      <rPr>
        <b/>
        <sz val="11"/>
        <color theme="1"/>
        <rFont val="Calibri"/>
        <family val="2"/>
        <scheme val="minor"/>
      </rPr>
      <t>MV</t>
    </r>
    <r>
      <rPr>
        <sz val="11"/>
        <color theme="1"/>
        <rFont val="Calibri"/>
        <family val="2"/>
        <scheme val="minor"/>
      </rPr>
      <t xml:space="preserve"> - MALDIVES
</t>
    </r>
    <r>
      <rPr>
        <b/>
        <sz val="11"/>
        <color theme="1"/>
        <rFont val="Calibri"/>
        <family val="2"/>
        <scheme val="minor"/>
      </rPr>
      <t>ML</t>
    </r>
    <r>
      <rPr>
        <sz val="11"/>
        <color theme="1"/>
        <rFont val="Calibri"/>
        <family val="2"/>
        <scheme val="minor"/>
      </rPr>
      <t xml:space="preserve"> - MALI
</t>
    </r>
    <r>
      <rPr>
        <b/>
        <sz val="11"/>
        <color theme="1"/>
        <rFont val="Calibri"/>
        <family val="2"/>
        <scheme val="minor"/>
      </rPr>
      <t>MT</t>
    </r>
    <r>
      <rPr>
        <sz val="11"/>
        <color theme="1"/>
        <rFont val="Calibri"/>
        <family val="2"/>
        <scheme val="minor"/>
      </rPr>
      <t xml:space="preserve"> - MALTA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MQ</t>
    </r>
    <r>
      <rPr>
        <sz val="11"/>
        <color theme="1"/>
        <rFont val="Calibri"/>
        <family val="2"/>
        <scheme val="minor"/>
      </rPr>
      <t xml:space="preserve"> - MARTINIQUE
</t>
    </r>
    <r>
      <rPr>
        <b/>
        <sz val="11"/>
        <color theme="1"/>
        <rFont val="Calibri"/>
        <family val="2"/>
        <scheme val="minor"/>
      </rPr>
      <t>MR</t>
    </r>
    <r>
      <rPr>
        <sz val="11"/>
        <color theme="1"/>
        <rFont val="Calibri"/>
        <family val="2"/>
        <scheme val="minor"/>
      </rPr>
      <t xml:space="preserve"> - MAURITANIA
</t>
    </r>
    <r>
      <rPr>
        <b/>
        <sz val="11"/>
        <color theme="1"/>
        <rFont val="Calibri"/>
        <family val="2"/>
        <scheme val="minor"/>
      </rPr>
      <t>MU</t>
    </r>
    <r>
      <rPr>
        <sz val="11"/>
        <color theme="1"/>
        <rFont val="Calibri"/>
        <family val="2"/>
        <scheme val="minor"/>
      </rPr>
      <t xml:space="preserve"> - MAURITIUS
</t>
    </r>
    <r>
      <rPr>
        <b/>
        <sz val="11"/>
        <color theme="1"/>
        <rFont val="Calibri"/>
        <family val="2"/>
        <scheme val="minor"/>
      </rPr>
      <t>YT</t>
    </r>
    <r>
      <rPr>
        <sz val="11"/>
        <color theme="1"/>
        <rFont val="Calibri"/>
        <family val="2"/>
        <scheme val="minor"/>
      </rPr>
      <t xml:space="preserve"> - MAYOTTE
</t>
    </r>
    <r>
      <rPr>
        <b/>
        <sz val="11"/>
        <color theme="1"/>
        <rFont val="Calibri"/>
        <family val="2"/>
        <scheme val="minor"/>
      </rPr>
      <t>MX</t>
    </r>
    <r>
      <rPr>
        <sz val="11"/>
        <color theme="1"/>
        <rFont val="Calibri"/>
        <family val="2"/>
        <scheme val="minor"/>
      </rPr>
      <t xml:space="preserve"> - MEXICO
</t>
    </r>
    <r>
      <rPr>
        <b/>
        <sz val="11"/>
        <color theme="1"/>
        <rFont val="Calibri"/>
        <family val="2"/>
        <scheme val="minor"/>
      </rPr>
      <t>FM</t>
    </r>
    <r>
      <rPr>
        <sz val="11"/>
        <color theme="1"/>
        <rFont val="Calibri"/>
        <family val="2"/>
        <scheme val="minor"/>
      </rPr>
      <t xml:space="preserve"> - MICRONESIA, FEDERATED STATES OF
</t>
    </r>
    <r>
      <rPr>
        <b/>
        <sz val="11"/>
        <color theme="1"/>
        <rFont val="Calibri"/>
        <family val="2"/>
        <scheme val="minor"/>
      </rPr>
      <t>MD</t>
    </r>
    <r>
      <rPr>
        <sz val="11"/>
        <color theme="1"/>
        <rFont val="Calibri"/>
        <family val="2"/>
        <scheme val="minor"/>
      </rPr>
      <t xml:space="preserve"> - MOLDOVA, REPUBLIC OF
</t>
    </r>
    <r>
      <rPr>
        <b/>
        <sz val="11"/>
        <color theme="1"/>
        <rFont val="Calibri"/>
        <family val="2"/>
        <scheme val="minor"/>
      </rPr>
      <t>MC</t>
    </r>
    <r>
      <rPr>
        <sz val="11"/>
        <color theme="1"/>
        <rFont val="Calibri"/>
        <family val="2"/>
        <scheme val="minor"/>
      </rPr>
      <t xml:space="preserve"> - MONACO
</t>
    </r>
    <r>
      <rPr>
        <b/>
        <sz val="11"/>
        <color theme="1"/>
        <rFont val="Calibri"/>
        <family val="2"/>
        <scheme val="minor"/>
      </rPr>
      <t>MN</t>
    </r>
    <r>
      <rPr>
        <sz val="11"/>
        <color theme="1"/>
        <rFont val="Calibri"/>
        <family val="2"/>
        <scheme val="minor"/>
      </rPr>
      <t xml:space="preserve"> - MONGOLIA
</t>
    </r>
    <r>
      <rPr>
        <b/>
        <sz val="11"/>
        <color theme="1"/>
        <rFont val="Calibri"/>
        <family val="2"/>
        <scheme val="minor"/>
      </rPr>
      <t>ME</t>
    </r>
    <r>
      <rPr>
        <sz val="11"/>
        <color theme="1"/>
        <rFont val="Calibri"/>
        <family val="2"/>
        <scheme val="minor"/>
      </rPr>
      <t xml:space="preserve"> - MONTENEGRO
</t>
    </r>
    <r>
      <rPr>
        <b/>
        <sz val="11"/>
        <color theme="1"/>
        <rFont val="Calibri"/>
        <family val="2"/>
        <scheme val="minor"/>
      </rPr>
      <t>MS</t>
    </r>
    <r>
      <rPr>
        <sz val="11"/>
        <color theme="1"/>
        <rFont val="Calibri"/>
        <family val="2"/>
        <scheme val="minor"/>
      </rPr>
      <t xml:space="preserve"> - MONTSERRAT
</t>
    </r>
    <r>
      <rPr>
        <b/>
        <sz val="11"/>
        <color theme="1"/>
        <rFont val="Calibri"/>
        <family val="2"/>
        <scheme val="minor"/>
      </rPr>
      <t>MA</t>
    </r>
    <r>
      <rPr>
        <sz val="11"/>
        <color theme="1"/>
        <rFont val="Calibri"/>
        <family val="2"/>
        <scheme val="minor"/>
      </rPr>
      <t xml:space="preserve"> - MOROCCO
</t>
    </r>
    <r>
      <rPr>
        <b/>
        <sz val="11"/>
        <color theme="1"/>
        <rFont val="Calibri"/>
        <family val="2"/>
        <scheme val="minor"/>
      </rPr>
      <t>MZ</t>
    </r>
    <r>
      <rPr>
        <sz val="11"/>
        <color theme="1"/>
        <rFont val="Calibri"/>
        <family val="2"/>
        <scheme val="minor"/>
      </rPr>
      <t xml:space="preserve"> - MOZAMBIQUE
</t>
    </r>
    <r>
      <rPr>
        <b/>
        <sz val="11"/>
        <color theme="1"/>
        <rFont val="Calibri"/>
        <family val="2"/>
        <scheme val="minor"/>
      </rPr>
      <t>MM</t>
    </r>
    <r>
      <rPr>
        <sz val="11"/>
        <color theme="1"/>
        <rFont val="Calibri"/>
        <family val="2"/>
        <scheme val="minor"/>
      </rPr>
      <t xml:space="preserve"> - MYANMAR
</t>
    </r>
    <r>
      <rPr>
        <b/>
        <sz val="11"/>
        <color theme="1"/>
        <rFont val="Calibri"/>
        <family val="2"/>
        <scheme val="minor"/>
      </rPr>
      <t>NA</t>
    </r>
    <r>
      <rPr>
        <sz val="11"/>
        <color theme="1"/>
        <rFont val="Calibri"/>
        <family val="2"/>
        <scheme val="minor"/>
      </rPr>
      <t xml:space="preserve"> - NAMIBIA
</t>
    </r>
    <r>
      <rPr>
        <b/>
        <sz val="11"/>
        <color theme="1"/>
        <rFont val="Calibri"/>
        <family val="2"/>
        <scheme val="minor"/>
      </rPr>
      <t>NR</t>
    </r>
    <r>
      <rPr>
        <sz val="11"/>
        <color theme="1"/>
        <rFont val="Calibri"/>
        <family val="2"/>
        <scheme val="minor"/>
      </rPr>
      <t xml:space="preserve"> - NAURU
</t>
    </r>
    <r>
      <rPr>
        <b/>
        <sz val="11"/>
        <color theme="1"/>
        <rFont val="Calibri"/>
        <family val="2"/>
        <scheme val="minor"/>
      </rPr>
      <t>NP</t>
    </r>
    <r>
      <rPr>
        <sz val="11"/>
        <color theme="1"/>
        <rFont val="Calibri"/>
        <family val="2"/>
        <scheme val="minor"/>
      </rPr>
      <t xml:space="preserve"> - NEPAL
</t>
    </r>
    <r>
      <rPr>
        <b/>
        <sz val="11"/>
        <color theme="1"/>
        <rFont val="Calibri"/>
        <family val="2"/>
        <scheme val="minor"/>
      </rPr>
      <t>NL</t>
    </r>
    <r>
      <rPr>
        <sz val="11"/>
        <color theme="1"/>
        <rFont val="Calibri"/>
        <family val="2"/>
        <scheme val="minor"/>
      </rPr>
      <t xml:space="preserve"> - NETHERLANDS
</t>
    </r>
    <r>
      <rPr>
        <b/>
        <sz val="11"/>
        <color theme="1"/>
        <rFont val="Calibri"/>
        <family val="2"/>
        <scheme val="minor"/>
      </rPr>
      <t>NC</t>
    </r>
    <r>
      <rPr>
        <sz val="11"/>
        <color theme="1"/>
        <rFont val="Calibri"/>
        <family val="2"/>
        <scheme val="minor"/>
      </rPr>
      <t xml:space="preserve"> - NEW CALEDONIA
</t>
    </r>
    <r>
      <rPr>
        <b/>
        <sz val="11"/>
        <color theme="1"/>
        <rFont val="Calibri"/>
        <family val="2"/>
        <scheme val="minor"/>
      </rPr>
      <t>NZ</t>
    </r>
    <r>
      <rPr>
        <sz val="11"/>
        <color theme="1"/>
        <rFont val="Calibri"/>
        <family val="2"/>
        <scheme val="minor"/>
      </rPr>
      <t xml:space="preserve"> - NEW ZEALAND
</t>
    </r>
    <r>
      <rPr>
        <b/>
        <sz val="11"/>
        <color theme="1"/>
        <rFont val="Calibri"/>
        <family val="2"/>
        <scheme val="minor"/>
      </rPr>
      <t>NI</t>
    </r>
    <r>
      <rPr>
        <sz val="11"/>
        <color theme="1"/>
        <rFont val="Calibri"/>
        <family val="2"/>
        <scheme val="minor"/>
      </rPr>
      <t xml:space="preserve"> - NICARAGUA
</t>
    </r>
    <r>
      <rPr>
        <b/>
        <sz val="11"/>
        <color theme="1"/>
        <rFont val="Calibri"/>
        <family val="2"/>
        <scheme val="minor"/>
      </rPr>
      <t>NE</t>
    </r>
    <r>
      <rPr>
        <sz val="11"/>
        <color theme="1"/>
        <rFont val="Calibri"/>
        <family val="2"/>
        <scheme val="minor"/>
      </rPr>
      <t xml:space="preserve"> - NIGER
</t>
    </r>
    <r>
      <rPr>
        <b/>
        <sz val="11"/>
        <color theme="1"/>
        <rFont val="Calibri"/>
        <family val="2"/>
        <scheme val="minor"/>
      </rPr>
      <t>NG</t>
    </r>
    <r>
      <rPr>
        <sz val="11"/>
        <color theme="1"/>
        <rFont val="Calibri"/>
        <family val="2"/>
        <scheme val="minor"/>
      </rPr>
      <t xml:space="preserve"> - NIGERIA
</t>
    </r>
    <r>
      <rPr>
        <b/>
        <sz val="11"/>
        <color theme="1"/>
        <rFont val="Calibri"/>
        <family val="2"/>
        <scheme val="minor"/>
      </rPr>
      <t>NU</t>
    </r>
    <r>
      <rPr>
        <sz val="11"/>
        <color theme="1"/>
        <rFont val="Calibri"/>
        <family val="2"/>
        <scheme val="minor"/>
      </rPr>
      <t xml:space="preserve"> - NIUE
</t>
    </r>
    <r>
      <rPr>
        <b/>
        <sz val="11"/>
        <color theme="1"/>
        <rFont val="Calibri"/>
        <family val="2"/>
        <scheme val="minor"/>
      </rPr>
      <t>NF</t>
    </r>
    <r>
      <rPr>
        <sz val="11"/>
        <color theme="1"/>
        <rFont val="Calibri"/>
        <family val="2"/>
        <scheme val="minor"/>
      </rPr>
      <t xml:space="preserve"> - NORFOLK ISLAND
</t>
    </r>
    <r>
      <rPr>
        <b/>
        <sz val="11"/>
        <color theme="1"/>
        <rFont val="Calibri"/>
        <family val="2"/>
        <scheme val="minor"/>
      </rPr>
      <t>MP</t>
    </r>
    <r>
      <rPr>
        <sz val="11"/>
        <color theme="1"/>
        <rFont val="Calibri"/>
        <family val="2"/>
        <scheme val="minor"/>
      </rPr>
      <t xml:space="preserve"> - NORTHERN MARIANA ISLANDS
</t>
    </r>
    <r>
      <rPr>
        <b/>
        <sz val="11"/>
        <color theme="1"/>
        <rFont val="Calibri"/>
        <family val="2"/>
        <scheme val="minor"/>
      </rPr>
      <t>NO</t>
    </r>
    <r>
      <rPr>
        <sz val="11"/>
        <color theme="1"/>
        <rFont val="Calibri"/>
        <family val="2"/>
        <scheme val="minor"/>
      </rPr>
      <t xml:space="preserve"> - NORWAY
</t>
    </r>
    <r>
      <rPr>
        <b/>
        <sz val="11"/>
        <color theme="1"/>
        <rFont val="Calibri"/>
        <family val="2"/>
        <scheme val="minor"/>
      </rPr>
      <t>OM</t>
    </r>
    <r>
      <rPr>
        <sz val="11"/>
        <color theme="1"/>
        <rFont val="Calibri"/>
        <family val="2"/>
        <scheme val="minor"/>
      </rPr>
      <t xml:space="preserve"> - OMAN
</t>
    </r>
    <r>
      <rPr>
        <b/>
        <sz val="11"/>
        <color theme="1"/>
        <rFont val="Calibri"/>
        <family val="2"/>
        <scheme val="minor"/>
      </rPr>
      <t>PK</t>
    </r>
    <r>
      <rPr>
        <sz val="11"/>
        <color theme="1"/>
        <rFont val="Calibri"/>
        <family val="2"/>
        <scheme val="minor"/>
      </rPr>
      <t xml:space="preserve"> - PAKISTAN
</t>
    </r>
    <r>
      <rPr>
        <b/>
        <sz val="11"/>
        <color theme="1"/>
        <rFont val="Calibri"/>
        <family val="2"/>
        <scheme val="minor"/>
      </rPr>
      <t>PW</t>
    </r>
    <r>
      <rPr>
        <sz val="11"/>
        <color theme="1"/>
        <rFont val="Calibri"/>
        <family val="2"/>
        <scheme val="minor"/>
      </rPr>
      <t xml:space="preserve"> - PALAU
</t>
    </r>
    <r>
      <rPr>
        <b/>
        <sz val="11"/>
        <color theme="1"/>
        <rFont val="Calibri"/>
        <family val="2"/>
        <scheme val="minor"/>
      </rPr>
      <t>PS</t>
    </r>
    <r>
      <rPr>
        <sz val="11"/>
        <color theme="1"/>
        <rFont val="Calibri"/>
        <family val="2"/>
        <scheme val="minor"/>
      </rPr>
      <t xml:space="preserve"> - PALESTINIAN TERRITORY, OCCUPIED
</t>
    </r>
    <r>
      <rPr>
        <b/>
        <sz val="11"/>
        <color theme="1"/>
        <rFont val="Calibri"/>
        <family val="2"/>
        <scheme val="minor"/>
      </rPr>
      <t>PA</t>
    </r>
    <r>
      <rPr>
        <sz val="11"/>
        <color theme="1"/>
        <rFont val="Calibri"/>
        <family val="2"/>
        <scheme val="minor"/>
      </rPr>
      <t xml:space="preserve"> - PANAMA
</t>
    </r>
    <r>
      <rPr>
        <b/>
        <sz val="11"/>
        <color theme="1"/>
        <rFont val="Calibri"/>
        <family val="2"/>
        <scheme val="minor"/>
      </rPr>
      <t>PG</t>
    </r>
    <r>
      <rPr>
        <sz val="11"/>
        <color theme="1"/>
        <rFont val="Calibri"/>
        <family val="2"/>
        <scheme val="minor"/>
      </rPr>
      <t xml:space="preserve"> - PAPUA NEW GUINEA
</t>
    </r>
    <r>
      <rPr>
        <b/>
        <sz val="11"/>
        <color theme="1"/>
        <rFont val="Calibri"/>
        <family val="2"/>
        <scheme val="minor"/>
      </rPr>
      <t>PY</t>
    </r>
    <r>
      <rPr>
        <sz val="11"/>
        <color theme="1"/>
        <rFont val="Calibri"/>
        <family val="2"/>
        <scheme val="minor"/>
      </rPr>
      <t xml:space="preserve"> - PARAGUAY
</t>
    </r>
    <r>
      <rPr>
        <b/>
        <sz val="11"/>
        <color theme="1"/>
        <rFont val="Calibri"/>
        <family val="2"/>
        <scheme val="minor"/>
      </rPr>
      <t>PE</t>
    </r>
    <r>
      <rPr>
        <sz val="11"/>
        <color theme="1"/>
        <rFont val="Calibri"/>
        <family val="2"/>
        <scheme val="minor"/>
      </rPr>
      <t xml:space="preserve"> - PERU
</t>
    </r>
    <r>
      <rPr>
        <b/>
        <sz val="11"/>
        <color theme="1"/>
        <rFont val="Calibri"/>
        <family val="2"/>
        <scheme val="minor"/>
      </rPr>
      <t>PH</t>
    </r>
    <r>
      <rPr>
        <sz val="11"/>
        <color theme="1"/>
        <rFont val="Calibri"/>
        <family val="2"/>
        <scheme val="minor"/>
      </rPr>
      <t xml:space="preserve"> - PHILIPPINES
</t>
    </r>
    <r>
      <rPr>
        <b/>
        <sz val="11"/>
        <color theme="1"/>
        <rFont val="Calibri"/>
        <family val="2"/>
        <scheme val="minor"/>
      </rPr>
      <t>PN</t>
    </r>
    <r>
      <rPr>
        <sz val="11"/>
        <color theme="1"/>
        <rFont val="Calibri"/>
        <family val="2"/>
        <scheme val="minor"/>
      </rPr>
      <t xml:space="preserve"> - PITCAIRN
</t>
    </r>
    <r>
      <rPr>
        <b/>
        <sz val="11"/>
        <color theme="1"/>
        <rFont val="Calibri"/>
        <family val="2"/>
        <scheme val="minor"/>
      </rPr>
      <t>PL</t>
    </r>
    <r>
      <rPr>
        <sz val="11"/>
        <color theme="1"/>
        <rFont val="Calibri"/>
        <family val="2"/>
        <scheme val="minor"/>
      </rPr>
      <t xml:space="preserve"> - POLAND
</t>
    </r>
    <r>
      <rPr>
        <b/>
        <sz val="11"/>
        <color theme="1"/>
        <rFont val="Calibri"/>
        <family val="2"/>
        <scheme val="minor"/>
      </rPr>
      <t>PT</t>
    </r>
    <r>
      <rPr>
        <sz val="11"/>
        <color theme="1"/>
        <rFont val="Calibri"/>
        <family val="2"/>
        <scheme val="minor"/>
      </rPr>
      <t xml:space="preserve"> - PORTUGAL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QA</t>
    </r>
    <r>
      <rPr>
        <sz val="11"/>
        <color theme="1"/>
        <rFont val="Calibri"/>
        <family val="2"/>
        <scheme val="minor"/>
      </rPr>
      <t xml:space="preserve"> - QATAR
</t>
    </r>
    <r>
      <rPr>
        <b/>
        <sz val="11"/>
        <color theme="1"/>
        <rFont val="Calibri"/>
        <family val="2"/>
        <scheme val="minor"/>
      </rPr>
      <t>RE</t>
    </r>
    <r>
      <rPr>
        <sz val="11"/>
        <color theme="1"/>
        <rFont val="Calibri"/>
        <family val="2"/>
        <scheme val="minor"/>
      </rPr>
      <t xml:space="preserve"> - RÉUNION
</t>
    </r>
    <r>
      <rPr>
        <b/>
        <sz val="11"/>
        <color theme="1"/>
        <rFont val="Calibri"/>
        <family val="2"/>
        <scheme val="minor"/>
      </rPr>
      <t>RO</t>
    </r>
    <r>
      <rPr>
        <sz val="11"/>
        <color theme="1"/>
        <rFont val="Calibri"/>
        <family val="2"/>
        <scheme val="minor"/>
      </rPr>
      <t xml:space="preserve"> - ROMANIA
</t>
    </r>
    <r>
      <rPr>
        <b/>
        <sz val="11"/>
        <color theme="1"/>
        <rFont val="Calibri"/>
        <family val="2"/>
        <scheme val="minor"/>
      </rPr>
      <t>RU</t>
    </r>
    <r>
      <rPr>
        <sz val="11"/>
        <color theme="1"/>
        <rFont val="Calibri"/>
        <family val="2"/>
        <scheme val="minor"/>
      </rPr>
      <t xml:space="preserve"> - RUSSIAN FEDERATION
</t>
    </r>
    <r>
      <rPr>
        <b/>
        <sz val="11"/>
        <color theme="1"/>
        <rFont val="Calibri"/>
        <family val="2"/>
        <scheme val="minor"/>
      </rPr>
      <t>RW</t>
    </r>
    <r>
      <rPr>
        <sz val="11"/>
        <color theme="1"/>
        <rFont val="Calibri"/>
        <family val="2"/>
        <scheme val="minor"/>
      </rPr>
      <t xml:space="preserve"> - RWANDA
</t>
    </r>
    <r>
      <rPr>
        <b/>
        <sz val="11"/>
        <color theme="1"/>
        <rFont val="Calibri"/>
        <family val="2"/>
        <scheme val="minor"/>
      </rPr>
      <t>BL</t>
    </r>
    <r>
      <rPr>
        <sz val="11"/>
        <color theme="1"/>
        <rFont val="Calibri"/>
        <family val="2"/>
        <scheme val="minor"/>
      </rPr>
      <t xml:space="preserve"> - SAINT BARTHÉLEMY
</t>
    </r>
    <r>
      <rPr>
        <b/>
        <sz val="11"/>
        <color theme="1"/>
        <rFont val="Calibri"/>
        <family val="2"/>
        <scheme val="minor"/>
      </rPr>
      <t>SH</t>
    </r>
    <r>
      <rPr>
        <sz val="11"/>
        <color theme="1"/>
        <rFont val="Calibri"/>
        <family val="2"/>
        <scheme val="minor"/>
      </rPr>
      <t xml:space="preserve"> - SAINT HELENA, ASCENSION AND TRISTAN DA CUNHA
</t>
    </r>
    <r>
      <rPr>
        <b/>
        <sz val="11"/>
        <color theme="1"/>
        <rFont val="Calibri"/>
        <family val="2"/>
        <scheme val="minor"/>
      </rPr>
      <t>KN</t>
    </r>
    <r>
      <rPr>
        <sz val="11"/>
        <color theme="1"/>
        <rFont val="Calibri"/>
        <family val="2"/>
        <scheme val="minor"/>
      </rPr>
      <t xml:space="preserve"> - SAINT KITTS AND NEVIS
</t>
    </r>
    <r>
      <rPr>
        <b/>
        <sz val="11"/>
        <color theme="1"/>
        <rFont val="Calibri"/>
        <family val="2"/>
        <scheme val="minor"/>
      </rPr>
      <t>LC</t>
    </r>
    <r>
      <rPr>
        <sz val="11"/>
        <color theme="1"/>
        <rFont val="Calibri"/>
        <family val="2"/>
        <scheme val="minor"/>
      </rPr>
      <t xml:space="preserve"> - SAINT LUCIA
</t>
    </r>
    <r>
      <rPr>
        <b/>
        <sz val="11"/>
        <color theme="1"/>
        <rFont val="Calibri"/>
        <family val="2"/>
        <scheme val="minor"/>
      </rPr>
      <t>MF</t>
    </r>
    <r>
      <rPr>
        <sz val="11"/>
        <color theme="1"/>
        <rFont val="Calibri"/>
        <family val="2"/>
        <scheme val="minor"/>
      </rPr>
      <t xml:space="preserve"> - SAINT MARTIN (FRENCH PART)
</t>
    </r>
    <r>
      <rPr>
        <b/>
        <sz val="11"/>
        <color theme="1"/>
        <rFont val="Calibri"/>
        <family val="2"/>
        <scheme val="minor"/>
      </rPr>
      <t>PM</t>
    </r>
    <r>
      <rPr>
        <sz val="11"/>
        <color theme="1"/>
        <rFont val="Calibri"/>
        <family val="2"/>
        <scheme val="minor"/>
      </rPr>
      <t xml:space="preserve"> - SAINT PIERRE AND MIQUELON
</t>
    </r>
    <r>
      <rPr>
        <b/>
        <sz val="11"/>
        <color theme="1"/>
        <rFont val="Calibri"/>
        <family val="2"/>
        <scheme val="minor"/>
      </rPr>
      <t>VC</t>
    </r>
    <r>
      <rPr>
        <sz val="11"/>
        <color theme="1"/>
        <rFont val="Calibri"/>
        <family val="2"/>
        <scheme val="minor"/>
      </rPr>
      <t xml:space="preserve"> - SAINT VINCENT AND THE GRENADINES
</t>
    </r>
    <r>
      <rPr>
        <b/>
        <sz val="11"/>
        <color theme="1"/>
        <rFont val="Calibri"/>
        <family val="2"/>
        <scheme val="minor"/>
      </rPr>
      <t>WS</t>
    </r>
    <r>
      <rPr>
        <sz val="11"/>
        <color theme="1"/>
        <rFont val="Calibri"/>
        <family val="2"/>
        <scheme val="minor"/>
      </rPr>
      <t xml:space="preserve"> - SAMOA
</t>
    </r>
    <r>
      <rPr>
        <b/>
        <sz val="11"/>
        <color theme="1"/>
        <rFont val="Calibri"/>
        <family val="2"/>
        <scheme val="minor"/>
      </rPr>
      <t>SM</t>
    </r>
    <r>
      <rPr>
        <sz val="11"/>
        <color theme="1"/>
        <rFont val="Calibri"/>
        <family val="2"/>
        <scheme val="minor"/>
      </rPr>
      <t xml:space="preserve"> - SAN MARINO
</t>
    </r>
    <r>
      <rPr>
        <b/>
        <sz val="11"/>
        <color theme="1"/>
        <rFont val="Calibri"/>
        <family val="2"/>
        <scheme val="minor"/>
      </rPr>
      <t>ST</t>
    </r>
    <r>
      <rPr>
        <sz val="11"/>
        <color theme="1"/>
        <rFont val="Calibri"/>
        <family val="2"/>
        <scheme val="minor"/>
      </rPr>
      <t xml:space="preserve"> - SAO TOME AND PRINCIPE
</t>
    </r>
    <r>
      <rPr>
        <b/>
        <sz val="11"/>
        <color theme="1"/>
        <rFont val="Calibri"/>
        <family val="2"/>
        <scheme val="minor"/>
      </rPr>
      <t>SA</t>
    </r>
    <r>
      <rPr>
        <sz val="11"/>
        <color theme="1"/>
        <rFont val="Calibri"/>
        <family val="2"/>
        <scheme val="minor"/>
      </rPr>
      <t xml:space="preserve"> - SAUDI ARABIA
</t>
    </r>
    <r>
      <rPr>
        <b/>
        <sz val="11"/>
        <color theme="1"/>
        <rFont val="Calibri"/>
        <family val="2"/>
        <scheme val="minor"/>
      </rPr>
      <t>SN</t>
    </r>
    <r>
      <rPr>
        <sz val="11"/>
        <color theme="1"/>
        <rFont val="Calibri"/>
        <family val="2"/>
        <scheme val="minor"/>
      </rPr>
      <t xml:space="preserve"> - SENEGAL
</t>
    </r>
    <r>
      <rPr>
        <b/>
        <sz val="11"/>
        <color theme="1"/>
        <rFont val="Calibri"/>
        <family val="2"/>
        <scheme val="minor"/>
      </rPr>
      <t>RS</t>
    </r>
    <r>
      <rPr>
        <sz val="11"/>
        <color theme="1"/>
        <rFont val="Calibri"/>
        <family val="2"/>
        <scheme val="minor"/>
      </rPr>
      <t xml:space="preserve"> - SERBIA
</t>
    </r>
    <r>
      <rPr>
        <b/>
        <sz val="11"/>
        <color theme="1"/>
        <rFont val="Calibri"/>
        <family val="2"/>
        <scheme val="minor"/>
      </rPr>
      <t>SC</t>
    </r>
    <r>
      <rPr>
        <sz val="11"/>
        <color theme="1"/>
        <rFont val="Calibri"/>
        <family val="2"/>
        <scheme val="minor"/>
      </rPr>
      <t xml:space="preserve"> - SEYCHELLES
</t>
    </r>
    <r>
      <rPr>
        <b/>
        <sz val="11"/>
        <color theme="1"/>
        <rFont val="Calibri"/>
        <family val="2"/>
        <scheme val="minor"/>
      </rPr>
      <t>SL</t>
    </r>
    <r>
      <rPr>
        <sz val="11"/>
        <color theme="1"/>
        <rFont val="Calibri"/>
        <family val="2"/>
        <scheme val="minor"/>
      </rPr>
      <t xml:space="preserve"> - SIERRA LEONE
</t>
    </r>
    <r>
      <rPr>
        <b/>
        <sz val="11"/>
        <color theme="1"/>
        <rFont val="Calibri"/>
        <family val="2"/>
        <scheme val="minor"/>
      </rPr>
      <t>SG</t>
    </r>
    <r>
      <rPr>
        <sz val="11"/>
        <color theme="1"/>
        <rFont val="Calibri"/>
        <family val="2"/>
        <scheme val="minor"/>
      </rPr>
      <t xml:space="preserve"> - SINGAPORE
</t>
    </r>
    <r>
      <rPr>
        <b/>
        <sz val="11"/>
        <color theme="1"/>
        <rFont val="Calibri"/>
        <family val="2"/>
        <scheme val="minor"/>
      </rPr>
      <t>SX</t>
    </r>
    <r>
      <rPr>
        <sz val="11"/>
        <color theme="1"/>
        <rFont val="Calibri"/>
        <family val="2"/>
        <scheme val="minor"/>
      </rPr>
      <t xml:space="preserve"> - SINT MAARTEN (DUTCH PART)
</t>
    </r>
    <r>
      <rPr>
        <b/>
        <sz val="11"/>
        <color theme="1"/>
        <rFont val="Calibri"/>
        <family val="2"/>
        <scheme val="minor"/>
      </rPr>
      <t>SK</t>
    </r>
    <r>
      <rPr>
        <sz val="11"/>
        <color theme="1"/>
        <rFont val="Calibri"/>
        <family val="2"/>
        <scheme val="minor"/>
      </rPr>
      <t xml:space="preserve"> - SLOVAKIA
</t>
    </r>
    <r>
      <rPr>
        <b/>
        <sz val="11"/>
        <color theme="1"/>
        <rFont val="Calibri"/>
        <family val="2"/>
        <scheme val="minor"/>
      </rPr>
      <t>SI</t>
    </r>
    <r>
      <rPr>
        <sz val="11"/>
        <color theme="1"/>
        <rFont val="Calibri"/>
        <family val="2"/>
        <scheme val="minor"/>
      </rPr>
      <t xml:space="preserve"> - SLOVENIA
</t>
    </r>
    <r>
      <rPr>
        <b/>
        <sz val="11"/>
        <color theme="1"/>
        <rFont val="Calibri"/>
        <family val="2"/>
        <scheme val="minor"/>
      </rPr>
      <t>SB</t>
    </r>
    <r>
      <rPr>
        <sz val="11"/>
        <color theme="1"/>
        <rFont val="Calibri"/>
        <family val="2"/>
        <scheme val="minor"/>
      </rPr>
      <t xml:space="preserve"> - SOLOMON ISLANDS
</t>
    </r>
    <r>
      <rPr>
        <b/>
        <sz val="11"/>
        <color theme="1"/>
        <rFont val="Calibri"/>
        <family val="2"/>
        <scheme val="minor"/>
      </rPr>
      <t>SO</t>
    </r>
    <r>
      <rPr>
        <sz val="11"/>
        <color theme="1"/>
        <rFont val="Calibri"/>
        <family val="2"/>
        <scheme val="minor"/>
      </rPr>
      <t xml:space="preserve"> - SOMALIA
</t>
    </r>
    <r>
      <rPr>
        <b/>
        <sz val="11"/>
        <color theme="1"/>
        <rFont val="Calibri"/>
        <family val="2"/>
        <scheme val="minor"/>
      </rPr>
      <t>ZA</t>
    </r>
    <r>
      <rPr>
        <sz val="11"/>
        <color theme="1"/>
        <rFont val="Calibri"/>
        <family val="2"/>
        <scheme val="minor"/>
      </rPr>
      <t xml:space="preserve"> - SOUTH AFRICA
</t>
    </r>
    <r>
      <rPr>
        <b/>
        <sz val="11"/>
        <color theme="1"/>
        <rFont val="Calibri"/>
        <family val="2"/>
        <scheme val="minor"/>
      </rPr>
      <t>GS</t>
    </r>
    <r>
      <rPr>
        <sz val="11"/>
        <color theme="1"/>
        <rFont val="Calibri"/>
        <family val="2"/>
        <scheme val="minor"/>
      </rPr>
      <t xml:space="preserve"> - SOUTH GEORGIA AND THE SOUTH SANDWICH ISLANDS
</t>
    </r>
    <r>
      <rPr>
        <b/>
        <sz val="11"/>
        <color theme="1"/>
        <rFont val="Calibri"/>
        <family val="2"/>
        <scheme val="minor"/>
      </rPr>
      <t>SS</t>
    </r>
    <r>
      <rPr>
        <sz val="11"/>
        <color theme="1"/>
        <rFont val="Calibri"/>
        <family val="2"/>
        <scheme val="minor"/>
      </rPr>
      <t xml:space="preserve"> - SOUTH SUDAN
</t>
    </r>
    <r>
      <rPr>
        <b/>
        <sz val="11"/>
        <color theme="1"/>
        <rFont val="Calibri"/>
        <family val="2"/>
        <scheme val="minor"/>
      </rPr>
      <t>ES</t>
    </r>
    <r>
      <rPr>
        <sz val="11"/>
        <color theme="1"/>
        <rFont val="Calibri"/>
        <family val="2"/>
        <scheme val="minor"/>
      </rPr>
      <t xml:space="preserve"> - SPAIN
</t>
    </r>
    <r>
      <rPr>
        <b/>
        <sz val="11"/>
        <color theme="1"/>
        <rFont val="Calibri"/>
        <family val="2"/>
        <scheme val="minor"/>
      </rPr>
      <t>LK</t>
    </r>
    <r>
      <rPr>
        <sz val="11"/>
        <color theme="1"/>
        <rFont val="Calibri"/>
        <family val="2"/>
        <scheme val="minor"/>
      </rPr>
      <t xml:space="preserve"> - SRI LANKA
</t>
    </r>
    <r>
      <rPr>
        <b/>
        <sz val="11"/>
        <color theme="1"/>
        <rFont val="Calibri"/>
        <family val="2"/>
        <scheme val="minor"/>
      </rPr>
      <t>SD</t>
    </r>
    <r>
      <rPr>
        <sz val="11"/>
        <color theme="1"/>
        <rFont val="Calibri"/>
        <family val="2"/>
        <scheme val="minor"/>
      </rPr>
      <t xml:space="preserve"> - SUDAN
</t>
    </r>
    <r>
      <rPr>
        <b/>
        <sz val="11"/>
        <color theme="1"/>
        <rFont val="Calibri"/>
        <family val="2"/>
        <scheme val="minor"/>
      </rPr>
      <t>SR</t>
    </r>
    <r>
      <rPr>
        <sz val="11"/>
        <color theme="1"/>
        <rFont val="Calibri"/>
        <family val="2"/>
        <scheme val="minor"/>
      </rPr>
      <t xml:space="preserve"> - SURINAME
</t>
    </r>
    <r>
      <rPr>
        <b/>
        <sz val="11"/>
        <color theme="1"/>
        <rFont val="Calibri"/>
        <family val="2"/>
        <scheme val="minor"/>
      </rPr>
      <t>SJ</t>
    </r>
    <r>
      <rPr>
        <sz val="11"/>
        <color theme="1"/>
        <rFont val="Calibri"/>
        <family val="2"/>
        <scheme val="minor"/>
      </rPr>
      <t xml:space="preserve"> - SVALBARD AND JAN MAYEN
</t>
    </r>
    <r>
      <rPr>
        <b/>
        <sz val="11"/>
        <color theme="1"/>
        <rFont val="Calibri"/>
        <family val="2"/>
        <scheme val="minor"/>
      </rPr>
      <t>SZ</t>
    </r>
    <r>
      <rPr>
        <sz val="11"/>
        <color theme="1"/>
        <rFont val="Calibri"/>
        <family val="2"/>
        <scheme val="minor"/>
      </rPr>
      <t xml:space="preserve"> - SWAZILAND
</t>
    </r>
    <r>
      <rPr>
        <b/>
        <sz val="11"/>
        <color theme="1"/>
        <rFont val="Calibri"/>
        <family val="2"/>
        <scheme val="minor"/>
      </rPr>
      <t>SE</t>
    </r>
    <r>
      <rPr>
        <sz val="11"/>
        <color theme="1"/>
        <rFont val="Calibri"/>
        <family val="2"/>
        <scheme val="minor"/>
      </rPr>
      <t xml:space="preserve"> - SWEDEN
</t>
    </r>
    <r>
      <rPr>
        <b/>
        <sz val="11"/>
        <color theme="1"/>
        <rFont val="Calibri"/>
        <family val="2"/>
        <scheme val="minor"/>
      </rPr>
      <t>CH</t>
    </r>
    <r>
      <rPr>
        <sz val="11"/>
        <color theme="1"/>
        <rFont val="Calibri"/>
        <family val="2"/>
        <scheme val="minor"/>
      </rPr>
      <t xml:space="preserve"> - SWITZERLAND
</t>
    </r>
    <r>
      <rPr>
        <b/>
        <sz val="11"/>
        <color theme="1"/>
        <rFont val="Calibri"/>
        <family val="2"/>
        <scheme val="minor"/>
      </rPr>
      <t>SY</t>
    </r>
    <r>
      <rPr>
        <sz val="11"/>
        <color theme="1"/>
        <rFont val="Calibri"/>
        <family val="2"/>
        <scheme val="minor"/>
      </rPr>
      <t xml:space="preserve"> - SYRIAN ARAB REPUBLIC
</t>
    </r>
    <r>
      <rPr>
        <b/>
        <sz val="11"/>
        <color theme="1"/>
        <rFont val="Calibri"/>
        <family val="2"/>
        <scheme val="minor"/>
      </rPr>
      <t>TW</t>
    </r>
    <r>
      <rPr>
        <sz val="11"/>
        <color theme="1"/>
        <rFont val="Calibri"/>
        <family val="2"/>
        <scheme val="minor"/>
      </rPr>
      <t xml:space="preserve"> - TAIWAN
</t>
    </r>
    <r>
      <rPr>
        <b/>
        <sz val="11"/>
        <color theme="1"/>
        <rFont val="Calibri"/>
        <family val="2"/>
        <scheme val="minor"/>
      </rPr>
      <t>TJ</t>
    </r>
    <r>
      <rPr>
        <sz val="11"/>
        <color theme="1"/>
        <rFont val="Calibri"/>
        <family val="2"/>
        <scheme val="minor"/>
      </rPr>
      <t xml:space="preserve"> - TAJIKISTAN
</t>
    </r>
    <r>
      <rPr>
        <b/>
        <sz val="11"/>
        <color theme="1"/>
        <rFont val="Calibri"/>
        <family val="2"/>
        <scheme val="minor"/>
      </rPr>
      <t>TZ</t>
    </r>
    <r>
      <rPr>
        <sz val="11"/>
        <color theme="1"/>
        <rFont val="Calibri"/>
        <family val="2"/>
        <scheme val="minor"/>
      </rPr>
      <t xml:space="preserve"> - TANZANIA, UNITED REPUBLIC OF
</t>
    </r>
    <r>
      <rPr>
        <b/>
        <sz val="11"/>
        <color theme="1"/>
        <rFont val="Calibri"/>
        <family val="2"/>
        <scheme val="minor"/>
      </rPr>
      <t>TH</t>
    </r>
    <r>
      <rPr>
        <sz val="11"/>
        <color theme="1"/>
        <rFont val="Calibri"/>
        <family val="2"/>
        <scheme val="minor"/>
      </rPr>
      <t xml:space="preserve"> - THAILAND
</t>
    </r>
    <r>
      <rPr>
        <b/>
        <sz val="11"/>
        <color theme="1"/>
        <rFont val="Calibri"/>
        <family val="2"/>
        <scheme val="minor"/>
      </rPr>
      <t>TL</t>
    </r>
    <r>
      <rPr>
        <sz val="11"/>
        <color theme="1"/>
        <rFont val="Calibri"/>
        <family val="2"/>
        <scheme val="minor"/>
      </rPr>
      <t xml:space="preserve"> - TIMOR-LESTE
</t>
    </r>
    <r>
      <rPr>
        <b/>
        <sz val="11"/>
        <color theme="1"/>
        <rFont val="Calibri"/>
        <family val="2"/>
        <scheme val="minor"/>
      </rPr>
      <t>TG</t>
    </r>
    <r>
      <rPr>
        <sz val="11"/>
        <color theme="1"/>
        <rFont val="Calibri"/>
        <family val="2"/>
        <scheme val="minor"/>
      </rPr>
      <t xml:space="preserve"> - TOGO
</t>
    </r>
    <r>
      <rPr>
        <b/>
        <sz val="11"/>
        <color theme="1"/>
        <rFont val="Calibri"/>
        <family val="2"/>
        <scheme val="minor"/>
      </rPr>
      <t>TK</t>
    </r>
    <r>
      <rPr>
        <sz val="11"/>
        <color theme="1"/>
        <rFont val="Calibri"/>
        <family val="2"/>
        <scheme val="minor"/>
      </rPr>
      <t xml:space="preserve"> - TOKELAU
</t>
    </r>
    <r>
      <rPr>
        <b/>
        <sz val="11"/>
        <color theme="1"/>
        <rFont val="Calibri"/>
        <family val="2"/>
        <scheme val="minor"/>
      </rPr>
      <t>TO</t>
    </r>
    <r>
      <rPr>
        <sz val="11"/>
        <color theme="1"/>
        <rFont val="Calibri"/>
        <family val="2"/>
        <scheme val="minor"/>
      </rPr>
      <t xml:space="preserve"> - TONGA
</t>
    </r>
    <r>
      <rPr>
        <b/>
        <sz val="11"/>
        <color theme="1"/>
        <rFont val="Calibri"/>
        <family val="2"/>
        <scheme val="minor"/>
      </rPr>
      <t>TT</t>
    </r>
    <r>
      <rPr>
        <sz val="11"/>
        <color theme="1"/>
        <rFont val="Calibri"/>
        <family val="2"/>
        <scheme val="minor"/>
      </rPr>
      <t xml:space="preserve"> - TRINIDAD AND TOBAGO
</t>
    </r>
    <r>
      <rPr>
        <b/>
        <sz val="11"/>
        <color theme="1"/>
        <rFont val="Calibri"/>
        <family val="2"/>
        <scheme val="minor"/>
      </rPr>
      <t>TN</t>
    </r>
    <r>
      <rPr>
        <sz val="11"/>
        <color theme="1"/>
        <rFont val="Calibri"/>
        <family val="2"/>
        <scheme val="minor"/>
      </rPr>
      <t xml:space="preserve"> - TUNISIA
</t>
    </r>
    <r>
      <rPr>
        <b/>
        <sz val="11"/>
        <color theme="1"/>
        <rFont val="Calibri"/>
        <family val="2"/>
        <scheme val="minor"/>
      </rPr>
      <t>TR</t>
    </r>
    <r>
      <rPr>
        <sz val="11"/>
        <color theme="1"/>
        <rFont val="Calibri"/>
        <family val="2"/>
        <scheme val="minor"/>
      </rPr>
      <t xml:space="preserve"> - TURKEY
</t>
    </r>
    <r>
      <rPr>
        <b/>
        <sz val="11"/>
        <color theme="1"/>
        <rFont val="Calibri"/>
        <family val="2"/>
        <scheme val="minor"/>
      </rPr>
      <t>TM</t>
    </r>
    <r>
      <rPr>
        <sz val="11"/>
        <color theme="1"/>
        <rFont val="Calibri"/>
        <family val="2"/>
        <scheme val="minor"/>
      </rPr>
      <t xml:space="preserve"> - TURKMENISTAN
</t>
    </r>
    <r>
      <rPr>
        <b/>
        <sz val="11"/>
        <color theme="1"/>
        <rFont val="Calibri"/>
        <family val="2"/>
        <scheme val="minor"/>
      </rPr>
      <t>TC</t>
    </r>
    <r>
      <rPr>
        <sz val="11"/>
        <color theme="1"/>
        <rFont val="Calibri"/>
        <family val="2"/>
        <scheme val="minor"/>
      </rPr>
      <t xml:space="preserve"> - TURKS AND CAICOS ISLANDS
</t>
    </r>
    <r>
      <rPr>
        <b/>
        <sz val="11"/>
        <color theme="1"/>
        <rFont val="Calibri"/>
        <family val="2"/>
        <scheme val="minor"/>
      </rPr>
      <t>TV</t>
    </r>
    <r>
      <rPr>
        <sz val="11"/>
        <color theme="1"/>
        <rFont val="Calibri"/>
        <family val="2"/>
        <scheme val="minor"/>
      </rPr>
      <t xml:space="preserve"> - TUVALU
</t>
    </r>
    <r>
      <rPr>
        <b/>
        <sz val="11"/>
        <color theme="1"/>
        <rFont val="Calibri"/>
        <family val="2"/>
        <scheme val="minor"/>
      </rPr>
      <t>UG</t>
    </r>
    <r>
      <rPr>
        <sz val="11"/>
        <color theme="1"/>
        <rFont val="Calibri"/>
        <family val="2"/>
        <scheme val="minor"/>
      </rPr>
      <t xml:space="preserve"> - UGANDA
</t>
    </r>
    <r>
      <rPr>
        <b/>
        <sz val="11"/>
        <color theme="1"/>
        <rFont val="Calibri"/>
        <family val="2"/>
        <scheme val="minor"/>
      </rPr>
      <t>UA</t>
    </r>
    <r>
      <rPr>
        <sz val="11"/>
        <color theme="1"/>
        <rFont val="Calibri"/>
        <family val="2"/>
        <scheme val="minor"/>
      </rPr>
      <t xml:space="preserve"> - UKRAINE
</t>
    </r>
    <r>
      <rPr>
        <b/>
        <sz val="11"/>
        <color theme="1"/>
        <rFont val="Calibri"/>
        <family val="2"/>
        <scheme val="minor"/>
      </rPr>
      <t>AE</t>
    </r>
    <r>
      <rPr>
        <sz val="11"/>
        <color theme="1"/>
        <rFont val="Calibri"/>
        <family val="2"/>
        <scheme val="minor"/>
      </rPr>
      <t xml:space="preserve"> - UNITED ARAB EMIRATES
</t>
    </r>
    <r>
      <rPr>
        <b/>
        <sz val="11"/>
        <color theme="1"/>
        <rFont val="Calibri"/>
        <family val="2"/>
        <scheme val="minor"/>
      </rPr>
      <t>GB</t>
    </r>
    <r>
      <rPr>
        <sz val="11"/>
        <color theme="1"/>
        <rFont val="Calibri"/>
        <family val="2"/>
        <scheme val="minor"/>
      </rPr>
      <t xml:space="preserve"> - UNITED KINGDOM
</t>
    </r>
    <r>
      <rPr>
        <b/>
        <sz val="11"/>
        <color theme="1"/>
        <rFont val="Calibri"/>
        <family val="2"/>
        <scheme val="minor"/>
      </rPr>
      <t>US</t>
    </r>
    <r>
      <rPr>
        <sz val="11"/>
        <color theme="1"/>
        <rFont val="Calibri"/>
        <family val="2"/>
        <scheme val="minor"/>
      </rPr>
      <t xml:space="preserve"> - UNITED STATES
</t>
    </r>
    <r>
      <rPr>
        <b/>
        <sz val="11"/>
        <color theme="1"/>
        <rFont val="Calibri"/>
        <family val="2"/>
        <scheme val="minor"/>
      </rPr>
      <t>UM</t>
    </r>
    <r>
      <rPr>
        <sz val="11"/>
        <color theme="1"/>
        <rFont val="Calibri"/>
        <family val="2"/>
        <scheme val="minor"/>
      </rPr>
      <t xml:space="preserve"> - UNITED STATES MINOR OUTLYING ISLANDS
</t>
    </r>
    <r>
      <rPr>
        <b/>
        <sz val="11"/>
        <color theme="1"/>
        <rFont val="Calibri"/>
        <family val="2"/>
        <scheme val="minor"/>
      </rPr>
      <t>UY</t>
    </r>
    <r>
      <rPr>
        <sz val="11"/>
        <color theme="1"/>
        <rFont val="Calibri"/>
        <family val="2"/>
        <scheme val="minor"/>
      </rPr>
      <t xml:space="preserve"> - URUGUAY
</t>
    </r>
    <r>
      <rPr>
        <b/>
        <sz val="11"/>
        <color theme="1"/>
        <rFont val="Calibri"/>
        <family val="2"/>
        <scheme val="minor"/>
      </rPr>
      <t>UZ</t>
    </r>
    <r>
      <rPr>
        <sz val="11"/>
        <color theme="1"/>
        <rFont val="Calibri"/>
        <family val="2"/>
        <scheme val="minor"/>
      </rPr>
      <t xml:space="preserve"> - UZBEKISTAN
</t>
    </r>
    <r>
      <rPr>
        <b/>
        <sz val="11"/>
        <color theme="1"/>
        <rFont val="Calibri"/>
        <family val="2"/>
        <scheme val="minor"/>
      </rPr>
      <t>VU</t>
    </r>
    <r>
      <rPr>
        <sz val="11"/>
        <color theme="1"/>
        <rFont val="Calibri"/>
        <family val="2"/>
        <scheme val="minor"/>
      </rPr>
      <t xml:space="preserve"> - VANUATU
</t>
    </r>
    <r>
      <rPr>
        <b/>
        <sz val="11"/>
        <color theme="1"/>
        <rFont val="Calibri"/>
        <family val="2"/>
        <scheme val="minor"/>
      </rPr>
      <t>VE</t>
    </r>
    <r>
      <rPr>
        <sz val="11"/>
        <color theme="1"/>
        <rFont val="Calibri"/>
        <family val="2"/>
        <scheme val="minor"/>
      </rPr>
      <t xml:space="preserve"> - VENEZUELA, BOLIVARIAN REPUBLIC OF
</t>
    </r>
    <r>
      <rPr>
        <b/>
        <sz val="11"/>
        <color theme="1"/>
        <rFont val="Calibri"/>
        <family val="2"/>
        <scheme val="minor"/>
      </rPr>
      <t>VN</t>
    </r>
    <r>
      <rPr>
        <sz val="11"/>
        <color theme="1"/>
        <rFont val="Calibri"/>
        <family val="2"/>
        <scheme val="minor"/>
      </rPr>
      <t xml:space="preserve"> - VIET NAM
</t>
    </r>
    <r>
      <rPr>
        <b/>
        <sz val="11"/>
        <color theme="1"/>
        <rFont val="Calibri"/>
        <family val="2"/>
        <scheme val="minor"/>
      </rPr>
      <t>VG</t>
    </r>
    <r>
      <rPr>
        <sz val="11"/>
        <color theme="1"/>
        <rFont val="Calibri"/>
        <family val="2"/>
        <scheme val="minor"/>
      </rPr>
      <t xml:space="preserve"> - VIRGIN ISLANDS, BRITISH
</t>
    </r>
    <r>
      <rPr>
        <b/>
        <sz val="11"/>
        <color theme="1"/>
        <rFont val="Calibri"/>
        <family val="2"/>
        <scheme val="minor"/>
      </rPr>
      <t>VI</t>
    </r>
    <r>
      <rPr>
        <sz val="11"/>
        <color theme="1"/>
        <rFont val="Calibri"/>
        <family val="2"/>
        <scheme val="minor"/>
      </rPr>
      <t xml:space="preserve"> - VIRGIN ISLANDS, U.S.
</t>
    </r>
    <r>
      <rPr>
        <b/>
        <sz val="11"/>
        <color theme="1"/>
        <rFont val="Calibri"/>
        <family val="2"/>
        <scheme val="minor"/>
      </rPr>
      <t>WF</t>
    </r>
    <r>
      <rPr>
        <sz val="11"/>
        <color theme="1"/>
        <rFont val="Calibri"/>
        <family val="2"/>
        <scheme val="minor"/>
      </rPr>
      <t xml:space="preserve"> - WALLIS AND FUTUNA
</t>
    </r>
    <r>
      <rPr>
        <b/>
        <sz val="11"/>
        <color theme="1"/>
        <rFont val="Calibri"/>
        <family val="2"/>
        <scheme val="minor"/>
      </rPr>
      <t>EH</t>
    </r>
    <r>
      <rPr>
        <sz val="11"/>
        <color theme="1"/>
        <rFont val="Calibri"/>
        <family val="2"/>
        <scheme val="minor"/>
      </rPr>
      <t xml:space="preserve"> - WESTERN SAHARA
</t>
    </r>
    <r>
      <rPr>
        <b/>
        <sz val="11"/>
        <color theme="1"/>
        <rFont val="Calibri"/>
        <family val="2"/>
        <scheme val="minor"/>
      </rPr>
      <t>YE</t>
    </r>
    <r>
      <rPr>
        <sz val="11"/>
        <color theme="1"/>
        <rFont val="Calibri"/>
        <family val="2"/>
        <scheme val="minor"/>
      </rPr>
      <t xml:space="preserve"> - YEMEN
</t>
    </r>
    <r>
      <rPr>
        <b/>
        <sz val="11"/>
        <color theme="1"/>
        <rFont val="Calibri"/>
        <family val="2"/>
        <scheme val="minor"/>
      </rPr>
      <t>ZM</t>
    </r>
    <r>
      <rPr>
        <sz val="11"/>
        <color theme="1"/>
        <rFont val="Calibri"/>
        <family val="2"/>
        <scheme val="minor"/>
      </rPr>
      <t xml:space="preserve"> - ZAMBIA
</t>
    </r>
    <r>
      <rPr>
        <b/>
        <sz val="11"/>
        <color theme="1"/>
        <rFont val="Calibri"/>
        <family val="2"/>
        <scheme val="minor"/>
      </rPr>
      <t>ZW</t>
    </r>
    <r>
      <rPr>
        <sz val="11"/>
        <color theme="1"/>
        <rFont val="Calibri"/>
        <family val="2"/>
        <scheme val="minor"/>
      </rPr>
      <t xml:space="preserve"> - ZIMBABWE
</t>
    </r>
  </si>
  <si>
    <r>
      <t>AuditedCourse</t>
    </r>
    <r>
      <rPr>
        <sz val="11"/>
        <color theme="1"/>
        <rFont val="Calibri"/>
        <family val="2"/>
        <scheme val="minor"/>
      </rPr>
      <t xml:space="preserve"> - Audited or visited the course
</t>
    </r>
    <r>
      <rPr>
        <b/>
        <sz val="11"/>
        <color theme="1"/>
        <rFont val="Calibri"/>
        <family val="2"/>
        <scheme val="minor"/>
      </rPr>
      <t>HonorsGrade</t>
    </r>
    <r>
      <rPr>
        <sz val="11"/>
        <color theme="1"/>
        <rFont val="Calibri"/>
        <family val="2"/>
        <scheme val="minor"/>
      </rPr>
      <t xml:space="preserve"> - Honors grade
</t>
    </r>
    <r>
      <rPr>
        <b/>
        <sz val="11"/>
        <color theme="1"/>
        <rFont val="Calibri"/>
        <family val="2"/>
        <scheme val="minor"/>
      </rPr>
      <t>Incomplete</t>
    </r>
    <r>
      <rPr>
        <sz val="11"/>
        <color theme="1"/>
        <rFont val="Calibri"/>
        <family val="2"/>
        <scheme val="minor"/>
      </rPr>
      <t xml:space="preserve"> - Incomplete
</t>
    </r>
    <r>
      <rPr>
        <b/>
        <sz val="11"/>
        <color theme="1"/>
        <rFont val="Calibri"/>
        <family val="2"/>
        <scheme val="minor"/>
      </rPr>
      <t>IncompleteNotResolvedFail</t>
    </r>
    <r>
      <rPr>
        <sz val="11"/>
        <color theme="1"/>
        <rFont val="Calibri"/>
        <family val="2"/>
        <scheme val="minor"/>
      </rPr>
      <t xml:space="preserve"> - Incomplete Not Resolved Fail
</t>
    </r>
    <r>
      <rPr>
        <b/>
        <sz val="11"/>
        <color theme="1"/>
        <rFont val="Calibri"/>
        <family val="2"/>
        <scheme val="minor"/>
      </rPr>
      <t>InProgress</t>
    </r>
    <r>
      <rPr>
        <sz val="11"/>
        <color theme="1"/>
        <rFont val="Calibri"/>
        <family val="2"/>
        <scheme val="minor"/>
      </rPr>
      <t xml:space="preserve"> - In Progress
</t>
    </r>
    <r>
      <rPr>
        <b/>
        <sz val="11"/>
        <color theme="1"/>
        <rFont val="Calibri"/>
        <family val="2"/>
        <scheme val="minor"/>
      </rPr>
      <t>NotYetReported</t>
    </r>
    <r>
      <rPr>
        <sz val="11"/>
        <color theme="1"/>
        <rFont val="Calibri"/>
        <family val="2"/>
        <scheme val="minor"/>
      </rPr>
      <t xml:space="preserve"> - Not Yet Reported
</t>
    </r>
    <r>
      <rPr>
        <b/>
        <sz val="11"/>
        <color theme="1"/>
        <rFont val="Calibri"/>
        <family val="2"/>
        <scheme val="minor"/>
      </rPr>
      <t>OtherFail</t>
    </r>
    <r>
      <rPr>
        <sz val="11"/>
        <color theme="1"/>
        <rFont val="Calibri"/>
        <family val="2"/>
        <scheme val="minor"/>
      </rPr>
      <t xml:space="preserve"> - Other Fail
</t>
    </r>
    <r>
      <rPr>
        <b/>
        <sz val="11"/>
        <color theme="1"/>
        <rFont val="Calibri"/>
        <family val="2"/>
        <scheme val="minor"/>
      </rPr>
      <t>OtherPass</t>
    </r>
    <r>
      <rPr>
        <sz val="11"/>
        <color theme="1"/>
        <rFont val="Calibri"/>
        <family val="2"/>
        <scheme val="minor"/>
      </rPr>
      <t xml:space="preserve"> - Other Pass
</t>
    </r>
    <r>
      <rPr>
        <b/>
        <sz val="11"/>
        <color theme="1"/>
        <rFont val="Calibri"/>
        <family val="2"/>
        <scheme val="minor"/>
      </rPr>
      <t>PassFailFail</t>
    </r>
    <r>
      <rPr>
        <sz val="11"/>
        <color theme="1"/>
        <rFont val="Calibri"/>
        <family val="2"/>
        <scheme val="minor"/>
      </rPr>
      <t xml:space="preserve"> - Pass-Fail : Fail
</t>
    </r>
    <r>
      <rPr>
        <b/>
        <sz val="11"/>
        <color theme="1"/>
        <rFont val="Calibri"/>
        <family val="2"/>
        <scheme val="minor"/>
      </rPr>
      <t>PassFailPass</t>
    </r>
    <r>
      <rPr>
        <sz val="11"/>
        <color theme="1"/>
        <rFont val="Calibri"/>
        <family val="2"/>
        <scheme val="minor"/>
      </rPr>
      <t xml:space="preserve"> - Pass-Fail : Pass
</t>
    </r>
    <r>
      <rPr>
        <b/>
        <sz val="11"/>
        <color theme="1"/>
        <rFont val="Calibri"/>
        <family val="2"/>
        <scheme val="minor"/>
      </rPr>
      <t>TransferNoGrade</t>
    </r>
    <r>
      <rPr>
        <sz val="11"/>
        <color theme="1"/>
        <rFont val="Calibri"/>
        <family val="2"/>
        <scheme val="minor"/>
      </rPr>
      <t xml:space="preserve"> - Transfer No Grade
</t>
    </r>
    <r>
      <rPr>
        <b/>
        <sz val="11"/>
        <color theme="1"/>
        <rFont val="Calibri"/>
        <family val="2"/>
        <scheme val="minor"/>
      </rPr>
      <t>Withdrew</t>
    </r>
    <r>
      <rPr>
        <sz val="11"/>
        <color theme="1"/>
        <rFont val="Calibri"/>
        <family val="2"/>
        <scheme val="minor"/>
      </rPr>
      <t xml:space="preserve"> - Withdrew
</t>
    </r>
    <r>
      <rPr>
        <b/>
        <sz val="11"/>
        <color theme="1"/>
        <rFont val="Calibri"/>
        <family val="2"/>
        <scheme val="minor"/>
      </rPr>
      <t>WithdrewFailing</t>
    </r>
    <r>
      <rPr>
        <sz val="11"/>
        <color theme="1"/>
        <rFont val="Calibri"/>
        <family val="2"/>
        <scheme val="minor"/>
      </rPr>
      <t xml:space="preserve"> - Withdrew failing
</t>
    </r>
    <r>
      <rPr>
        <b/>
        <sz val="11"/>
        <color theme="1"/>
        <rFont val="Calibri"/>
        <family val="2"/>
        <scheme val="minor"/>
      </rPr>
      <t>WithdrewNoPenalty</t>
    </r>
    <r>
      <rPr>
        <sz val="11"/>
        <color theme="1"/>
        <rFont val="Calibri"/>
        <family val="2"/>
        <scheme val="minor"/>
      </rPr>
      <t xml:space="preserve"> - Withdrew No Penalty
</t>
    </r>
    <r>
      <rPr>
        <b/>
        <sz val="11"/>
        <color theme="1"/>
        <rFont val="Calibri"/>
        <family val="2"/>
        <scheme val="minor"/>
      </rPr>
      <t>WithdrewPassing</t>
    </r>
    <r>
      <rPr>
        <sz val="11"/>
        <color theme="1"/>
        <rFont val="Calibri"/>
        <family val="2"/>
        <scheme val="minor"/>
      </rPr>
      <t xml:space="preserve"> - Withdrew passing
</t>
    </r>
  </si>
  <si>
    <r>
      <t>Intermediate</t>
    </r>
    <r>
      <rPr>
        <sz val="11"/>
        <color theme="1"/>
        <rFont val="Calibri"/>
        <family val="2"/>
        <scheme val="minor"/>
      </rPr>
      <t xml:space="preserve"> - Intermediate agency course code
</t>
    </r>
    <r>
      <rPr>
        <b/>
        <sz val="11"/>
        <color theme="1"/>
        <rFont val="Calibri"/>
        <family val="2"/>
        <scheme val="minor"/>
      </rPr>
      <t>LEA</t>
    </r>
    <r>
      <rPr>
        <sz val="11"/>
        <color theme="1"/>
        <rFont val="Calibri"/>
        <family val="2"/>
        <scheme val="minor"/>
      </rPr>
      <t xml:space="preserve"> - LEA course code
</t>
    </r>
    <r>
      <rPr>
        <b/>
        <sz val="11"/>
        <color theme="1"/>
        <rFont val="Calibri"/>
        <family val="2"/>
        <scheme val="minor"/>
      </rPr>
      <t>NCES</t>
    </r>
    <r>
      <rPr>
        <sz val="11"/>
        <color theme="1"/>
        <rFont val="Calibri"/>
        <family val="2"/>
        <scheme val="minor"/>
      </rPr>
      <t xml:space="preserve"> - NCES Pilot Standard National Course Classification System for Secondary Education Codes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SCED</t>
    </r>
    <r>
      <rPr>
        <sz val="11"/>
        <color theme="1"/>
        <rFont val="Calibri"/>
        <family val="2"/>
        <scheme val="minor"/>
      </rPr>
      <t xml:space="preserve"> - School Codes for the Exchange of Data (SCED) course code
</t>
    </r>
    <r>
      <rPr>
        <b/>
        <sz val="11"/>
        <color theme="1"/>
        <rFont val="Calibri"/>
        <family val="2"/>
        <scheme val="minor"/>
      </rPr>
      <t>School</t>
    </r>
    <r>
      <rPr>
        <sz val="11"/>
        <color theme="1"/>
        <rFont val="Calibri"/>
        <family val="2"/>
        <scheme val="minor"/>
      </rPr>
      <t xml:space="preserve"> - School course code
</t>
    </r>
    <r>
      <rPr>
        <b/>
        <sz val="11"/>
        <color theme="1"/>
        <rFont val="Calibri"/>
        <family val="2"/>
        <scheme val="minor"/>
      </rPr>
      <t>State</t>
    </r>
    <r>
      <rPr>
        <sz val="11"/>
        <color theme="1"/>
        <rFont val="Calibri"/>
        <family val="2"/>
        <scheme val="minor"/>
      </rPr>
      <t xml:space="preserve"> - State course code
</t>
    </r>
    <r>
      <rPr>
        <b/>
        <sz val="11"/>
        <color theme="1"/>
        <rFont val="Calibri"/>
        <family val="2"/>
        <scheme val="minor"/>
      </rPr>
      <t>University</t>
    </r>
    <r>
      <rPr>
        <sz val="11"/>
        <color theme="1"/>
        <rFont val="Calibri"/>
        <family val="2"/>
        <scheme val="minor"/>
      </rPr>
      <t xml:space="preserve"> - University course code
</t>
    </r>
  </si>
  <si>
    <r>
      <t>Regular</t>
    </r>
    <r>
      <rPr>
        <sz val="11"/>
        <color theme="1"/>
        <rFont val="Calibri"/>
        <family val="2"/>
        <scheme val="minor"/>
      </rPr>
      <t xml:space="preserve"> - Regular/general enrollment
</t>
    </r>
    <r>
      <rPr>
        <b/>
        <sz val="11"/>
        <color theme="1"/>
        <rFont val="Calibri"/>
        <family val="2"/>
        <scheme val="minor"/>
      </rPr>
      <t>Major</t>
    </r>
    <r>
      <rPr>
        <sz val="11"/>
        <color theme="1"/>
        <rFont val="Calibri"/>
        <family val="2"/>
        <scheme val="minor"/>
      </rPr>
      <t xml:space="preserve"> - Credit associated with the student's major
</t>
    </r>
    <r>
      <rPr>
        <b/>
        <sz val="11"/>
        <color theme="1"/>
        <rFont val="Calibri"/>
        <family val="2"/>
        <scheme val="minor"/>
      </rPr>
      <t>AcademicRenewal</t>
    </r>
    <r>
      <rPr>
        <sz val="11"/>
        <color theme="1"/>
        <rFont val="Calibri"/>
        <family val="2"/>
        <scheme val="minor"/>
      </rPr>
      <t xml:space="preserve"> - Academic Renewal
</t>
    </r>
    <r>
      <rPr>
        <b/>
        <sz val="11"/>
        <color theme="1"/>
        <rFont val="Calibri"/>
        <family val="2"/>
        <scheme val="minor"/>
      </rPr>
      <t>AdultBasic</t>
    </r>
    <r>
      <rPr>
        <sz val="11"/>
        <color theme="1"/>
        <rFont val="Calibri"/>
        <family val="2"/>
        <scheme val="minor"/>
      </rPr>
      <t xml:space="preserve"> - Adult Basic
</t>
    </r>
    <r>
      <rPr>
        <b/>
        <sz val="11"/>
        <color theme="1"/>
        <rFont val="Calibri"/>
        <family val="2"/>
        <scheme val="minor"/>
      </rPr>
      <t>AdvancedPlacement</t>
    </r>
    <r>
      <rPr>
        <sz val="11"/>
        <color theme="1"/>
        <rFont val="Calibri"/>
        <family val="2"/>
        <scheme val="minor"/>
      </rPr>
      <t xml:space="preserve"> - Advanced Placement
</t>
    </r>
    <r>
      <rPr>
        <b/>
        <sz val="11"/>
        <color theme="1"/>
        <rFont val="Calibri"/>
        <family val="2"/>
        <scheme val="minor"/>
      </rPr>
      <t>AdvancedStanding</t>
    </r>
    <r>
      <rPr>
        <sz val="11"/>
        <color theme="1"/>
        <rFont val="Calibri"/>
        <family val="2"/>
        <scheme val="minor"/>
      </rPr>
      <t xml:space="preserve"> - Advanced Standing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ContinuingEducation</t>
    </r>
    <r>
      <rPr>
        <sz val="11"/>
        <color theme="1"/>
        <rFont val="Calibri"/>
        <family val="2"/>
        <scheme val="minor"/>
      </rPr>
      <t xml:space="preserve"> - Continuing Education
</t>
    </r>
    <r>
      <rPr>
        <b/>
        <sz val="11"/>
        <color theme="1"/>
        <rFont val="Calibri"/>
        <family val="2"/>
        <scheme val="minor"/>
      </rPr>
      <t>Exemption</t>
    </r>
    <r>
      <rPr>
        <sz val="11"/>
        <color theme="1"/>
        <rFont val="Calibri"/>
        <family val="2"/>
        <scheme val="minor"/>
      </rPr>
      <t xml:space="preserve"> - Exemption
</t>
    </r>
    <r>
      <rPr>
        <b/>
        <sz val="11"/>
        <color theme="1"/>
        <rFont val="Calibri"/>
        <family val="2"/>
        <scheme val="minor"/>
      </rPr>
      <t>Equivalence</t>
    </r>
    <r>
      <rPr>
        <sz val="11"/>
        <color theme="1"/>
        <rFont val="Calibri"/>
        <family val="2"/>
        <scheme val="minor"/>
      </rPr>
      <t xml:space="preserve"> - Equivalence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Military</t>
    </r>
    <r>
      <rPr>
        <sz val="11"/>
        <color theme="1"/>
        <rFont val="Calibri"/>
        <family val="2"/>
        <scheme val="minor"/>
      </rPr>
      <t xml:space="preserve"> - Military
</t>
    </r>
    <r>
      <rPr>
        <b/>
        <sz val="11"/>
        <color theme="1"/>
        <rFont val="Calibri"/>
        <family val="2"/>
        <scheme val="minor"/>
      </rPr>
      <t>Remedial</t>
    </r>
    <r>
      <rPr>
        <sz val="11"/>
        <color theme="1"/>
        <rFont val="Calibri"/>
        <family val="2"/>
        <scheme val="minor"/>
      </rPr>
      <t xml:space="preserve"> - Remedial/developmental
</t>
    </r>
    <r>
      <rPr>
        <b/>
        <sz val="11"/>
        <color theme="1"/>
        <rFont val="Calibri"/>
        <family val="2"/>
        <scheme val="minor"/>
      </rPr>
      <t>CreditByExam</t>
    </r>
    <r>
      <rPr>
        <sz val="11"/>
        <color theme="1"/>
        <rFont val="Calibri"/>
        <family val="2"/>
        <scheme val="minor"/>
      </rPr>
      <t xml:space="preserve"> - Credit granted from successful score on a standardized test of comprehension or proficiency.
</t>
    </r>
    <r>
      <rPr>
        <b/>
        <sz val="11"/>
        <color theme="1"/>
        <rFont val="Calibri"/>
        <family val="2"/>
        <scheme val="minor"/>
      </rPr>
      <t>HighSchoolTransferCredit</t>
    </r>
    <r>
      <rPr>
        <sz val="11"/>
        <color theme="1"/>
        <rFont val="Calibri"/>
        <family val="2"/>
        <scheme val="minor"/>
      </rPr>
      <t xml:space="preserve"> - Credit from a high school course is transferred to the college.
</t>
    </r>
    <r>
      <rPr>
        <b/>
        <sz val="11"/>
        <color theme="1"/>
        <rFont val="Calibri"/>
        <family val="2"/>
        <scheme val="minor"/>
      </rPr>
      <t>HighSchoolCreditOnly</t>
    </r>
    <r>
      <rPr>
        <sz val="11"/>
        <color theme="1"/>
        <rFont val="Calibri"/>
        <family val="2"/>
        <scheme val="minor"/>
      </rPr>
      <t xml:space="preserve"> - Credit from a college course is transferred back to high school and not counted by the college.
</t>
    </r>
    <r>
      <rPr>
        <b/>
        <sz val="11"/>
        <color theme="1"/>
        <rFont val="Calibri"/>
        <family val="2"/>
        <scheme val="minor"/>
      </rPr>
      <t>HighSchoolDualCredit</t>
    </r>
    <r>
      <rPr>
        <sz val="11"/>
        <color theme="1"/>
        <rFont val="Calibri"/>
        <family val="2"/>
        <scheme val="minor"/>
      </rPr>
      <t xml:space="preserve"> - Credit from a college course is counted at both the college and high school.
</t>
    </r>
    <r>
      <rPr>
        <b/>
        <sz val="11"/>
        <color theme="1"/>
        <rFont val="Calibri"/>
        <family val="2"/>
        <scheme val="minor"/>
      </rPr>
      <t>JuniorHighSchoolCredit</t>
    </r>
    <r>
      <rPr>
        <sz val="11"/>
        <color theme="1"/>
        <rFont val="Calibri"/>
        <family val="2"/>
        <scheme val="minor"/>
      </rPr>
      <t xml:space="preserve"> - Credit from a junior high school course is counted at the high school.
</t>
    </r>
  </si>
  <si>
    <r>
      <t>Undergraduate</t>
    </r>
    <r>
      <rPr>
        <sz val="11"/>
        <color theme="1"/>
        <rFont val="Calibri"/>
        <family val="2"/>
        <scheme val="minor"/>
      </rPr>
      <t xml:space="preserve"> - Undergraduate
</t>
    </r>
    <r>
      <rPr>
        <b/>
        <sz val="11"/>
        <color theme="1"/>
        <rFont val="Calibri"/>
        <family val="2"/>
        <scheme val="minor"/>
      </rPr>
      <t>Ungraded</t>
    </r>
    <r>
      <rPr>
        <sz val="11"/>
        <color theme="1"/>
        <rFont val="Calibri"/>
        <family val="2"/>
        <scheme val="minor"/>
      </rPr>
      <t xml:space="preserve"> - Ungraded
</t>
    </r>
    <r>
      <rPr>
        <b/>
        <sz val="11"/>
        <color theme="1"/>
        <rFont val="Calibri"/>
        <family val="2"/>
        <scheme val="minor"/>
      </rPr>
      <t>LowerDivision</t>
    </r>
    <r>
      <rPr>
        <sz val="11"/>
        <color theme="1"/>
        <rFont val="Calibri"/>
        <family val="2"/>
        <scheme val="minor"/>
      </rPr>
      <t xml:space="preserve"> - Lower division credit (associated with first/second year)
</t>
    </r>
    <r>
      <rPr>
        <b/>
        <sz val="11"/>
        <color theme="1"/>
        <rFont val="Calibri"/>
        <family val="2"/>
        <scheme val="minor"/>
      </rPr>
      <t>UpperDivision</t>
    </r>
    <r>
      <rPr>
        <sz val="11"/>
        <color theme="1"/>
        <rFont val="Calibri"/>
        <family val="2"/>
        <scheme val="minor"/>
      </rPr>
      <t xml:space="preserve"> - Higher or upper division credit (associated with third or fourth year)
</t>
    </r>
    <r>
      <rPr>
        <b/>
        <sz val="11"/>
        <color theme="1"/>
        <rFont val="Calibri"/>
        <family val="2"/>
        <scheme val="minor"/>
      </rPr>
      <t>Vocational</t>
    </r>
    <r>
      <rPr>
        <sz val="11"/>
        <color theme="1"/>
        <rFont val="Calibri"/>
        <family val="2"/>
        <scheme val="minor"/>
      </rPr>
      <t xml:space="preserve"> - Vocational/technical credit
</t>
    </r>
    <r>
      <rPr>
        <b/>
        <sz val="11"/>
        <color theme="1"/>
        <rFont val="Calibri"/>
        <family val="2"/>
        <scheme val="minor"/>
      </rPr>
      <t>TechnicalPreparatory</t>
    </r>
    <r>
      <rPr>
        <sz val="11"/>
        <color theme="1"/>
        <rFont val="Calibri"/>
        <family val="2"/>
        <scheme val="minor"/>
      </rPr>
      <t xml:space="preserve"> - Technical preparatory credit
</t>
    </r>
    <r>
      <rPr>
        <b/>
        <sz val="11"/>
        <color theme="1"/>
        <rFont val="Calibri"/>
        <family val="2"/>
        <scheme val="minor"/>
      </rPr>
      <t>Graduate</t>
    </r>
    <r>
      <rPr>
        <sz val="11"/>
        <color theme="1"/>
        <rFont val="Calibri"/>
        <family val="2"/>
        <scheme val="minor"/>
      </rPr>
      <t xml:space="preserve"> - Graduate level credit
</t>
    </r>
    <r>
      <rPr>
        <b/>
        <sz val="11"/>
        <color theme="1"/>
        <rFont val="Calibri"/>
        <family val="2"/>
        <scheme val="minor"/>
      </rPr>
      <t>Professional</t>
    </r>
    <r>
      <rPr>
        <sz val="11"/>
        <color theme="1"/>
        <rFont val="Calibri"/>
        <family val="2"/>
        <scheme val="minor"/>
      </rPr>
      <t xml:space="preserve"> - Professional
</t>
    </r>
    <r>
      <rPr>
        <b/>
        <sz val="11"/>
        <color theme="1"/>
        <rFont val="Calibri"/>
        <family val="2"/>
        <scheme val="minor"/>
      </rPr>
      <t>Dual</t>
    </r>
    <r>
      <rPr>
        <sz val="11"/>
        <color theme="1"/>
        <rFont val="Calibri"/>
        <family val="2"/>
        <scheme val="minor"/>
      </rPr>
      <t xml:space="preserve"> - Dual Level
</t>
    </r>
    <r>
      <rPr>
        <b/>
        <sz val="11"/>
        <color theme="1"/>
        <rFont val="Calibri"/>
        <family val="2"/>
        <scheme val="minor"/>
      </rPr>
      <t>GraduateProfessional</t>
    </r>
    <r>
      <rPr>
        <sz val="11"/>
        <color theme="1"/>
        <rFont val="Calibri"/>
        <family val="2"/>
        <scheme val="minor"/>
      </rPr>
      <t xml:space="preserve"> - Graduate Professional
</t>
    </r>
  </si>
  <si>
    <r>
      <t>NoCredit</t>
    </r>
    <r>
      <rPr>
        <sz val="11"/>
        <color theme="1"/>
        <rFont val="Calibri"/>
        <family val="2"/>
        <scheme val="minor"/>
      </rPr>
      <t xml:space="preserve"> - No Credit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Semester</t>
    </r>
    <r>
      <rPr>
        <sz val="11"/>
        <color theme="1"/>
        <rFont val="Calibri"/>
        <family val="2"/>
        <scheme val="minor"/>
      </rPr>
      <t xml:space="preserve"> - Semester 
</t>
    </r>
    <r>
      <rPr>
        <b/>
        <sz val="11"/>
        <color theme="1"/>
        <rFont val="Calibri"/>
        <family val="2"/>
        <scheme val="minor"/>
      </rPr>
      <t>Units</t>
    </r>
    <r>
      <rPr>
        <sz val="11"/>
        <color theme="1"/>
        <rFont val="Calibri"/>
        <family val="2"/>
        <scheme val="minor"/>
      </rPr>
      <t xml:space="preserve"> - Units 
</t>
    </r>
    <r>
      <rPr>
        <b/>
        <sz val="11"/>
        <color theme="1"/>
        <rFont val="Calibri"/>
        <family val="2"/>
        <scheme val="minor"/>
      </rPr>
      <t>CarnegieUnits</t>
    </r>
    <r>
      <rPr>
        <sz val="11"/>
        <color theme="1"/>
        <rFont val="Calibri"/>
        <family val="2"/>
        <scheme val="minor"/>
      </rPr>
      <t xml:space="preserve"> - Carnegie Units 
</t>
    </r>
    <r>
      <rPr>
        <b/>
        <sz val="11"/>
        <color theme="1"/>
        <rFont val="Calibri"/>
        <family val="2"/>
        <scheme val="minor"/>
      </rPr>
      <t>ContinuingEducationUnits</t>
    </r>
    <r>
      <rPr>
        <sz val="11"/>
        <color theme="1"/>
        <rFont val="Calibri"/>
        <family val="2"/>
        <scheme val="minor"/>
      </rPr>
      <t xml:space="preserve"> - Continuing Education Units 
</t>
    </r>
    <r>
      <rPr>
        <b/>
        <sz val="11"/>
        <color theme="1"/>
        <rFont val="Calibri"/>
        <family val="2"/>
        <scheme val="minor"/>
      </rPr>
      <t>ClockHours</t>
    </r>
    <r>
      <rPr>
        <sz val="11"/>
        <color theme="1"/>
        <rFont val="Calibri"/>
        <family val="2"/>
        <scheme val="minor"/>
      </rPr>
      <t xml:space="preserve"> - Clock Hours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Unreported</t>
    </r>
    <r>
      <rPr>
        <sz val="11"/>
        <color theme="1"/>
        <rFont val="Calibri"/>
        <family val="2"/>
        <scheme val="minor"/>
      </rPr>
      <t xml:space="preserve"> - Unreported
</t>
    </r>
  </si>
  <si>
    <r>
      <t>Applicable</t>
    </r>
    <r>
      <rPr>
        <sz val="11"/>
        <color theme="1"/>
        <rFont val="Calibri"/>
        <family val="2"/>
        <scheme val="minor"/>
      </rPr>
      <t xml:space="preserve"> - Applicable in GPA
</t>
    </r>
    <r>
      <rPr>
        <b/>
        <sz val="11"/>
        <color theme="1"/>
        <rFont val="Calibri"/>
        <family val="2"/>
        <scheme val="minor"/>
      </rPr>
      <t>NotApplicable</t>
    </r>
    <r>
      <rPr>
        <sz val="11"/>
        <color theme="1"/>
        <rFont val="Calibri"/>
        <family val="2"/>
        <scheme val="minor"/>
      </rPr>
      <t xml:space="preserve"> - Not Applicable in GPA
</t>
    </r>
    <r>
      <rPr>
        <b/>
        <sz val="11"/>
        <color theme="1"/>
        <rFont val="Calibri"/>
        <family val="2"/>
        <scheme val="minor"/>
      </rPr>
      <t>Weighted</t>
    </r>
    <r>
      <rPr>
        <sz val="11"/>
        <color theme="1"/>
        <rFont val="Calibri"/>
        <family val="2"/>
        <scheme val="minor"/>
      </rPr>
      <t xml:space="preserve"> - Weighted in GPA
</t>
    </r>
  </si>
  <si>
    <r>
      <t>Honors</t>
    </r>
    <r>
      <rPr>
        <sz val="11"/>
        <color theme="1"/>
        <rFont val="Calibri"/>
        <family val="2"/>
        <scheme val="minor"/>
      </rPr>
      <t xml:space="preserve"> - Honors
</t>
    </r>
    <r>
      <rPr>
        <b/>
        <sz val="11"/>
        <color theme="1"/>
        <rFont val="Calibri"/>
        <family val="2"/>
        <scheme val="minor"/>
      </rPr>
      <t>HonorsOption</t>
    </r>
    <r>
      <rPr>
        <sz val="11"/>
        <color theme="1"/>
        <rFont val="Calibri"/>
        <family val="2"/>
        <scheme val="minor"/>
      </rPr>
      <t xml:space="preserve"> - Honors option
</t>
    </r>
  </si>
  <si>
    <r>
      <t>OnCampus</t>
    </r>
    <r>
      <rPr>
        <sz val="11"/>
        <color theme="1"/>
        <rFont val="Calibri"/>
        <family val="2"/>
        <scheme val="minor"/>
      </rPr>
      <t xml:space="preserve"> - On campus
</t>
    </r>
    <r>
      <rPr>
        <b/>
        <sz val="11"/>
        <color theme="1"/>
        <rFont val="Calibri"/>
        <family val="2"/>
        <scheme val="minor"/>
      </rPr>
      <t>OffCampus</t>
    </r>
    <r>
      <rPr>
        <sz val="11"/>
        <color theme="1"/>
        <rFont val="Calibri"/>
        <family val="2"/>
        <scheme val="minor"/>
      </rPr>
      <t xml:space="preserve"> - Off campus (e.g., branch campus, etc.)
</t>
    </r>
    <r>
      <rPr>
        <b/>
        <sz val="11"/>
        <color theme="1"/>
        <rFont val="Calibri"/>
        <family val="2"/>
        <scheme val="minor"/>
      </rPr>
      <t>Extension</t>
    </r>
    <r>
      <rPr>
        <sz val="11"/>
        <color theme="1"/>
        <rFont val="Calibri"/>
        <family val="2"/>
        <scheme val="minor"/>
      </rPr>
      <t xml:space="preserve"> - Extension center or site
</t>
    </r>
    <r>
      <rPr>
        <b/>
        <sz val="11"/>
        <color theme="1"/>
        <rFont val="Calibri"/>
        <family val="2"/>
        <scheme val="minor"/>
      </rPr>
      <t>StudyAbroad</t>
    </r>
    <r>
      <rPr>
        <sz val="11"/>
        <color theme="1"/>
        <rFont val="Calibri"/>
        <family val="2"/>
        <scheme val="minor"/>
      </rPr>
      <t xml:space="preserve"> - Study abroad
</t>
    </r>
    <r>
      <rPr>
        <b/>
        <sz val="11"/>
        <color theme="1"/>
        <rFont val="Calibri"/>
        <family val="2"/>
        <scheme val="minor"/>
      </rPr>
      <t>Correctional</t>
    </r>
    <r>
      <rPr>
        <sz val="11"/>
        <color theme="1"/>
        <rFont val="Calibri"/>
        <family val="2"/>
        <scheme val="minor"/>
      </rPr>
      <t xml:space="preserve"> - Correctional institution
</t>
    </r>
    <r>
      <rPr>
        <b/>
        <sz val="11"/>
        <color theme="1"/>
        <rFont val="Calibri"/>
        <family val="2"/>
        <scheme val="minor"/>
      </rPr>
      <t>Millitary</t>
    </r>
    <r>
      <rPr>
        <sz val="11"/>
        <color theme="1"/>
        <rFont val="Calibri"/>
        <family val="2"/>
        <scheme val="minor"/>
      </rPr>
      <t xml:space="preserve"> - Military Base
</t>
    </r>
    <r>
      <rPr>
        <b/>
        <sz val="11"/>
        <color theme="1"/>
        <rFont val="Calibri"/>
        <family val="2"/>
        <scheme val="minor"/>
      </rPr>
      <t>Telecommunication</t>
    </r>
    <r>
      <rPr>
        <sz val="11"/>
        <color theme="1"/>
        <rFont val="Calibri"/>
        <family val="2"/>
        <scheme val="minor"/>
      </rPr>
      <t xml:space="preserve"> - Instructional telecommunications
</t>
    </r>
    <r>
      <rPr>
        <b/>
        <sz val="11"/>
        <color theme="1"/>
        <rFont val="Calibri"/>
        <family val="2"/>
        <scheme val="minor"/>
      </rPr>
      <t>Auxiliary</t>
    </r>
    <r>
      <rPr>
        <sz val="11"/>
        <color theme="1"/>
        <rFont val="Calibri"/>
        <family val="2"/>
        <scheme val="minor"/>
      </rPr>
      <t xml:space="preserve"> - Auxiliary
</t>
    </r>
    <r>
      <rPr>
        <b/>
        <sz val="11"/>
        <color theme="1"/>
        <rFont val="Calibri"/>
        <family val="2"/>
        <scheme val="minor"/>
      </rPr>
      <t>ClinicHospital</t>
    </r>
    <r>
      <rPr>
        <sz val="11"/>
        <color theme="1"/>
        <rFont val="Calibri"/>
        <family val="2"/>
        <scheme val="minor"/>
      </rPr>
      <t xml:space="preserve"> - Clinic or hospital
</t>
    </r>
  </si>
  <si>
    <r>
      <t>Asynchronous</t>
    </r>
    <r>
      <rPr>
        <sz val="11"/>
        <color theme="1"/>
        <rFont val="Calibri"/>
        <family val="2"/>
        <scheme val="minor"/>
      </rPr>
      <t xml:space="preserve"> - Asynchronous
</t>
    </r>
    <r>
      <rPr>
        <b/>
        <sz val="11"/>
        <color theme="1"/>
        <rFont val="Calibri"/>
        <family val="2"/>
        <scheme val="minor"/>
      </rPr>
      <t>Synchronous</t>
    </r>
    <r>
      <rPr>
        <sz val="11"/>
        <color theme="1"/>
        <rFont val="Calibri"/>
        <family val="2"/>
        <scheme val="minor"/>
      </rPr>
      <t xml:space="preserve"> - Synchronous
</t>
    </r>
  </si>
  <si>
    <r>
      <t>00568</t>
    </r>
    <r>
      <rPr>
        <sz val="11"/>
        <color theme="1"/>
        <rFont val="Calibri"/>
        <family val="2"/>
        <scheme val="minor"/>
      </rPr>
      <t xml:space="preserve"> - Remedial course
</t>
    </r>
    <r>
      <rPr>
        <b/>
        <sz val="11"/>
        <color theme="1"/>
        <rFont val="Calibri"/>
        <family val="2"/>
        <scheme val="minor"/>
      </rPr>
      <t>00569</t>
    </r>
    <r>
      <rPr>
        <sz val="11"/>
        <color theme="1"/>
        <rFont val="Calibri"/>
        <family val="2"/>
        <scheme val="minor"/>
      </rPr>
      <t xml:space="preserve"> - Students with disabilities course
</t>
    </r>
    <r>
      <rPr>
        <b/>
        <sz val="11"/>
        <color theme="1"/>
        <rFont val="Calibri"/>
        <family val="2"/>
        <scheme val="minor"/>
      </rPr>
      <t>00570</t>
    </r>
    <r>
      <rPr>
        <sz val="11"/>
        <color theme="1"/>
        <rFont val="Calibri"/>
        <family val="2"/>
        <scheme val="minor"/>
      </rPr>
      <t xml:space="preserve"> - Basic course
</t>
    </r>
    <r>
      <rPr>
        <b/>
        <sz val="11"/>
        <color theme="1"/>
        <rFont val="Calibri"/>
        <family val="2"/>
        <scheme val="minor"/>
      </rPr>
      <t>00571</t>
    </r>
    <r>
      <rPr>
        <sz val="11"/>
        <color theme="1"/>
        <rFont val="Calibri"/>
        <family val="2"/>
        <scheme val="minor"/>
      </rPr>
      <t xml:space="preserve"> - General course
</t>
    </r>
    <r>
      <rPr>
        <b/>
        <sz val="11"/>
        <color theme="1"/>
        <rFont val="Calibri"/>
        <family val="2"/>
        <scheme val="minor"/>
      </rPr>
      <t>00572</t>
    </r>
    <r>
      <rPr>
        <sz val="11"/>
        <color theme="1"/>
        <rFont val="Calibri"/>
        <family val="2"/>
        <scheme val="minor"/>
      </rPr>
      <t xml:space="preserve"> - Honors level course
</t>
    </r>
    <r>
      <rPr>
        <b/>
        <sz val="11"/>
        <color theme="1"/>
        <rFont val="Calibri"/>
        <family val="2"/>
        <scheme val="minor"/>
      </rPr>
      <t>00573</t>
    </r>
    <r>
      <rPr>
        <sz val="11"/>
        <color theme="1"/>
        <rFont val="Calibri"/>
        <family val="2"/>
        <scheme val="minor"/>
      </rPr>
      <t xml:space="preserve"> - Gifted and talented course
</t>
    </r>
    <r>
      <rPr>
        <b/>
        <sz val="11"/>
        <color theme="1"/>
        <rFont val="Calibri"/>
        <family val="2"/>
        <scheme val="minor"/>
      </rPr>
      <t>00574</t>
    </r>
    <r>
      <rPr>
        <sz val="11"/>
        <color theme="1"/>
        <rFont val="Calibri"/>
        <family val="2"/>
        <scheme val="minor"/>
      </rPr>
      <t xml:space="preserve"> - International Baccalaureate course
</t>
    </r>
    <r>
      <rPr>
        <b/>
        <sz val="11"/>
        <color theme="1"/>
        <rFont val="Calibri"/>
        <family val="2"/>
        <scheme val="minor"/>
      </rPr>
      <t>00575</t>
    </r>
    <r>
      <rPr>
        <sz val="11"/>
        <color theme="1"/>
        <rFont val="Calibri"/>
        <family val="2"/>
        <scheme val="minor"/>
      </rPr>
      <t xml:space="preserve"> - Advanced placement course
</t>
    </r>
    <r>
      <rPr>
        <b/>
        <sz val="11"/>
        <color theme="1"/>
        <rFont val="Calibri"/>
        <family val="2"/>
        <scheme val="minor"/>
      </rPr>
      <t>00576</t>
    </r>
    <r>
      <rPr>
        <sz val="11"/>
        <color theme="1"/>
        <rFont val="Calibri"/>
        <family val="2"/>
        <scheme val="minor"/>
      </rPr>
      <t xml:space="preserve"> - College-level course
</t>
    </r>
    <r>
      <rPr>
        <b/>
        <sz val="11"/>
        <color theme="1"/>
        <rFont val="Calibri"/>
        <family val="2"/>
        <scheme val="minor"/>
      </rPr>
      <t>00577</t>
    </r>
    <r>
      <rPr>
        <sz val="11"/>
        <color theme="1"/>
        <rFont val="Calibri"/>
        <family val="2"/>
        <scheme val="minor"/>
      </rPr>
      <t xml:space="preserve"> - Untracked course
</t>
    </r>
    <r>
      <rPr>
        <b/>
        <sz val="11"/>
        <color theme="1"/>
        <rFont val="Calibri"/>
        <family val="2"/>
        <scheme val="minor"/>
      </rPr>
      <t>00578</t>
    </r>
    <r>
      <rPr>
        <sz val="11"/>
        <color theme="1"/>
        <rFont val="Calibri"/>
        <family val="2"/>
        <scheme val="minor"/>
      </rPr>
      <t xml:space="preserve"> - English Language Learner (ELL) course
</t>
    </r>
    <r>
      <rPr>
        <b/>
        <sz val="11"/>
        <color theme="1"/>
        <rFont val="Calibri"/>
        <family val="2"/>
        <scheme val="minor"/>
      </rPr>
      <t>00579</t>
    </r>
    <r>
      <rPr>
        <sz val="11"/>
        <color theme="1"/>
        <rFont val="Calibri"/>
        <family val="2"/>
        <scheme val="minor"/>
      </rPr>
      <t xml:space="preserve"> - Accepted as a high school equivalent
</t>
    </r>
    <r>
      <rPr>
        <b/>
        <sz val="11"/>
        <color theme="1"/>
        <rFont val="Calibri"/>
        <family val="2"/>
        <scheme val="minor"/>
      </rPr>
      <t>73044</t>
    </r>
    <r>
      <rPr>
        <sz val="11"/>
        <color theme="1"/>
        <rFont val="Calibri"/>
        <family val="2"/>
        <scheme val="minor"/>
      </rPr>
      <t xml:space="preserve"> - Career and technical education general course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73045</t>
    </r>
    <r>
      <rPr>
        <sz val="11"/>
        <color theme="1"/>
        <rFont val="Calibri"/>
        <family val="2"/>
        <scheme val="minor"/>
      </rPr>
      <t xml:space="preserve"> - Career and technical education dual-credit course
</t>
    </r>
  </si>
  <si>
    <r>
      <t>Accelerated</t>
    </r>
    <r>
      <rPr>
        <sz val="11"/>
        <color theme="1"/>
        <rFont val="Calibri"/>
        <family val="2"/>
        <scheme val="minor"/>
      </rPr>
      <t xml:space="preserve"> - Accelerated
</t>
    </r>
    <r>
      <rPr>
        <b/>
        <sz val="11"/>
        <color theme="1"/>
        <rFont val="Calibri"/>
        <family val="2"/>
        <scheme val="minor"/>
      </rPr>
      <t>AdultBasic</t>
    </r>
    <r>
      <rPr>
        <sz val="11"/>
        <color theme="1"/>
        <rFont val="Calibri"/>
        <family val="2"/>
        <scheme val="minor"/>
      </rPr>
      <t xml:space="preserve"> - Adult Basic
</t>
    </r>
    <r>
      <rPr>
        <b/>
        <sz val="11"/>
        <color theme="1"/>
        <rFont val="Calibri"/>
        <family val="2"/>
        <scheme val="minor"/>
      </rPr>
      <t>AdvancedPlacement</t>
    </r>
    <r>
      <rPr>
        <sz val="11"/>
        <color theme="1"/>
        <rFont val="Calibri"/>
        <family val="2"/>
        <scheme val="minor"/>
      </rPr>
      <t xml:space="preserve"> - Advanced Placement
</t>
    </r>
    <r>
      <rPr>
        <b/>
        <sz val="11"/>
        <color theme="1"/>
        <rFont val="Calibri"/>
        <family val="2"/>
        <scheme val="minor"/>
      </rPr>
      <t>Basic</t>
    </r>
    <r>
      <rPr>
        <sz val="11"/>
        <color theme="1"/>
        <rFont val="Calibri"/>
        <family val="2"/>
        <scheme val="minor"/>
      </rPr>
      <t xml:space="preserve"> - Basic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CollegeLevel</t>
    </r>
    <r>
      <rPr>
        <sz val="11"/>
        <color theme="1"/>
        <rFont val="Calibri"/>
        <family val="2"/>
        <scheme val="minor"/>
      </rPr>
      <t xml:space="preserve"> - College Level
</t>
    </r>
    <r>
      <rPr>
        <b/>
        <sz val="11"/>
        <color theme="1"/>
        <rFont val="Calibri"/>
        <family val="2"/>
        <scheme val="minor"/>
      </rPr>
      <t>CollegePreparatory</t>
    </r>
    <r>
      <rPr>
        <sz val="11"/>
        <color theme="1"/>
        <rFont val="Calibri"/>
        <family val="2"/>
        <scheme val="minor"/>
      </rPr>
      <t xml:space="preserve"> - College Preparatory
</t>
    </r>
    <r>
      <rPr>
        <b/>
        <sz val="11"/>
        <color theme="1"/>
        <rFont val="Calibri"/>
        <family val="2"/>
        <scheme val="minor"/>
      </rPr>
      <t>GiftedTalented</t>
    </r>
    <r>
      <rPr>
        <sz val="11"/>
        <color theme="1"/>
        <rFont val="Calibri"/>
        <family val="2"/>
        <scheme val="minor"/>
      </rPr>
      <t xml:space="preserve"> - Gifted and Talented
</t>
    </r>
    <r>
      <rPr>
        <b/>
        <sz val="11"/>
        <color theme="1"/>
        <rFont val="Calibri"/>
        <family val="2"/>
        <scheme val="minor"/>
      </rPr>
      <t>Honors</t>
    </r>
    <r>
      <rPr>
        <sz val="11"/>
        <color theme="1"/>
        <rFont val="Calibri"/>
        <family val="2"/>
        <scheme val="minor"/>
      </rPr>
      <t xml:space="preserve"> - Honors
</t>
    </r>
    <r>
      <rPr>
        <b/>
        <sz val="11"/>
        <color theme="1"/>
        <rFont val="Calibri"/>
        <family val="2"/>
        <scheme val="minor"/>
      </rPr>
      <t>NonAcademic</t>
    </r>
    <r>
      <rPr>
        <sz val="11"/>
        <color theme="1"/>
        <rFont val="Calibri"/>
        <family val="2"/>
        <scheme val="minor"/>
      </rPr>
      <t xml:space="preserve"> - Non-Academic
</t>
    </r>
    <r>
      <rPr>
        <b/>
        <sz val="11"/>
        <color theme="1"/>
        <rFont val="Calibri"/>
        <family val="2"/>
        <scheme val="minor"/>
      </rPr>
      <t>SpecialEducation</t>
    </r>
    <r>
      <rPr>
        <sz val="11"/>
        <color theme="1"/>
        <rFont val="Calibri"/>
        <family val="2"/>
        <scheme val="minor"/>
      </rPr>
      <t xml:space="preserve"> - Special Education
</t>
    </r>
    <r>
      <rPr>
        <b/>
        <sz val="11"/>
        <color theme="1"/>
        <rFont val="Calibri"/>
        <family val="2"/>
        <scheme val="minor"/>
      </rPr>
      <t>TechnicalPreparatory</t>
    </r>
    <r>
      <rPr>
        <sz val="11"/>
        <color theme="1"/>
        <rFont val="Calibri"/>
        <family val="2"/>
        <scheme val="minor"/>
      </rPr>
      <t xml:space="preserve"> - Technical Preparatory
</t>
    </r>
    <r>
      <rPr>
        <b/>
        <sz val="11"/>
        <color theme="1"/>
        <rFont val="Calibri"/>
        <family val="2"/>
        <scheme val="minor"/>
      </rPr>
      <t>Vocational</t>
    </r>
    <r>
      <rPr>
        <sz val="11"/>
        <color theme="1"/>
        <rFont val="Calibri"/>
        <family val="2"/>
        <scheme val="minor"/>
      </rPr>
      <t xml:space="preserve"> - Vocational
</t>
    </r>
    <r>
      <rPr>
        <b/>
        <sz val="11"/>
        <color theme="1"/>
        <rFont val="Calibri"/>
        <family val="2"/>
        <scheme val="minor"/>
      </rPr>
      <t>LowerDivision</t>
    </r>
    <r>
      <rPr>
        <sz val="11"/>
        <color theme="1"/>
        <rFont val="Calibri"/>
        <family val="2"/>
        <scheme val="minor"/>
      </rPr>
      <t xml:space="preserve"> - Lower division
</t>
    </r>
    <r>
      <rPr>
        <b/>
        <sz val="11"/>
        <color theme="1"/>
        <rFont val="Calibri"/>
        <family val="2"/>
        <scheme val="minor"/>
      </rPr>
      <t>UpperDivision</t>
    </r>
    <r>
      <rPr>
        <sz val="11"/>
        <color theme="1"/>
        <rFont val="Calibri"/>
        <family val="2"/>
        <scheme val="minor"/>
      </rPr>
      <t xml:space="preserve"> - Upper division
</t>
    </r>
    <r>
      <rPr>
        <b/>
        <sz val="11"/>
        <color theme="1"/>
        <rFont val="Calibri"/>
        <family val="2"/>
        <scheme val="minor"/>
      </rPr>
      <t>Dual</t>
    </r>
    <r>
      <rPr>
        <sz val="11"/>
        <color theme="1"/>
        <rFont val="Calibri"/>
        <family val="2"/>
        <scheme val="minor"/>
      </rPr>
      <t xml:space="preserve"> - Dual level
</t>
    </r>
    <r>
      <rPr>
        <b/>
        <sz val="11"/>
        <color theme="1"/>
        <rFont val="Calibri"/>
        <family val="2"/>
        <scheme val="minor"/>
      </rPr>
      <t>GraduateProfessional</t>
    </r>
    <r>
      <rPr>
        <sz val="11"/>
        <color theme="1"/>
        <rFont val="Calibri"/>
        <family val="2"/>
        <scheme val="minor"/>
      </rPr>
      <t xml:space="preserve"> - Graduate/Professional
</t>
    </r>
    <r>
      <rPr>
        <b/>
        <sz val="11"/>
        <color theme="1"/>
        <rFont val="Calibri"/>
        <family val="2"/>
        <scheme val="minor"/>
      </rPr>
      <t>Regents</t>
    </r>
    <r>
      <rPr>
        <sz val="11"/>
        <color theme="1"/>
        <rFont val="Calibri"/>
        <family val="2"/>
        <scheme val="minor"/>
      </rPr>
      <t xml:space="preserve"> - Regents
</t>
    </r>
    <r>
      <rPr>
        <b/>
        <sz val="11"/>
        <color theme="1"/>
        <rFont val="Calibri"/>
        <family val="2"/>
        <scheme val="minor"/>
      </rPr>
      <t>Remedial</t>
    </r>
    <r>
      <rPr>
        <sz val="11"/>
        <color theme="1"/>
        <rFont val="Calibri"/>
        <family val="2"/>
        <scheme val="minor"/>
      </rPr>
      <t xml:space="preserve"> - Remedial/Developmental
</t>
    </r>
  </si>
  <si>
    <r>
      <t>RepeatCounted</t>
    </r>
    <r>
      <rPr>
        <sz val="11"/>
        <color theme="1"/>
        <rFont val="Calibri"/>
        <family val="2"/>
        <scheme val="minor"/>
      </rPr>
      <t xml:space="preserve"> - Repeated, counted in grade point average
</t>
    </r>
    <r>
      <rPr>
        <b/>
        <sz val="11"/>
        <color theme="1"/>
        <rFont val="Calibri"/>
        <family val="2"/>
        <scheme val="minor"/>
      </rPr>
      <t>RepeatNotCounted</t>
    </r>
    <r>
      <rPr>
        <sz val="11"/>
        <color theme="1"/>
        <rFont val="Calibri"/>
        <family val="2"/>
        <scheme val="minor"/>
      </rPr>
      <t xml:space="preserve"> - Repeated, not counted in grade point average
</t>
    </r>
    <r>
      <rPr>
        <b/>
        <sz val="11"/>
        <color theme="1"/>
        <rFont val="Calibri"/>
        <family val="2"/>
        <scheme val="minor"/>
      </rPr>
      <t>ReplacementCounted</t>
    </r>
    <r>
      <rPr>
        <sz val="11"/>
        <color theme="1"/>
        <rFont val="Calibri"/>
        <family val="2"/>
        <scheme val="minor"/>
      </rPr>
      <t xml:space="preserve"> - Replacement counted
</t>
    </r>
    <r>
      <rPr>
        <b/>
        <sz val="11"/>
        <color theme="1"/>
        <rFont val="Calibri"/>
        <family val="2"/>
        <scheme val="minor"/>
      </rPr>
      <t>ReplacedNotCounted</t>
    </r>
    <r>
      <rPr>
        <sz val="11"/>
        <color theme="1"/>
        <rFont val="Calibri"/>
        <family val="2"/>
        <scheme val="minor"/>
      </rPr>
      <t xml:space="preserve"> - Replacement not counted
</t>
    </r>
    <r>
      <rPr>
        <b/>
        <sz val="11"/>
        <color theme="1"/>
        <rFont val="Calibri"/>
        <family val="2"/>
        <scheme val="minor"/>
      </rPr>
      <t>RepeatOtherInstitution</t>
    </r>
    <r>
      <rPr>
        <sz val="11"/>
        <color theme="1"/>
        <rFont val="Calibri"/>
        <family val="2"/>
        <scheme val="minor"/>
      </rPr>
      <t xml:space="preserve"> - Repeated, other institution
</t>
    </r>
    <r>
      <rPr>
        <b/>
        <sz val="11"/>
        <color theme="1"/>
        <rFont val="Calibri"/>
        <family val="2"/>
        <scheme val="minor"/>
      </rPr>
      <t>NotCountedOther</t>
    </r>
    <r>
      <rPr>
        <sz val="11"/>
        <color theme="1"/>
        <rFont val="Calibri"/>
        <family val="2"/>
        <scheme val="minor"/>
      </rPr>
      <t xml:space="preserve"> - Other, not counted in GPA (e.g., used for academic forgiveness or clemency).
</t>
    </r>
  </si>
  <si>
    <r>
      <t>NewEnrollment</t>
    </r>
    <r>
      <rPr>
        <sz val="11"/>
        <color theme="1"/>
        <rFont val="Calibri"/>
        <family val="2"/>
        <scheme val="minor"/>
      </rPr>
      <t xml:space="preserve"> - New Enrollment
</t>
    </r>
    <r>
      <rPr>
        <b/>
        <sz val="11"/>
        <color theme="1"/>
        <rFont val="Calibri"/>
        <family val="2"/>
        <scheme val="minor"/>
      </rPr>
      <t>Transfer</t>
    </r>
    <r>
      <rPr>
        <sz val="11"/>
        <color theme="1"/>
        <rFont val="Calibri"/>
        <family val="2"/>
        <scheme val="minor"/>
      </rPr>
      <t xml:space="preserve"> - Transfer
</t>
    </r>
  </si>
  <si>
    <r>
      <t>Transfer</t>
    </r>
    <r>
      <rPr>
        <sz val="11"/>
        <color theme="1"/>
        <rFont val="Calibri"/>
        <family val="2"/>
        <scheme val="minor"/>
      </rPr>
      <t xml:space="preserve"> - Student transferred to another Class Section of the same course in the same educational institution.
</t>
    </r>
    <r>
      <rPr>
        <b/>
        <sz val="11"/>
        <color theme="1"/>
        <rFont val="Calibri"/>
        <family val="2"/>
        <scheme val="minor"/>
      </rPr>
      <t>CompletedForCredit</t>
    </r>
    <r>
      <rPr>
        <sz val="11"/>
        <color theme="1"/>
        <rFont val="Calibri"/>
        <family val="2"/>
        <scheme val="minor"/>
      </rPr>
      <t xml:space="preserve"> - Class Section completed, student received credit for the course.
</t>
    </r>
    <r>
      <rPr>
        <b/>
        <sz val="11"/>
        <color theme="1"/>
        <rFont val="Calibri"/>
        <family val="2"/>
        <scheme val="minor"/>
      </rPr>
      <t>CompletedNoCredit</t>
    </r>
    <r>
      <rPr>
        <sz val="11"/>
        <color theme="1"/>
        <rFont val="Calibri"/>
        <family val="2"/>
        <scheme val="minor"/>
      </rPr>
      <t xml:space="preserve"> - Class Section completed, student did not receive credit for the course.
</t>
    </r>
    <r>
      <rPr>
        <b/>
        <sz val="11"/>
        <color theme="1"/>
        <rFont val="Calibri"/>
        <family val="2"/>
        <scheme val="minor"/>
      </rPr>
      <t>Incomplete</t>
    </r>
    <r>
      <rPr>
        <sz val="11"/>
        <color theme="1"/>
        <rFont val="Calibri"/>
        <family val="2"/>
        <scheme val="minor"/>
      </rPr>
      <t xml:space="preserve"> - Class Section completed, student did not complete the work required to complete the course.
</t>
    </r>
  </si>
  <si>
    <r>
      <t>Broadcast</t>
    </r>
    <r>
      <rPr>
        <sz val="11"/>
        <color theme="1"/>
        <rFont val="Calibri"/>
        <family val="2"/>
        <scheme val="minor"/>
      </rPr>
      <t xml:space="preserve"> - Broadcast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EarlyCollege</t>
    </r>
    <r>
      <rPr>
        <sz val="11"/>
        <color theme="1"/>
        <rFont val="Calibri"/>
        <family val="2"/>
        <scheme val="minor"/>
      </rPr>
      <t xml:space="preserve"> - Early College
</t>
    </r>
    <r>
      <rPr>
        <b/>
        <sz val="11"/>
        <color theme="1"/>
        <rFont val="Calibri"/>
        <family val="2"/>
        <scheme val="minor"/>
      </rPr>
      <t>AudioVideo</t>
    </r>
    <r>
      <rPr>
        <sz val="11"/>
        <color theme="1"/>
        <rFont val="Calibri"/>
        <family val="2"/>
        <scheme val="minor"/>
      </rPr>
      <t xml:space="preserve"> - Interactive Audio/Video
</t>
    </r>
    <r>
      <rPr>
        <b/>
        <sz val="11"/>
        <color theme="1"/>
        <rFont val="Calibri"/>
        <family val="2"/>
        <scheme val="minor"/>
      </rPr>
      <t>Online</t>
    </r>
    <r>
      <rPr>
        <sz val="11"/>
        <color theme="1"/>
        <rFont val="Calibri"/>
        <family val="2"/>
        <scheme val="minor"/>
      </rPr>
      <t xml:space="preserve"> - Online
</t>
    </r>
    <r>
      <rPr>
        <b/>
        <sz val="11"/>
        <color theme="1"/>
        <rFont val="Calibri"/>
        <family val="2"/>
        <scheme val="minor"/>
      </rPr>
      <t>IndependentStudy</t>
    </r>
    <r>
      <rPr>
        <sz val="11"/>
        <color theme="1"/>
        <rFont val="Calibri"/>
        <family val="2"/>
        <scheme val="minor"/>
      </rPr>
      <t xml:space="preserve"> - Independent Study
</t>
    </r>
    <r>
      <rPr>
        <b/>
        <sz val="11"/>
        <color theme="1"/>
        <rFont val="Calibri"/>
        <family val="2"/>
        <scheme val="minor"/>
      </rPr>
      <t>FaceToFace</t>
    </r>
    <r>
      <rPr>
        <sz val="11"/>
        <color theme="1"/>
        <rFont val="Calibri"/>
        <family val="2"/>
        <scheme val="minor"/>
      </rPr>
      <t xml:space="preserve"> - Face to Face
</t>
    </r>
    <r>
      <rPr>
        <b/>
        <sz val="11"/>
        <color theme="1"/>
        <rFont val="Calibri"/>
        <family val="2"/>
        <scheme val="minor"/>
      </rPr>
      <t>BlendedLearning</t>
    </r>
    <r>
      <rPr>
        <sz val="11"/>
        <color theme="1"/>
        <rFont val="Calibri"/>
        <family val="2"/>
        <scheme val="minor"/>
      </rPr>
      <t xml:space="preserve"> - Blended Learning
</t>
    </r>
  </si>
  <si>
    <r>
      <t>MaleOnly</t>
    </r>
    <r>
      <rPr>
        <sz val="11"/>
        <color theme="1"/>
        <rFont val="Calibri"/>
        <family val="2"/>
        <scheme val="minor"/>
      </rPr>
      <t xml:space="preserve"> - Male-only
</t>
    </r>
    <r>
      <rPr>
        <b/>
        <sz val="11"/>
        <color theme="1"/>
        <rFont val="Calibri"/>
        <family val="2"/>
        <scheme val="minor"/>
      </rPr>
      <t>FemaleOnly</t>
    </r>
    <r>
      <rPr>
        <sz val="11"/>
        <color theme="1"/>
        <rFont val="Calibri"/>
        <family val="2"/>
        <scheme val="minor"/>
      </rPr>
      <t xml:space="preserve"> - Female-only
</t>
    </r>
    <r>
      <rPr>
        <b/>
        <sz val="11"/>
        <color theme="1"/>
        <rFont val="Calibri"/>
        <family val="2"/>
        <scheme val="minor"/>
      </rPr>
      <t>NotSingleSex</t>
    </r>
    <r>
      <rPr>
        <sz val="11"/>
        <color theme="1"/>
        <rFont val="Calibri"/>
        <family val="2"/>
        <scheme val="minor"/>
      </rPr>
      <t xml:space="preserve"> - Not a single-sex class
</t>
    </r>
  </si>
  <si>
    <r>
      <t>00</t>
    </r>
    <r>
      <rPr>
        <sz val="11"/>
        <color theme="1"/>
        <rFont val="Calibri"/>
        <family val="2"/>
        <scheme val="minor"/>
      </rPr>
      <t xml:space="preserve"> - None
</t>
    </r>
    <r>
      <rPr>
        <b/>
        <sz val="11"/>
        <color theme="1"/>
        <rFont val="Calibri"/>
        <family val="2"/>
        <scheme val="minor"/>
      </rPr>
      <t>01</t>
    </r>
    <r>
      <rPr>
        <sz val="11"/>
        <color theme="1"/>
        <rFont val="Calibri"/>
        <family val="2"/>
        <scheme val="minor"/>
      </rPr>
      <t xml:space="preserve"> - Undergraduate hours applied towards graduate degree
</t>
    </r>
    <r>
      <rPr>
        <b/>
        <sz val="11"/>
        <color theme="1"/>
        <rFont val="Calibri"/>
        <family val="2"/>
        <scheme val="minor"/>
      </rPr>
      <t>02</t>
    </r>
    <r>
      <rPr>
        <sz val="11"/>
        <color theme="1"/>
        <rFont val="Calibri"/>
        <family val="2"/>
        <scheme val="minor"/>
      </rPr>
      <t xml:space="preserve"> - Credit hours taken at the postbaccalaureate level
</t>
    </r>
    <r>
      <rPr>
        <b/>
        <sz val="11"/>
        <color theme="1"/>
        <rFont val="Calibri"/>
        <family val="2"/>
        <scheme val="minor"/>
      </rPr>
      <t>03</t>
    </r>
    <r>
      <rPr>
        <sz val="11"/>
        <color theme="1"/>
        <rFont val="Calibri"/>
        <family val="2"/>
        <scheme val="minor"/>
      </rPr>
      <t xml:space="preserve"> - Credit hours taken as unclassified student
</t>
    </r>
    <r>
      <rPr>
        <b/>
        <sz val="11"/>
        <color theme="1"/>
        <rFont val="Calibri"/>
        <family val="2"/>
        <scheme val="minor"/>
      </rPr>
      <t>04</t>
    </r>
    <r>
      <rPr>
        <sz val="11"/>
        <color theme="1"/>
        <rFont val="Calibri"/>
        <family val="2"/>
        <scheme val="minor"/>
      </rPr>
      <t xml:space="preserve"> - Credit hours taken as an independent student
</t>
    </r>
    <r>
      <rPr>
        <b/>
        <sz val="11"/>
        <color theme="1"/>
        <rFont val="Calibri"/>
        <family val="2"/>
        <scheme val="minor"/>
      </rPr>
      <t>05</t>
    </r>
    <r>
      <rPr>
        <sz val="11"/>
        <color theme="1"/>
        <rFont val="Calibri"/>
        <family val="2"/>
        <scheme val="minor"/>
      </rPr>
      <t xml:space="preserve"> - Credit hours taken as traveling scholar at another university
</t>
    </r>
    <r>
      <rPr>
        <b/>
        <sz val="11"/>
        <color theme="1"/>
        <rFont val="Calibri"/>
        <family val="2"/>
        <scheme val="minor"/>
      </rPr>
      <t>06</t>
    </r>
    <r>
      <rPr>
        <sz val="11"/>
        <color theme="1"/>
        <rFont val="Calibri"/>
        <family val="2"/>
        <scheme val="minor"/>
      </rPr>
      <t xml:space="preserve"> - Credit hours taken at master's level
</t>
    </r>
    <r>
      <rPr>
        <b/>
        <sz val="11"/>
        <color theme="1"/>
        <rFont val="Calibri"/>
        <family val="2"/>
        <scheme val="minor"/>
      </rPr>
      <t>07</t>
    </r>
    <r>
      <rPr>
        <sz val="11"/>
        <color theme="1"/>
        <rFont val="Calibri"/>
        <family val="2"/>
        <scheme val="minor"/>
      </rPr>
      <t xml:space="preserve"> - Credit hours taken as a master's student in one program, applied towards another master's program
</t>
    </r>
    <r>
      <rPr>
        <b/>
        <sz val="11"/>
        <color theme="1"/>
        <rFont val="Calibri"/>
        <family val="2"/>
        <scheme val="minor"/>
      </rPr>
      <t>98</t>
    </r>
    <r>
      <rPr>
        <sz val="11"/>
        <color theme="1"/>
        <rFont val="Calibri"/>
        <family val="2"/>
        <scheme val="minor"/>
      </rPr>
      <t xml:space="preserve"> - Unknown
</t>
    </r>
    <r>
      <rPr>
        <b/>
        <sz val="11"/>
        <color theme="1"/>
        <rFont val="Calibri"/>
        <family val="2"/>
        <scheme val="minor"/>
      </rPr>
      <t>99</t>
    </r>
    <r>
      <rPr>
        <sz val="11"/>
        <color theme="1"/>
        <rFont val="Calibri"/>
        <family val="2"/>
        <scheme val="minor"/>
      </rPr>
      <t xml:space="preserve"> - Other
</t>
    </r>
  </si>
  <si>
    <r>
      <t>00585</t>
    </r>
    <r>
      <rPr>
        <sz val="11"/>
        <color theme="1"/>
        <rFont val="Calibri"/>
        <family val="2"/>
        <scheme val="minor"/>
      </rPr>
      <t xml:space="preserve"> - Carnegie unit
</t>
    </r>
    <r>
      <rPr>
        <b/>
        <sz val="11"/>
        <color theme="1"/>
        <rFont val="Calibri"/>
        <family val="2"/>
        <scheme val="minor"/>
      </rPr>
      <t>00586</t>
    </r>
    <r>
      <rPr>
        <sz val="11"/>
        <color theme="1"/>
        <rFont val="Calibri"/>
        <family val="2"/>
        <scheme val="minor"/>
      </rPr>
      <t xml:space="preserve"> - Semester hour credit
</t>
    </r>
    <r>
      <rPr>
        <b/>
        <sz val="11"/>
        <color theme="1"/>
        <rFont val="Calibri"/>
        <family val="2"/>
        <scheme val="minor"/>
      </rPr>
      <t>00587</t>
    </r>
    <r>
      <rPr>
        <sz val="11"/>
        <color theme="1"/>
        <rFont val="Calibri"/>
        <family val="2"/>
        <scheme val="minor"/>
      </rPr>
      <t xml:space="preserve"> - Trimester hour credit
</t>
    </r>
    <r>
      <rPr>
        <b/>
        <sz val="11"/>
        <color theme="1"/>
        <rFont val="Calibri"/>
        <family val="2"/>
        <scheme val="minor"/>
      </rPr>
      <t>00588</t>
    </r>
    <r>
      <rPr>
        <sz val="11"/>
        <color theme="1"/>
        <rFont val="Calibri"/>
        <family val="2"/>
        <scheme val="minor"/>
      </rPr>
      <t xml:space="preserve"> - Quarter hour credit
</t>
    </r>
    <r>
      <rPr>
        <b/>
        <sz val="11"/>
        <color theme="1"/>
        <rFont val="Calibri"/>
        <family val="2"/>
        <scheme val="minor"/>
      </rPr>
      <t>00589</t>
    </r>
    <r>
      <rPr>
        <sz val="11"/>
        <color theme="1"/>
        <rFont val="Calibri"/>
        <family val="2"/>
        <scheme val="minor"/>
      </rPr>
      <t xml:space="preserve"> - Quinmester hour credit
</t>
    </r>
    <r>
      <rPr>
        <b/>
        <sz val="11"/>
        <color theme="1"/>
        <rFont val="Calibri"/>
        <family val="2"/>
        <scheme val="minor"/>
      </rPr>
      <t>00590</t>
    </r>
    <r>
      <rPr>
        <sz val="11"/>
        <color theme="1"/>
        <rFont val="Calibri"/>
        <family val="2"/>
        <scheme val="minor"/>
      </rPr>
      <t xml:space="preserve"> - Mini-term hour credit
</t>
    </r>
    <r>
      <rPr>
        <b/>
        <sz val="11"/>
        <color theme="1"/>
        <rFont val="Calibri"/>
        <family val="2"/>
        <scheme val="minor"/>
      </rPr>
      <t>00591</t>
    </r>
    <r>
      <rPr>
        <sz val="11"/>
        <color theme="1"/>
        <rFont val="Calibri"/>
        <family val="2"/>
        <scheme val="minor"/>
      </rPr>
      <t xml:space="preserve"> - Summer term hour credit
</t>
    </r>
    <r>
      <rPr>
        <b/>
        <sz val="11"/>
        <color theme="1"/>
        <rFont val="Calibri"/>
        <family val="2"/>
        <scheme val="minor"/>
      </rPr>
      <t>00592</t>
    </r>
    <r>
      <rPr>
        <sz val="11"/>
        <color theme="1"/>
        <rFont val="Calibri"/>
        <family val="2"/>
        <scheme val="minor"/>
      </rPr>
      <t xml:space="preserve"> - Intersession hour credit
</t>
    </r>
    <r>
      <rPr>
        <b/>
        <sz val="11"/>
        <color theme="1"/>
        <rFont val="Calibri"/>
        <family val="2"/>
        <scheme val="minor"/>
      </rPr>
      <t>00595</t>
    </r>
    <r>
      <rPr>
        <sz val="11"/>
        <color theme="1"/>
        <rFont val="Calibri"/>
        <family val="2"/>
        <scheme val="minor"/>
      </rPr>
      <t xml:space="preserve"> - Long session hour credit
</t>
    </r>
    <r>
      <rPr>
        <b/>
        <sz val="11"/>
        <color theme="1"/>
        <rFont val="Calibri"/>
        <family val="2"/>
        <scheme val="minor"/>
      </rPr>
      <t>00596</t>
    </r>
    <r>
      <rPr>
        <sz val="11"/>
        <color theme="1"/>
        <rFont val="Calibri"/>
        <family val="2"/>
        <scheme val="minor"/>
      </rPr>
      <t xml:space="preserve"> - Twelve month hour credit
</t>
    </r>
    <r>
      <rPr>
        <b/>
        <sz val="11"/>
        <color theme="1"/>
        <rFont val="Calibri"/>
        <family val="2"/>
        <scheme val="minor"/>
      </rPr>
      <t>00597</t>
    </r>
    <r>
      <rPr>
        <sz val="11"/>
        <color theme="1"/>
        <rFont val="Calibri"/>
        <family val="2"/>
        <scheme val="minor"/>
      </rPr>
      <t xml:space="preserve"> - Career and Technical Education credit
</t>
    </r>
    <r>
      <rPr>
        <b/>
        <sz val="11"/>
        <color theme="1"/>
        <rFont val="Calibri"/>
        <family val="2"/>
        <scheme val="minor"/>
      </rPr>
      <t>73062</t>
    </r>
    <r>
      <rPr>
        <sz val="11"/>
        <color theme="1"/>
        <rFont val="Calibri"/>
        <family val="2"/>
        <scheme val="minor"/>
      </rPr>
      <t xml:space="preserve"> - Adult high school credit
</t>
    </r>
    <r>
      <rPr>
        <b/>
        <sz val="11"/>
        <color theme="1"/>
        <rFont val="Calibri"/>
        <family val="2"/>
        <scheme val="minor"/>
      </rPr>
      <t>00599</t>
    </r>
    <r>
      <rPr>
        <sz val="11"/>
        <color theme="1"/>
        <rFont val="Calibri"/>
        <family val="2"/>
        <scheme val="minor"/>
      </rPr>
      <t xml:space="preserve"> - Credit by examination
</t>
    </r>
    <r>
      <rPr>
        <b/>
        <sz val="11"/>
        <color theme="1"/>
        <rFont val="Calibri"/>
        <family val="2"/>
        <scheme val="minor"/>
      </rPr>
      <t>00600</t>
    </r>
    <r>
      <rPr>
        <sz val="11"/>
        <color theme="1"/>
        <rFont val="Calibri"/>
        <family val="2"/>
        <scheme val="minor"/>
      </rPr>
      <t xml:space="preserve"> - Correspondence credit
</t>
    </r>
    <r>
      <rPr>
        <b/>
        <sz val="11"/>
        <color theme="1"/>
        <rFont val="Calibri"/>
        <family val="2"/>
        <scheme val="minor"/>
      </rPr>
      <t>00601</t>
    </r>
    <r>
      <rPr>
        <sz val="11"/>
        <color theme="1"/>
        <rFont val="Calibri"/>
        <family val="2"/>
        <scheme val="minor"/>
      </rPr>
      <t xml:space="preserve"> - Converted occupational experience credit
</t>
    </r>
    <r>
      <rPr>
        <b/>
        <sz val="11"/>
        <color theme="1"/>
        <rFont val="Calibri"/>
        <family val="2"/>
        <scheme val="minor"/>
      </rPr>
      <t>09999</t>
    </r>
    <r>
      <rPr>
        <sz val="11"/>
        <color theme="1"/>
        <rFont val="Calibri"/>
        <family val="2"/>
        <scheme val="minor"/>
      </rPr>
      <t xml:space="preserve"> - Other
</t>
    </r>
  </si>
  <si>
    <r>
      <t>LEA</t>
    </r>
    <r>
      <rPr>
        <sz val="11"/>
        <color theme="1"/>
        <rFont val="Calibri"/>
        <family val="2"/>
        <scheme val="minor"/>
      </rPr>
      <t xml:space="preserve"> - Local Education Agency (LEA) curriculum framework
</t>
    </r>
    <r>
      <rPr>
        <b/>
        <sz val="11"/>
        <color theme="1"/>
        <rFont val="Calibri"/>
        <family val="2"/>
        <scheme val="minor"/>
      </rPr>
      <t>NationalStandard</t>
    </r>
    <r>
      <rPr>
        <sz val="11"/>
        <color theme="1"/>
        <rFont val="Calibri"/>
        <family val="2"/>
        <scheme val="minor"/>
      </rPr>
      <t xml:space="preserve"> - National curriculum standard
</t>
    </r>
    <r>
      <rPr>
        <b/>
        <sz val="11"/>
        <color theme="1"/>
        <rFont val="Calibri"/>
        <family val="2"/>
        <scheme val="minor"/>
      </rPr>
      <t>PrivateOrReligious</t>
    </r>
    <r>
      <rPr>
        <sz val="11"/>
        <color theme="1"/>
        <rFont val="Calibri"/>
        <family val="2"/>
        <scheme val="minor"/>
      </rPr>
      <t xml:space="preserve"> - Private, religious curriculum
</t>
    </r>
    <r>
      <rPr>
        <b/>
        <sz val="11"/>
        <color theme="1"/>
        <rFont val="Calibri"/>
        <family val="2"/>
        <scheme val="minor"/>
      </rPr>
      <t>School</t>
    </r>
    <r>
      <rPr>
        <sz val="11"/>
        <color theme="1"/>
        <rFont val="Calibri"/>
        <family val="2"/>
        <scheme val="minor"/>
      </rPr>
      <t xml:space="preserve"> - School curriculum framework
</t>
    </r>
    <r>
      <rPr>
        <b/>
        <sz val="11"/>
        <color theme="1"/>
        <rFont val="Calibri"/>
        <family val="2"/>
        <scheme val="minor"/>
      </rPr>
      <t>State</t>
    </r>
    <r>
      <rPr>
        <sz val="11"/>
        <color theme="1"/>
        <rFont val="Calibri"/>
        <family val="2"/>
        <scheme val="minor"/>
      </rPr>
      <t xml:space="preserve"> - State curriculum framework
</t>
    </r>
    <r>
      <rPr>
        <b/>
        <sz val="11"/>
        <color theme="1"/>
        <rFont val="Calibri"/>
        <family val="2"/>
        <scheme val="minor"/>
      </rPr>
      <t>Other</t>
    </r>
    <r>
      <rPr>
        <sz val="11"/>
        <color theme="1"/>
        <rFont val="Calibri"/>
        <family val="2"/>
        <scheme val="minor"/>
      </rPr>
      <t xml:space="preserve"> - Other
</t>
    </r>
  </si>
  <si>
    <r>
      <t>Mother</t>
    </r>
    <r>
      <rPr>
        <sz val="11"/>
        <color theme="1"/>
        <rFont val="Calibri"/>
        <family val="2"/>
        <scheme val="minor"/>
      </rPr>
      <t xml:space="preserve"> - Mother
</t>
    </r>
    <r>
      <rPr>
        <b/>
        <sz val="11"/>
        <color theme="1"/>
        <rFont val="Calibri"/>
        <family val="2"/>
        <scheme val="minor"/>
      </rPr>
      <t>Father</t>
    </r>
    <r>
      <rPr>
        <sz val="11"/>
        <color theme="1"/>
        <rFont val="Calibri"/>
        <family val="2"/>
        <scheme val="minor"/>
      </rPr>
      <t xml:space="preserve"> - Father
</t>
    </r>
    <r>
      <rPr>
        <b/>
        <sz val="11"/>
        <color theme="1"/>
        <rFont val="Calibri"/>
        <family val="2"/>
        <scheme val="minor"/>
      </rPr>
      <t>Grandparent</t>
    </r>
    <r>
      <rPr>
        <sz val="11"/>
        <color theme="1"/>
        <rFont val="Calibri"/>
        <family val="2"/>
        <scheme val="minor"/>
      </rPr>
      <t xml:space="preserve"> - Grandparent
</t>
    </r>
    <r>
      <rPr>
        <b/>
        <sz val="11"/>
        <color theme="1"/>
        <rFont val="Calibri"/>
        <family val="2"/>
        <scheme val="minor"/>
      </rPr>
      <t>Aunt</t>
    </r>
    <r>
      <rPr>
        <sz val="11"/>
        <color theme="1"/>
        <rFont val="Calibri"/>
        <family val="2"/>
        <scheme val="minor"/>
      </rPr>
      <t xml:space="preserve"> - Aunt
</t>
    </r>
    <r>
      <rPr>
        <b/>
        <sz val="11"/>
        <color theme="1"/>
        <rFont val="Calibri"/>
        <family val="2"/>
        <scheme val="minor"/>
      </rPr>
      <t>Uncle</t>
    </r>
    <r>
      <rPr>
        <sz val="11"/>
        <color theme="1"/>
        <rFont val="Calibri"/>
        <family val="2"/>
        <scheme val="minor"/>
      </rPr>
      <t xml:space="preserve"> - Uncle
</t>
    </r>
    <r>
      <rPr>
        <b/>
        <sz val="11"/>
        <color theme="1"/>
        <rFont val="Calibri"/>
        <family val="2"/>
        <scheme val="minor"/>
      </rPr>
      <t>Sibling</t>
    </r>
    <r>
      <rPr>
        <sz val="11"/>
        <color theme="1"/>
        <rFont val="Calibri"/>
        <family val="2"/>
        <scheme val="minor"/>
      </rPr>
      <t xml:space="preserve"> - Sibling
</t>
    </r>
    <r>
      <rPr>
        <b/>
        <sz val="11"/>
        <color theme="1"/>
        <rFont val="Calibri"/>
        <family val="2"/>
        <scheme val="minor"/>
      </rPr>
      <t>FosterParent</t>
    </r>
    <r>
      <rPr>
        <sz val="11"/>
        <color theme="1"/>
        <rFont val="Calibri"/>
        <family val="2"/>
        <scheme val="minor"/>
      </rPr>
      <t xml:space="preserve"> - Foster parent
</t>
    </r>
    <r>
      <rPr>
        <b/>
        <sz val="11"/>
        <color theme="1"/>
        <rFont val="Calibri"/>
        <family val="2"/>
        <scheme val="minor"/>
      </rPr>
      <t>CourtSystem</t>
    </r>
    <r>
      <rPr>
        <sz val="11"/>
        <color theme="1"/>
        <rFont val="Calibri"/>
        <family val="2"/>
        <scheme val="minor"/>
      </rPr>
      <t xml:space="preserve"> - In court system - not yet in foster care
</t>
    </r>
    <r>
      <rPr>
        <b/>
        <sz val="11"/>
        <color theme="1"/>
        <rFont val="Calibri"/>
        <family val="2"/>
        <scheme val="minor"/>
      </rPr>
      <t>Other</t>
    </r>
    <r>
      <rPr>
        <sz val="11"/>
        <color theme="1"/>
        <rFont val="Calibri"/>
        <family val="2"/>
        <scheme val="minor"/>
      </rPr>
      <t xml:space="preserve"> - Other
</t>
    </r>
  </si>
  <si>
    <r>
      <t>73063</t>
    </r>
    <r>
      <rPr>
        <sz val="11"/>
        <color theme="1"/>
        <rFont val="Calibri"/>
        <family val="2"/>
        <scheme val="minor"/>
      </rPr>
      <t xml:space="preserve"> - Adult education certification, endorsement, or degree
</t>
    </r>
    <r>
      <rPr>
        <b/>
        <sz val="11"/>
        <color theme="1"/>
        <rFont val="Calibri"/>
        <family val="2"/>
        <scheme val="minor"/>
      </rPr>
      <t>01050</t>
    </r>
    <r>
      <rPr>
        <sz val="11"/>
        <color theme="1"/>
        <rFont val="Calibri"/>
        <family val="2"/>
        <scheme val="minor"/>
      </rPr>
      <t xml:space="preserve"> - Associate's degree (two years or more)
</t>
    </r>
    <r>
      <rPr>
        <b/>
        <sz val="11"/>
        <color theme="1"/>
        <rFont val="Calibri"/>
        <family val="2"/>
        <scheme val="minor"/>
      </rPr>
      <t>01051</t>
    </r>
    <r>
      <rPr>
        <sz val="11"/>
        <color theme="1"/>
        <rFont val="Calibri"/>
        <family val="2"/>
        <scheme val="minor"/>
      </rPr>
      <t xml:space="preserve"> - Bachelor's (Baccalaureate) degree
</t>
    </r>
    <r>
      <rPr>
        <b/>
        <sz val="11"/>
        <color theme="1"/>
        <rFont val="Calibri"/>
        <family val="2"/>
        <scheme val="minor"/>
      </rPr>
      <t>01057</t>
    </r>
    <r>
      <rPr>
        <sz val="11"/>
        <color theme="1"/>
        <rFont val="Calibri"/>
        <family val="2"/>
        <scheme val="minor"/>
      </rPr>
      <t xml:space="preserve"> - Doctoral (Doctor's) degree
</t>
    </r>
    <r>
      <rPr>
        <b/>
        <sz val="11"/>
        <color theme="1"/>
        <rFont val="Calibri"/>
        <family val="2"/>
        <scheme val="minor"/>
      </rPr>
      <t>01053</t>
    </r>
    <r>
      <rPr>
        <sz val="11"/>
        <color theme="1"/>
        <rFont val="Calibri"/>
        <family val="2"/>
        <scheme val="minor"/>
      </rPr>
      <t xml:space="preserve"> - First-professional degree
</t>
    </r>
    <r>
      <rPr>
        <b/>
        <sz val="11"/>
        <color theme="1"/>
        <rFont val="Calibri"/>
        <family val="2"/>
        <scheme val="minor"/>
      </rPr>
      <t>01047</t>
    </r>
    <r>
      <rPr>
        <sz val="11"/>
        <color theme="1"/>
        <rFont val="Calibri"/>
        <family val="2"/>
        <scheme val="minor"/>
      </rPr>
      <t xml:space="preserve"> - Formal award, certificate or diploma (less than one year)
</t>
    </r>
    <r>
      <rPr>
        <b/>
        <sz val="11"/>
        <color theme="1"/>
        <rFont val="Calibri"/>
        <family val="2"/>
        <scheme val="minor"/>
      </rPr>
      <t>01048</t>
    </r>
    <r>
      <rPr>
        <sz val="11"/>
        <color theme="1"/>
        <rFont val="Calibri"/>
        <family val="2"/>
        <scheme val="minor"/>
      </rPr>
      <t xml:space="preserve"> - Formal award, certificate or diploma (more than or equal to one year)
</t>
    </r>
    <r>
      <rPr>
        <b/>
        <sz val="11"/>
        <color theme="1"/>
        <rFont val="Calibri"/>
        <family val="2"/>
        <scheme val="minor"/>
      </rPr>
      <t>01052</t>
    </r>
    <r>
      <rPr>
        <sz val="11"/>
        <color theme="1"/>
        <rFont val="Calibri"/>
        <family val="2"/>
        <scheme val="minor"/>
      </rPr>
      <t xml:space="preserve"> - Graduate certificate
</t>
    </r>
    <r>
      <rPr>
        <b/>
        <sz val="11"/>
        <color theme="1"/>
        <rFont val="Calibri"/>
        <family val="2"/>
        <scheme val="minor"/>
      </rPr>
      <t>01045</t>
    </r>
    <r>
      <rPr>
        <sz val="11"/>
        <color theme="1"/>
        <rFont val="Calibri"/>
        <family val="2"/>
        <scheme val="minor"/>
      </rPr>
      <t xml:space="preserve"> - High school diploma or the equivalent (e.g., GED or recognized home school)
</t>
    </r>
    <r>
      <rPr>
        <b/>
        <sz val="11"/>
        <color theme="1"/>
        <rFont val="Calibri"/>
        <family val="2"/>
        <scheme val="minor"/>
      </rPr>
      <t>01054</t>
    </r>
    <r>
      <rPr>
        <sz val="11"/>
        <color theme="1"/>
        <rFont val="Calibri"/>
        <family val="2"/>
        <scheme val="minor"/>
      </rPr>
      <t xml:space="preserve"> - Master's degree (e.g., M.A., M.S., M. Eng., M.Ed., M.S.W., M.B.A., M.L.S.)
</t>
    </r>
    <r>
      <rPr>
        <b/>
        <sz val="11"/>
        <color theme="1"/>
        <rFont val="Calibri"/>
        <family val="2"/>
        <scheme val="minor"/>
      </rPr>
      <t>01056</t>
    </r>
    <r>
      <rPr>
        <sz val="11"/>
        <color theme="1"/>
        <rFont val="Calibri"/>
        <family val="2"/>
        <scheme val="minor"/>
      </rPr>
      <t xml:space="preserve"> - Post-professional degree
</t>
    </r>
    <r>
      <rPr>
        <b/>
        <sz val="11"/>
        <color theme="1"/>
        <rFont val="Calibri"/>
        <family val="2"/>
        <scheme val="minor"/>
      </rPr>
      <t>01049</t>
    </r>
    <r>
      <rPr>
        <sz val="11"/>
        <color theme="1"/>
        <rFont val="Calibri"/>
        <family val="2"/>
        <scheme val="minor"/>
      </rPr>
      <t xml:space="preserve"> - Some college but no degree
</t>
    </r>
    <r>
      <rPr>
        <b/>
        <sz val="11"/>
        <color theme="1"/>
        <rFont val="Calibri"/>
        <family val="2"/>
        <scheme val="minor"/>
      </rPr>
      <t>01055</t>
    </r>
    <r>
      <rPr>
        <sz val="11"/>
        <color theme="1"/>
        <rFont val="Calibri"/>
        <family val="2"/>
        <scheme val="minor"/>
      </rPr>
      <t xml:space="preserve"> - Specialist's degree (e.g., Ed.S.)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09999</t>
    </r>
    <r>
      <rPr>
        <sz val="11"/>
        <color theme="1"/>
        <rFont val="Calibri"/>
        <family val="2"/>
        <scheme val="minor"/>
      </rPr>
      <t xml:space="preserve"> - Other
</t>
    </r>
  </si>
  <si>
    <r>
      <t>NonWorkplace</t>
    </r>
    <r>
      <rPr>
        <sz val="11"/>
        <color theme="1"/>
        <rFont val="Calibri"/>
        <family val="2"/>
        <scheme val="minor"/>
      </rPr>
      <t xml:space="preserve"> - Non-workplace or personal
</t>
    </r>
    <r>
      <rPr>
        <b/>
        <sz val="11"/>
        <color theme="1"/>
        <rFont val="Calibri"/>
        <family val="2"/>
        <scheme val="minor"/>
      </rPr>
      <t>Workplace</t>
    </r>
    <r>
      <rPr>
        <sz val="11"/>
        <color theme="1"/>
        <rFont val="Calibri"/>
        <family val="2"/>
        <scheme val="minor"/>
      </rPr>
      <t xml:space="preserve"> - Workplace
</t>
    </r>
    <r>
      <rPr>
        <b/>
        <sz val="11"/>
        <color theme="1"/>
        <rFont val="Calibri"/>
        <family val="2"/>
        <scheme val="minor"/>
      </rPr>
      <t>Medicaid</t>
    </r>
    <r>
      <rPr>
        <sz val="11"/>
        <color theme="1"/>
        <rFont val="Calibri"/>
        <family val="2"/>
        <scheme val="minor"/>
      </rPr>
      <t xml:space="preserve"> - Medicaid
</t>
    </r>
    <r>
      <rPr>
        <b/>
        <sz val="11"/>
        <color theme="1"/>
        <rFont val="Calibri"/>
        <family val="2"/>
        <scheme val="minor"/>
      </rPr>
      <t>CHIP</t>
    </r>
    <r>
      <rPr>
        <sz val="11"/>
        <color theme="1"/>
        <rFont val="Calibri"/>
        <family val="2"/>
        <scheme val="minor"/>
      </rPr>
      <t xml:space="preserve"> - Children's health insurance program
</t>
    </r>
    <r>
      <rPr>
        <b/>
        <sz val="11"/>
        <color theme="1"/>
        <rFont val="Calibri"/>
        <family val="2"/>
        <scheme val="minor"/>
      </rPr>
      <t>StateOnlyFunded</t>
    </r>
    <r>
      <rPr>
        <sz val="11"/>
        <color theme="1"/>
        <rFont val="Calibri"/>
        <family val="2"/>
        <scheme val="minor"/>
      </rPr>
      <t xml:space="preserve"> - State-only funded insurance
</t>
    </r>
    <r>
      <rPr>
        <b/>
        <sz val="11"/>
        <color theme="1"/>
        <rFont val="Calibri"/>
        <family val="2"/>
        <scheme val="minor"/>
      </rPr>
      <t>SSI</t>
    </r>
    <r>
      <rPr>
        <sz val="11"/>
        <color theme="1"/>
        <rFont val="Calibri"/>
        <family val="2"/>
        <scheme val="minor"/>
      </rPr>
      <t xml:space="preserve"> - Supplemental security income
</t>
    </r>
    <r>
      <rPr>
        <b/>
        <sz val="11"/>
        <color theme="1"/>
        <rFont val="Calibri"/>
        <family val="2"/>
        <scheme val="minor"/>
      </rPr>
      <t>Military</t>
    </r>
    <r>
      <rPr>
        <sz val="11"/>
        <color theme="1"/>
        <rFont val="Calibri"/>
        <family val="2"/>
        <scheme val="minor"/>
      </rPr>
      <t xml:space="preserve"> - Military medical
</t>
    </r>
    <r>
      <rPr>
        <b/>
        <sz val="11"/>
        <color theme="1"/>
        <rFont val="Calibri"/>
        <family val="2"/>
        <scheme val="minor"/>
      </rPr>
      <t>Veteran</t>
    </r>
    <r>
      <rPr>
        <sz val="11"/>
        <color theme="1"/>
        <rFont val="Calibri"/>
        <family val="2"/>
        <scheme val="minor"/>
      </rPr>
      <t xml:space="preserve"> - Veteran's medical
</t>
    </r>
    <r>
      <rPr>
        <b/>
        <sz val="11"/>
        <color theme="1"/>
        <rFont val="Calibri"/>
        <family val="2"/>
        <scheme val="minor"/>
      </rPr>
      <t>None</t>
    </r>
    <r>
      <rPr>
        <sz val="11"/>
        <color theme="1"/>
        <rFont val="Calibri"/>
        <family val="2"/>
        <scheme val="minor"/>
      </rPr>
      <t xml:space="preserve"> - None
</t>
    </r>
    <r>
      <rPr>
        <b/>
        <sz val="11"/>
        <color theme="1"/>
        <rFont val="Calibri"/>
        <family val="2"/>
        <scheme val="minor"/>
      </rPr>
      <t>Other</t>
    </r>
    <r>
      <rPr>
        <sz val="11"/>
        <color theme="1"/>
        <rFont val="Calibri"/>
        <family val="2"/>
        <scheme val="minor"/>
      </rPr>
      <t xml:space="preserve"> - Other
</t>
    </r>
  </si>
  <si>
    <r>
      <t>NoTreatmentNeeded</t>
    </r>
    <r>
      <rPr>
        <sz val="11"/>
        <color theme="1"/>
        <rFont val="Calibri"/>
        <family val="2"/>
        <scheme val="minor"/>
      </rPr>
      <t xml:space="preserve"> - No Treatment Needed
</t>
    </r>
    <r>
      <rPr>
        <b/>
        <sz val="11"/>
        <color theme="1"/>
        <rFont val="Calibri"/>
        <family val="2"/>
        <scheme val="minor"/>
      </rPr>
      <t>TreatmentNeeded</t>
    </r>
    <r>
      <rPr>
        <sz val="11"/>
        <color theme="1"/>
        <rFont val="Calibri"/>
        <family val="2"/>
        <scheme val="minor"/>
      </rPr>
      <t xml:space="preserve"> - Treatment Needed
</t>
    </r>
    <r>
      <rPr>
        <b/>
        <sz val="11"/>
        <color theme="1"/>
        <rFont val="Calibri"/>
        <family val="2"/>
        <scheme val="minor"/>
      </rPr>
      <t>TreatmentReceived</t>
    </r>
    <r>
      <rPr>
        <sz val="11"/>
        <color theme="1"/>
        <rFont val="Calibri"/>
        <family val="2"/>
        <scheme val="minor"/>
      </rPr>
      <t xml:space="preserve"> - Treatment Received
</t>
    </r>
  </si>
  <si>
    <r>
      <t>Adaptive</t>
    </r>
    <r>
      <rPr>
        <sz val="11"/>
        <color theme="1"/>
        <rFont val="Calibri"/>
        <family val="2"/>
        <scheme val="minor"/>
      </rPr>
      <t xml:space="preserve"> - Adaptive development delay
</t>
    </r>
    <r>
      <rPr>
        <b/>
        <sz val="11"/>
        <color theme="1"/>
        <rFont val="Calibri"/>
        <family val="2"/>
        <scheme val="minor"/>
      </rPr>
      <t>Cognitive</t>
    </r>
    <r>
      <rPr>
        <sz val="11"/>
        <color theme="1"/>
        <rFont val="Calibri"/>
        <family val="2"/>
        <scheme val="minor"/>
      </rPr>
      <t xml:space="preserve"> - Cognitive development delay
</t>
    </r>
    <r>
      <rPr>
        <b/>
        <sz val="11"/>
        <color theme="1"/>
        <rFont val="Calibri"/>
        <family val="2"/>
        <scheme val="minor"/>
      </rPr>
      <t>Communication</t>
    </r>
    <r>
      <rPr>
        <sz val="11"/>
        <color theme="1"/>
        <rFont val="Calibri"/>
        <family val="2"/>
        <scheme val="minor"/>
      </rPr>
      <t xml:space="preserve"> - Communication development delay
</t>
    </r>
    <r>
      <rPr>
        <b/>
        <sz val="11"/>
        <color theme="1"/>
        <rFont val="Calibri"/>
        <family val="2"/>
        <scheme val="minor"/>
      </rPr>
      <t>NoDelay</t>
    </r>
    <r>
      <rPr>
        <sz val="11"/>
        <color theme="1"/>
        <rFont val="Calibri"/>
        <family val="2"/>
        <scheme val="minor"/>
      </rPr>
      <t xml:space="preserve"> - No delay, needs follow-up
</t>
    </r>
    <r>
      <rPr>
        <b/>
        <sz val="11"/>
        <color theme="1"/>
        <rFont val="Calibri"/>
        <family val="2"/>
        <scheme val="minor"/>
      </rPr>
      <t>None</t>
    </r>
    <r>
      <rPr>
        <sz val="11"/>
        <color theme="1"/>
        <rFont val="Calibri"/>
        <family val="2"/>
        <scheme val="minor"/>
      </rPr>
      <t xml:space="preserve"> - None
</t>
    </r>
    <r>
      <rPr>
        <b/>
        <sz val="11"/>
        <color theme="1"/>
        <rFont val="Calibri"/>
        <family val="2"/>
        <scheme val="minor"/>
      </rPr>
      <t>CarnegieUnits</t>
    </r>
    <r>
      <rPr>
        <sz val="11"/>
        <color theme="1"/>
        <rFont val="Calibri"/>
        <family val="2"/>
        <scheme val="minor"/>
      </rPr>
      <t xml:space="preserve"> - Carnegie Units 
</t>
    </r>
    <r>
      <rPr>
        <b/>
        <sz val="11"/>
        <color theme="1"/>
        <rFont val="Calibri"/>
        <family val="2"/>
        <scheme val="minor"/>
      </rPr>
      <t>Physical</t>
    </r>
    <r>
      <rPr>
        <sz val="11"/>
        <color theme="1"/>
        <rFont val="Calibri"/>
        <family val="2"/>
        <scheme val="minor"/>
      </rPr>
      <t xml:space="preserve"> - Physical development delay
</t>
    </r>
    <r>
      <rPr>
        <b/>
        <sz val="11"/>
        <color theme="1"/>
        <rFont val="Calibri"/>
        <family val="2"/>
        <scheme val="minor"/>
      </rPr>
      <t>SocialEmotional</t>
    </r>
    <r>
      <rPr>
        <sz val="11"/>
        <color theme="1"/>
        <rFont val="Calibri"/>
        <family val="2"/>
        <scheme val="minor"/>
      </rPr>
      <t xml:space="preserve"> - Social or emotional development delay
</t>
    </r>
    <r>
      <rPr>
        <b/>
        <sz val="11"/>
        <color theme="1"/>
        <rFont val="Calibri"/>
        <family val="2"/>
        <scheme val="minor"/>
      </rPr>
      <t>NoDelayDetected</t>
    </r>
    <r>
      <rPr>
        <sz val="11"/>
        <color theme="1"/>
        <rFont val="Calibri"/>
        <family val="2"/>
        <scheme val="minor"/>
      </rPr>
      <t xml:space="preserve"> - No delay detected
</t>
    </r>
    <r>
      <rPr>
        <b/>
        <sz val="11"/>
        <color theme="1"/>
        <rFont val="Calibri"/>
        <family val="2"/>
        <scheme val="minor"/>
      </rPr>
      <t>EstablishedCondition</t>
    </r>
    <r>
      <rPr>
        <sz val="11"/>
        <color theme="1"/>
        <rFont val="Calibri"/>
        <family val="2"/>
        <scheme val="minor"/>
      </rPr>
      <t xml:space="preserve"> - Established condition
</t>
    </r>
    <r>
      <rPr>
        <b/>
        <sz val="11"/>
        <color theme="1"/>
        <rFont val="Calibri"/>
        <family val="2"/>
        <scheme val="minor"/>
      </rPr>
      <t>AtRisk</t>
    </r>
    <r>
      <rPr>
        <sz val="11"/>
        <color theme="1"/>
        <rFont val="Calibri"/>
        <family val="2"/>
        <scheme val="minor"/>
      </rPr>
      <t xml:space="preserve"> - At-risk of developing delay
</t>
    </r>
  </si>
  <si>
    <r>
      <t>Permanent</t>
    </r>
    <r>
      <rPr>
        <sz val="11"/>
        <color theme="1"/>
        <rFont val="Calibri"/>
        <family val="2"/>
        <scheme val="minor"/>
      </rPr>
      <t xml:space="preserve"> - Disability has been confirmed as a permanent disability
</t>
    </r>
    <r>
      <rPr>
        <b/>
        <sz val="11"/>
        <color theme="1"/>
        <rFont val="Calibri"/>
        <family val="2"/>
        <scheme val="minor"/>
      </rPr>
      <t>Temporary</t>
    </r>
    <r>
      <rPr>
        <sz val="11"/>
        <color theme="1"/>
        <rFont val="Calibri"/>
        <family val="2"/>
        <scheme val="minor"/>
      </rPr>
      <t xml:space="preserve"> - Disability has been confirmed as a temporary disability
</t>
    </r>
  </si>
  <si>
    <r>
      <t>00</t>
    </r>
    <r>
      <rPr>
        <sz val="11"/>
        <color theme="1"/>
        <rFont val="Calibri"/>
        <family val="2"/>
        <scheme val="minor"/>
      </rPr>
      <t xml:space="preserve"> - No disability or impairment known or reported
</t>
    </r>
    <r>
      <rPr>
        <b/>
        <sz val="11"/>
        <color theme="1"/>
        <rFont val="Calibri"/>
        <family val="2"/>
        <scheme val="minor"/>
      </rPr>
      <t>01</t>
    </r>
    <r>
      <rPr>
        <sz val="11"/>
        <color theme="1"/>
        <rFont val="Calibri"/>
        <family val="2"/>
        <scheme val="minor"/>
      </rPr>
      <t xml:space="preserve"> - Blindness or Visual Impairment
</t>
    </r>
    <r>
      <rPr>
        <b/>
        <sz val="11"/>
        <color theme="1"/>
        <rFont val="Calibri"/>
        <family val="2"/>
        <scheme val="minor"/>
      </rPr>
      <t>02</t>
    </r>
    <r>
      <rPr>
        <sz val="11"/>
        <color theme="1"/>
        <rFont val="Calibri"/>
        <family val="2"/>
        <scheme val="minor"/>
      </rPr>
      <t xml:space="preserve"> - Cerebral Palsy
</t>
    </r>
    <r>
      <rPr>
        <b/>
        <sz val="11"/>
        <color theme="1"/>
        <rFont val="Calibri"/>
        <family val="2"/>
        <scheme val="minor"/>
      </rPr>
      <t>03</t>
    </r>
    <r>
      <rPr>
        <sz val="11"/>
        <color theme="1"/>
        <rFont val="Calibri"/>
        <family val="2"/>
        <scheme val="minor"/>
      </rPr>
      <t xml:space="preserve"> - Chronic Illness
</t>
    </r>
    <r>
      <rPr>
        <b/>
        <sz val="11"/>
        <color theme="1"/>
        <rFont val="Calibri"/>
        <family val="2"/>
        <scheme val="minor"/>
      </rPr>
      <t>04</t>
    </r>
    <r>
      <rPr>
        <sz val="11"/>
        <color theme="1"/>
        <rFont val="Calibri"/>
        <family val="2"/>
        <scheme val="minor"/>
      </rPr>
      <t xml:space="preserve"> - Deafness or Hearing Impairment
</t>
    </r>
    <r>
      <rPr>
        <b/>
        <sz val="11"/>
        <color theme="1"/>
        <rFont val="Calibri"/>
        <family val="2"/>
        <scheme val="minor"/>
      </rPr>
      <t>05</t>
    </r>
    <r>
      <rPr>
        <sz val="11"/>
        <color theme="1"/>
        <rFont val="Calibri"/>
        <family val="2"/>
        <scheme val="minor"/>
      </rPr>
      <t xml:space="preserve"> - Drug or Alcohol Addiction
</t>
    </r>
    <r>
      <rPr>
        <b/>
        <sz val="11"/>
        <color theme="1"/>
        <rFont val="Calibri"/>
        <family val="2"/>
        <scheme val="minor"/>
      </rPr>
      <t>06</t>
    </r>
    <r>
      <rPr>
        <sz val="11"/>
        <color theme="1"/>
        <rFont val="Calibri"/>
        <family val="2"/>
        <scheme val="minor"/>
      </rPr>
      <t xml:space="preserve"> - Emotionally/Psychologically Disabled: e.g., schizophrenia or depression
</t>
    </r>
    <r>
      <rPr>
        <b/>
        <sz val="11"/>
        <color theme="1"/>
        <rFont val="Calibri"/>
        <family val="2"/>
        <scheme val="minor"/>
      </rPr>
      <t>07</t>
    </r>
    <r>
      <rPr>
        <sz val="11"/>
        <color theme="1"/>
        <rFont val="Calibri"/>
        <family val="2"/>
        <scheme val="minor"/>
      </rPr>
      <t xml:space="preserve"> - Epilepsy or Seizure Disorders
</t>
    </r>
    <r>
      <rPr>
        <b/>
        <sz val="11"/>
        <color theme="1"/>
        <rFont val="Calibri"/>
        <family val="2"/>
        <scheme val="minor"/>
      </rPr>
      <t>08</t>
    </r>
    <r>
      <rPr>
        <sz val="11"/>
        <color theme="1"/>
        <rFont val="Calibri"/>
        <family val="2"/>
        <scheme val="minor"/>
      </rPr>
      <t xml:space="preserve"> - Intellectual Disability
</t>
    </r>
    <r>
      <rPr>
        <b/>
        <sz val="11"/>
        <color theme="1"/>
        <rFont val="Calibri"/>
        <family val="2"/>
        <scheme val="minor"/>
      </rPr>
      <t>09</t>
    </r>
    <r>
      <rPr>
        <sz val="11"/>
        <color theme="1"/>
        <rFont val="Calibri"/>
        <family val="2"/>
        <scheme val="minor"/>
      </rPr>
      <t xml:space="preserve"> - Orthopedic Impairment
</t>
    </r>
    <r>
      <rPr>
        <b/>
        <sz val="11"/>
        <color theme="1"/>
        <rFont val="Calibri"/>
        <family val="2"/>
        <scheme val="minor"/>
      </rPr>
      <t>10</t>
    </r>
    <r>
      <rPr>
        <sz val="11"/>
        <color theme="1"/>
        <rFont val="Calibri"/>
        <family val="2"/>
        <scheme val="minor"/>
      </rPr>
      <t xml:space="preserve"> - Specific learning disability
</t>
    </r>
    <r>
      <rPr>
        <b/>
        <sz val="11"/>
        <color theme="1"/>
        <rFont val="Calibri"/>
        <family val="2"/>
        <scheme val="minor"/>
      </rPr>
      <t>11</t>
    </r>
    <r>
      <rPr>
        <sz val="11"/>
        <color theme="1"/>
        <rFont val="Calibri"/>
        <family val="2"/>
        <scheme val="minor"/>
      </rPr>
      <t xml:space="preserve"> - Speech or Language impairment
</t>
    </r>
    <r>
      <rPr>
        <b/>
        <sz val="11"/>
        <color theme="1"/>
        <rFont val="Calibri"/>
        <family val="2"/>
        <scheme val="minor"/>
      </rPr>
      <t>99</t>
    </r>
    <r>
      <rPr>
        <sz val="11"/>
        <color theme="1"/>
        <rFont val="Calibri"/>
        <family val="2"/>
        <scheme val="minor"/>
      </rPr>
      <t xml:space="preserve"> - Other type of impairment
</t>
    </r>
  </si>
  <si>
    <r>
      <t>01</t>
    </r>
    <r>
      <rPr>
        <sz val="11"/>
        <color theme="1"/>
        <rFont val="Calibri"/>
        <family val="2"/>
        <scheme val="minor"/>
      </rPr>
      <t xml:space="preserve"> - By physician
</t>
    </r>
    <r>
      <rPr>
        <b/>
        <sz val="11"/>
        <color theme="1"/>
        <rFont val="Calibri"/>
        <family val="2"/>
        <scheme val="minor"/>
      </rPr>
      <t>02</t>
    </r>
    <r>
      <rPr>
        <sz val="11"/>
        <color theme="1"/>
        <rFont val="Calibri"/>
        <family val="2"/>
        <scheme val="minor"/>
      </rPr>
      <t xml:space="preserve"> - By health care provider
</t>
    </r>
    <r>
      <rPr>
        <b/>
        <sz val="11"/>
        <color theme="1"/>
        <rFont val="Calibri"/>
        <family val="2"/>
        <scheme val="minor"/>
      </rPr>
      <t>03</t>
    </r>
    <r>
      <rPr>
        <sz val="11"/>
        <color theme="1"/>
        <rFont val="Calibri"/>
        <family val="2"/>
        <scheme val="minor"/>
      </rPr>
      <t xml:space="preserve"> - By school psychologist or other psychologist
</t>
    </r>
    <r>
      <rPr>
        <b/>
        <sz val="11"/>
        <color theme="1"/>
        <rFont val="Calibri"/>
        <family val="2"/>
        <scheme val="minor"/>
      </rPr>
      <t>04</t>
    </r>
    <r>
      <rPr>
        <sz val="11"/>
        <color theme="1"/>
        <rFont val="Calibri"/>
        <family val="2"/>
        <scheme val="minor"/>
      </rPr>
      <t xml:space="preserve"> - By licensed physical therapist
</t>
    </r>
    <r>
      <rPr>
        <b/>
        <sz val="11"/>
        <color theme="1"/>
        <rFont val="Calibri"/>
        <family val="2"/>
        <scheme val="minor"/>
      </rPr>
      <t>05</t>
    </r>
    <r>
      <rPr>
        <sz val="11"/>
        <color theme="1"/>
        <rFont val="Calibri"/>
        <family val="2"/>
        <scheme val="minor"/>
      </rPr>
      <t xml:space="preserve"> - Self-reported
</t>
    </r>
    <r>
      <rPr>
        <b/>
        <sz val="11"/>
        <color theme="1"/>
        <rFont val="Calibri"/>
        <family val="2"/>
        <scheme val="minor"/>
      </rPr>
      <t>06</t>
    </r>
    <r>
      <rPr>
        <sz val="11"/>
        <color theme="1"/>
        <rFont val="Calibri"/>
        <family val="2"/>
        <scheme val="minor"/>
      </rPr>
      <t xml:space="preserve"> - By social service or other type of agency
</t>
    </r>
    <r>
      <rPr>
        <b/>
        <sz val="11"/>
        <color theme="1"/>
        <rFont val="Calibri"/>
        <family val="2"/>
        <scheme val="minor"/>
      </rPr>
      <t>97</t>
    </r>
    <r>
      <rPr>
        <sz val="11"/>
        <color theme="1"/>
        <rFont val="Calibri"/>
        <family val="2"/>
        <scheme val="minor"/>
      </rPr>
      <t xml:space="preserve"> - Not applicable to the student
</t>
    </r>
    <r>
      <rPr>
        <b/>
        <sz val="11"/>
        <color theme="1"/>
        <rFont val="Calibri"/>
        <family val="2"/>
        <scheme val="minor"/>
      </rPr>
      <t>98</t>
    </r>
    <r>
      <rPr>
        <sz val="11"/>
        <color theme="1"/>
        <rFont val="Calibri"/>
        <family val="2"/>
        <scheme val="minor"/>
      </rPr>
      <t xml:space="preserve"> - Unknown or Unreported
</t>
    </r>
    <r>
      <rPr>
        <b/>
        <sz val="11"/>
        <color theme="1"/>
        <rFont val="Calibri"/>
        <family val="2"/>
        <scheme val="minor"/>
      </rPr>
      <t>99</t>
    </r>
    <r>
      <rPr>
        <sz val="11"/>
        <color theme="1"/>
        <rFont val="Calibri"/>
        <family val="2"/>
        <scheme val="minor"/>
      </rPr>
      <t xml:space="preserve"> - Other
</t>
    </r>
  </si>
  <si>
    <r>
      <t>03071</t>
    </r>
    <r>
      <rPr>
        <sz val="11"/>
        <color theme="1"/>
        <rFont val="Calibri"/>
        <family val="2"/>
        <scheme val="minor"/>
      </rPr>
      <t xml:space="preserve"> - Bus suspension
</t>
    </r>
    <r>
      <rPr>
        <b/>
        <sz val="11"/>
        <color theme="1"/>
        <rFont val="Calibri"/>
        <family val="2"/>
        <scheme val="minor"/>
      </rPr>
      <t>03072</t>
    </r>
    <r>
      <rPr>
        <sz val="11"/>
        <color theme="1"/>
        <rFont val="Calibri"/>
        <family val="2"/>
        <scheme val="minor"/>
      </rPr>
      <t xml:space="preserve"> - Change of placement (long-term)
</t>
    </r>
    <r>
      <rPr>
        <b/>
        <sz val="11"/>
        <color theme="1"/>
        <rFont val="Calibri"/>
        <family val="2"/>
        <scheme val="minor"/>
      </rPr>
      <t>03073</t>
    </r>
    <r>
      <rPr>
        <sz val="11"/>
        <color theme="1"/>
        <rFont val="Calibri"/>
        <family val="2"/>
        <scheme val="minor"/>
      </rPr>
      <t xml:space="preserve"> - Change of placement (reassignment), pending an expulsion hearing
</t>
    </r>
    <r>
      <rPr>
        <b/>
        <sz val="11"/>
        <color theme="1"/>
        <rFont val="Calibri"/>
        <family val="2"/>
        <scheme val="minor"/>
      </rPr>
      <t>03074</t>
    </r>
    <r>
      <rPr>
        <sz val="11"/>
        <color theme="1"/>
        <rFont val="Calibri"/>
        <family val="2"/>
        <scheme val="minor"/>
      </rPr>
      <t xml:space="preserve"> - Change of placement (reassignment), resulting from an expulsion hearing
</t>
    </r>
    <r>
      <rPr>
        <b/>
        <sz val="11"/>
        <color theme="1"/>
        <rFont val="Calibri"/>
        <family val="2"/>
        <scheme val="minor"/>
      </rPr>
      <t>03075</t>
    </r>
    <r>
      <rPr>
        <sz val="11"/>
        <color theme="1"/>
        <rFont val="Calibri"/>
        <family val="2"/>
        <scheme val="minor"/>
      </rPr>
      <t xml:space="preserve"> - Change of placement (reassignment), temporary
</t>
    </r>
    <r>
      <rPr>
        <b/>
        <sz val="11"/>
        <color theme="1"/>
        <rFont val="Calibri"/>
        <family val="2"/>
        <scheme val="minor"/>
      </rPr>
      <t>03076</t>
    </r>
    <r>
      <rPr>
        <sz val="11"/>
        <color theme="1"/>
        <rFont val="Calibri"/>
        <family val="2"/>
        <scheme val="minor"/>
      </rPr>
      <t xml:space="preserve"> - Community service
</t>
    </r>
    <r>
      <rPr>
        <b/>
        <sz val="11"/>
        <color theme="1"/>
        <rFont val="Calibri"/>
        <family val="2"/>
        <scheme val="minor"/>
      </rPr>
      <t>03077</t>
    </r>
    <r>
      <rPr>
        <sz val="11"/>
        <color theme="1"/>
        <rFont val="Calibri"/>
        <family val="2"/>
        <scheme val="minor"/>
      </rPr>
      <t xml:space="preserve"> - Conference with and warning to student
</t>
    </r>
    <r>
      <rPr>
        <b/>
        <sz val="11"/>
        <color theme="1"/>
        <rFont val="Calibri"/>
        <family val="2"/>
        <scheme val="minor"/>
      </rPr>
      <t>03078</t>
    </r>
    <r>
      <rPr>
        <sz val="11"/>
        <color theme="1"/>
        <rFont val="Calibri"/>
        <family val="2"/>
        <scheme val="minor"/>
      </rPr>
      <t xml:space="preserve"> - Conference with and warning to student and parent/guardian
</t>
    </r>
    <r>
      <rPr>
        <b/>
        <sz val="11"/>
        <color theme="1"/>
        <rFont val="Calibri"/>
        <family val="2"/>
        <scheme val="minor"/>
      </rPr>
      <t>03079</t>
    </r>
    <r>
      <rPr>
        <sz val="11"/>
        <color theme="1"/>
        <rFont val="Calibri"/>
        <family val="2"/>
        <scheme val="minor"/>
      </rPr>
      <t xml:space="preserve"> - Confiscation of contraband
</t>
    </r>
    <r>
      <rPr>
        <b/>
        <sz val="11"/>
        <color theme="1"/>
        <rFont val="Calibri"/>
        <family val="2"/>
        <scheme val="minor"/>
      </rPr>
      <t>03080</t>
    </r>
    <r>
      <rPr>
        <sz val="11"/>
        <color theme="1"/>
        <rFont val="Calibri"/>
        <family val="2"/>
        <scheme val="minor"/>
      </rPr>
      <t xml:space="preserve"> - Conflict resolution or anger management services mandated
</t>
    </r>
    <r>
      <rPr>
        <b/>
        <sz val="11"/>
        <color theme="1"/>
        <rFont val="Calibri"/>
        <family val="2"/>
        <scheme val="minor"/>
      </rPr>
      <t>03081</t>
    </r>
    <r>
      <rPr>
        <sz val="11"/>
        <color theme="1"/>
        <rFont val="Calibri"/>
        <family val="2"/>
        <scheme val="minor"/>
      </rPr>
      <t xml:space="preserve"> - Corporal punishment
</t>
    </r>
    <r>
      <rPr>
        <b/>
        <sz val="11"/>
        <color theme="1"/>
        <rFont val="Calibri"/>
        <family val="2"/>
        <scheme val="minor"/>
      </rPr>
      <t>03082</t>
    </r>
    <r>
      <rPr>
        <sz val="11"/>
        <color theme="1"/>
        <rFont val="Calibri"/>
        <family val="2"/>
        <scheme val="minor"/>
      </rPr>
      <t xml:space="preserve"> - Counseling mandated
</t>
    </r>
    <r>
      <rPr>
        <b/>
        <sz val="11"/>
        <color theme="1"/>
        <rFont val="Calibri"/>
        <family val="2"/>
        <scheme val="minor"/>
      </rPr>
      <t>03083</t>
    </r>
    <r>
      <rPr>
        <sz val="11"/>
        <color theme="1"/>
        <rFont val="Calibri"/>
        <family val="2"/>
        <scheme val="minor"/>
      </rPr>
      <t xml:space="preserve"> - Demerit
</t>
    </r>
    <r>
      <rPr>
        <b/>
        <sz val="11"/>
        <color theme="1"/>
        <rFont val="Calibri"/>
        <family val="2"/>
        <scheme val="minor"/>
      </rPr>
      <t>03084</t>
    </r>
    <r>
      <rPr>
        <sz val="11"/>
        <color theme="1"/>
        <rFont val="Calibri"/>
        <family val="2"/>
        <scheme val="minor"/>
      </rPr>
      <t xml:space="preserve"> - Detention
</t>
    </r>
    <r>
      <rPr>
        <b/>
        <sz val="11"/>
        <color theme="1"/>
        <rFont val="Calibri"/>
        <family val="2"/>
        <scheme val="minor"/>
      </rPr>
      <t>03085</t>
    </r>
    <r>
      <rPr>
        <sz val="11"/>
        <color theme="1"/>
        <rFont val="Calibri"/>
        <family val="2"/>
        <scheme val="minor"/>
      </rPr>
      <t xml:space="preserve"> - Expulsion recommendation
</t>
    </r>
    <r>
      <rPr>
        <b/>
        <sz val="11"/>
        <color theme="1"/>
        <rFont val="Calibri"/>
        <family val="2"/>
        <scheme val="minor"/>
      </rPr>
      <t>03086</t>
    </r>
    <r>
      <rPr>
        <sz val="11"/>
        <color theme="1"/>
        <rFont val="Calibri"/>
        <family val="2"/>
        <scheme val="minor"/>
      </rPr>
      <t xml:space="preserve"> - Expulsion with services
</t>
    </r>
    <r>
      <rPr>
        <b/>
        <sz val="11"/>
        <color theme="1"/>
        <rFont val="Calibri"/>
        <family val="2"/>
        <scheme val="minor"/>
      </rPr>
      <t>03087</t>
    </r>
    <r>
      <rPr>
        <sz val="11"/>
        <color theme="1"/>
        <rFont val="Calibri"/>
        <family val="2"/>
        <scheme val="minor"/>
      </rPr>
      <t xml:space="preserve"> - Expulsion without services
</t>
    </r>
    <r>
      <rPr>
        <b/>
        <sz val="11"/>
        <color theme="1"/>
        <rFont val="Calibri"/>
        <family val="2"/>
        <scheme val="minor"/>
      </rPr>
      <t>03088</t>
    </r>
    <r>
      <rPr>
        <sz val="11"/>
        <color theme="1"/>
        <rFont val="Calibri"/>
        <family val="2"/>
        <scheme val="minor"/>
      </rPr>
      <t xml:space="preserve"> - Juvenile justice referral
</t>
    </r>
    <r>
      <rPr>
        <b/>
        <sz val="11"/>
        <color theme="1"/>
        <rFont val="Calibri"/>
        <family val="2"/>
        <scheme val="minor"/>
      </rPr>
      <t>03089</t>
    </r>
    <r>
      <rPr>
        <sz val="11"/>
        <color theme="1"/>
        <rFont val="Calibri"/>
        <family val="2"/>
        <scheme val="minor"/>
      </rPr>
      <t xml:space="preserve"> - Law enforcement referral
</t>
    </r>
    <r>
      <rPr>
        <b/>
        <sz val="11"/>
        <color theme="1"/>
        <rFont val="Calibri"/>
        <family val="2"/>
        <scheme val="minor"/>
      </rPr>
      <t>03090</t>
    </r>
    <r>
      <rPr>
        <sz val="11"/>
        <color theme="1"/>
        <rFont val="Calibri"/>
        <family val="2"/>
        <scheme val="minor"/>
      </rPr>
      <t xml:space="preserve"> - Letter of apology
</t>
    </r>
    <r>
      <rPr>
        <b/>
        <sz val="11"/>
        <color theme="1"/>
        <rFont val="Calibri"/>
        <family val="2"/>
        <scheme val="minor"/>
      </rPr>
      <t>03091</t>
    </r>
    <r>
      <rPr>
        <sz val="11"/>
        <color theme="1"/>
        <rFont val="Calibri"/>
        <family val="2"/>
        <scheme val="minor"/>
      </rPr>
      <t xml:space="preserve"> - Loss of privileges
</t>
    </r>
    <r>
      <rPr>
        <b/>
        <sz val="11"/>
        <color theme="1"/>
        <rFont val="Calibri"/>
        <family val="2"/>
        <scheme val="minor"/>
      </rPr>
      <t>13357</t>
    </r>
    <r>
      <rPr>
        <sz val="11"/>
        <color theme="1"/>
        <rFont val="Calibri"/>
        <family val="2"/>
        <scheme val="minor"/>
      </rPr>
      <t xml:space="preserve"> - Mechanical Restraint
</t>
    </r>
    <r>
      <rPr>
        <b/>
        <sz val="11"/>
        <color theme="1"/>
        <rFont val="Calibri"/>
        <family val="2"/>
        <scheme val="minor"/>
      </rPr>
      <t>03105</t>
    </r>
    <r>
      <rPr>
        <sz val="11"/>
        <color theme="1"/>
        <rFont val="Calibri"/>
        <family val="2"/>
        <scheme val="minor"/>
      </rPr>
      <t xml:space="preserve"> - No action
</t>
    </r>
    <r>
      <rPr>
        <b/>
        <sz val="11"/>
        <color theme="1"/>
        <rFont val="Calibri"/>
        <family val="2"/>
        <scheme val="minor"/>
      </rPr>
      <t>09998</t>
    </r>
    <r>
      <rPr>
        <sz val="11"/>
        <color theme="1"/>
        <rFont val="Calibri"/>
        <family val="2"/>
        <scheme val="minor"/>
      </rPr>
      <t xml:space="preserve"> - None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03092</t>
    </r>
    <r>
      <rPr>
        <sz val="11"/>
        <color theme="1"/>
        <rFont val="Calibri"/>
        <family val="2"/>
        <scheme val="minor"/>
      </rPr>
      <t xml:space="preserve"> - Physical activity
</t>
    </r>
    <r>
      <rPr>
        <b/>
        <sz val="11"/>
        <color theme="1"/>
        <rFont val="Calibri"/>
        <family val="2"/>
        <scheme val="minor"/>
      </rPr>
      <t>13358</t>
    </r>
    <r>
      <rPr>
        <sz val="11"/>
        <color theme="1"/>
        <rFont val="Calibri"/>
        <family val="2"/>
        <scheme val="minor"/>
      </rPr>
      <t xml:space="preserve"> - Physical Restraint
</t>
    </r>
    <r>
      <rPr>
        <b/>
        <sz val="11"/>
        <color theme="1"/>
        <rFont val="Calibri"/>
        <family val="2"/>
        <scheme val="minor"/>
      </rPr>
      <t>03158</t>
    </r>
    <r>
      <rPr>
        <sz val="11"/>
        <color theme="1"/>
        <rFont val="Calibri"/>
        <family val="2"/>
        <scheme val="minor"/>
      </rPr>
      <t xml:space="preserve"> - Removal by a hearing officer
</t>
    </r>
    <r>
      <rPr>
        <b/>
        <sz val="11"/>
        <color theme="1"/>
        <rFont val="Calibri"/>
        <family val="2"/>
        <scheme val="minor"/>
      </rPr>
      <t>03093</t>
    </r>
    <r>
      <rPr>
        <sz val="11"/>
        <color theme="1"/>
        <rFont val="Calibri"/>
        <family val="2"/>
        <scheme val="minor"/>
      </rPr>
      <t xml:space="preserve"> - Reprimand
</t>
    </r>
    <r>
      <rPr>
        <b/>
        <sz val="11"/>
        <color theme="1"/>
        <rFont val="Calibri"/>
        <family val="2"/>
        <scheme val="minor"/>
      </rPr>
      <t>03094</t>
    </r>
    <r>
      <rPr>
        <sz val="11"/>
        <color theme="1"/>
        <rFont val="Calibri"/>
        <family val="2"/>
        <scheme val="minor"/>
      </rPr>
      <t xml:space="preserve"> - Restitution
</t>
    </r>
    <r>
      <rPr>
        <b/>
        <sz val="11"/>
        <color theme="1"/>
        <rFont val="Calibri"/>
        <family val="2"/>
        <scheme val="minor"/>
      </rPr>
      <t>03095</t>
    </r>
    <r>
      <rPr>
        <sz val="11"/>
        <color theme="1"/>
        <rFont val="Calibri"/>
        <family val="2"/>
        <scheme val="minor"/>
      </rPr>
      <t xml:space="preserve"> - Saturday school
</t>
    </r>
    <r>
      <rPr>
        <b/>
        <sz val="11"/>
        <color theme="1"/>
        <rFont val="Calibri"/>
        <family val="2"/>
        <scheme val="minor"/>
      </rPr>
      <t>03096</t>
    </r>
    <r>
      <rPr>
        <sz val="11"/>
        <color theme="1"/>
        <rFont val="Calibri"/>
        <family val="2"/>
        <scheme val="minor"/>
      </rPr>
      <t xml:space="preserve"> - School probation
</t>
    </r>
    <r>
      <rPr>
        <b/>
        <sz val="11"/>
        <color theme="1"/>
        <rFont val="Calibri"/>
        <family val="2"/>
        <scheme val="minor"/>
      </rPr>
      <t>13359</t>
    </r>
    <r>
      <rPr>
        <sz val="11"/>
        <color theme="1"/>
        <rFont val="Calibri"/>
        <family val="2"/>
        <scheme val="minor"/>
      </rPr>
      <t xml:space="preserve"> - Seclusion
</t>
    </r>
    <r>
      <rPr>
        <b/>
        <sz val="11"/>
        <color theme="1"/>
        <rFont val="Calibri"/>
        <family val="2"/>
        <scheme val="minor"/>
      </rPr>
      <t>03097</t>
    </r>
    <r>
      <rPr>
        <sz val="11"/>
        <color theme="1"/>
        <rFont val="Calibri"/>
        <family val="2"/>
        <scheme val="minor"/>
      </rPr>
      <t xml:space="preserve"> - Substance abuse counseling mandated
</t>
    </r>
    <r>
      <rPr>
        <b/>
        <sz val="11"/>
        <color theme="1"/>
        <rFont val="Calibri"/>
        <family val="2"/>
        <scheme val="minor"/>
      </rPr>
      <t>03098</t>
    </r>
    <r>
      <rPr>
        <sz val="11"/>
        <color theme="1"/>
        <rFont val="Calibri"/>
        <family val="2"/>
        <scheme val="minor"/>
      </rPr>
      <t xml:space="preserve"> - Substance abuse treatment mandated
</t>
    </r>
    <r>
      <rPr>
        <b/>
        <sz val="11"/>
        <color theme="1"/>
        <rFont val="Calibri"/>
        <family val="2"/>
        <scheme val="minor"/>
      </rPr>
      <t>03099</t>
    </r>
    <r>
      <rPr>
        <sz val="11"/>
        <color theme="1"/>
        <rFont val="Calibri"/>
        <family val="2"/>
        <scheme val="minor"/>
      </rPr>
      <t xml:space="preserve"> - Suspension after school
</t>
    </r>
    <r>
      <rPr>
        <b/>
        <sz val="11"/>
        <color theme="1"/>
        <rFont val="Calibri"/>
        <family val="2"/>
        <scheme val="minor"/>
      </rPr>
      <t>03100</t>
    </r>
    <r>
      <rPr>
        <sz val="11"/>
        <color theme="1"/>
        <rFont val="Calibri"/>
        <family val="2"/>
        <scheme val="minor"/>
      </rPr>
      <t xml:space="preserve"> - Suspension, in-school
</t>
    </r>
    <r>
      <rPr>
        <b/>
        <sz val="11"/>
        <color theme="1"/>
        <rFont val="Calibri"/>
        <family val="2"/>
        <scheme val="minor"/>
      </rPr>
      <t>03154</t>
    </r>
    <r>
      <rPr>
        <sz val="11"/>
        <color theme="1"/>
        <rFont val="Calibri"/>
        <family val="2"/>
        <scheme val="minor"/>
      </rPr>
      <t xml:space="preserve"> - Suspension, out of school, greater than 10 consecutive school days
</t>
    </r>
    <r>
      <rPr>
        <b/>
        <sz val="11"/>
        <color theme="1"/>
        <rFont val="Calibri"/>
        <family val="2"/>
        <scheme val="minor"/>
      </rPr>
      <t>03155</t>
    </r>
    <r>
      <rPr>
        <sz val="11"/>
        <color theme="1"/>
        <rFont val="Calibri"/>
        <family val="2"/>
        <scheme val="minor"/>
      </rPr>
      <t xml:space="preserve"> - Suspension, out of school, separate days cumulating to more than 10 school days
</t>
    </r>
    <r>
      <rPr>
        <b/>
        <sz val="11"/>
        <color theme="1"/>
        <rFont val="Calibri"/>
        <family val="2"/>
        <scheme val="minor"/>
      </rPr>
      <t>03101</t>
    </r>
    <r>
      <rPr>
        <sz val="11"/>
        <color theme="1"/>
        <rFont val="Calibri"/>
        <family val="2"/>
        <scheme val="minor"/>
      </rPr>
      <t xml:space="preserve"> - Suspension, out-of-school, with services
</t>
    </r>
    <r>
      <rPr>
        <b/>
        <sz val="11"/>
        <color theme="1"/>
        <rFont val="Calibri"/>
        <family val="2"/>
        <scheme val="minor"/>
      </rPr>
      <t>03102</t>
    </r>
    <r>
      <rPr>
        <sz val="11"/>
        <color theme="1"/>
        <rFont val="Calibri"/>
        <family val="2"/>
        <scheme val="minor"/>
      </rPr>
      <t xml:space="preserve"> - Suspension, out-of-school, without services
</t>
    </r>
    <r>
      <rPr>
        <b/>
        <sz val="11"/>
        <color theme="1"/>
        <rFont val="Calibri"/>
        <family val="2"/>
        <scheme val="minor"/>
      </rPr>
      <t>03157</t>
    </r>
    <r>
      <rPr>
        <sz val="11"/>
        <color theme="1"/>
        <rFont val="Calibri"/>
        <family val="2"/>
        <scheme val="minor"/>
      </rPr>
      <t xml:space="preserve"> - Unilateral removal - drug incident
</t>
    </r>
    <r>
      <rPr>
        <b/>
        <sz val="11"/>
        <color theme="1"/>
        <rFont val="Calibri"/>
        <family val="2"/>
        <scheme val="minor"/>
      </rPr>
      <t>03156</t>
    </r>
    <r>
      <rPr>
        <sz val="11"/>
        <color theme="1"/>
        <rFont val="Calibri"/>
        <family val="2"/>
        <scheme val="minor"/>
      </rPr>
      <t xml:space="preserve"> - Unilateral removal - weapon incident
</t>
    </r>
    <r>
      <rPr>
        <b/>
        <sz val="11"/>
        <color theme="1"/>
        <rFont val="Calibri"/>
        <family val="2"/>
        <scheme val="minor"/>
      </rPr>
      <t>09997</t>
    </r>
    <r>
      <rPr>
        <sz val="11"/>
        <color theme="1"/>
        <rFont val="Calibri"/>
        <family val="2"/>
        <scheme val="minor"/>
      </rPr>
      <t xml:space="preserve"> - Unknown
</t>
    </r>
    <r>
      <rPr>
        <b/>
        <sz val="11"/>
        <color theme="1"/>
        <rFont val="Calibri"/>
        <family val="2"/>
        <scheme val="minor"/>
      </rPr>
      <t>03103</t>
    </r>
    <r>
      <rPr>
        <sz val="11"/>
        <color theme="1"/>
        <rFont val="Calibri"/>
        <family val="2"/>
        <scheme val="minor"/>
      </rPr>
      <t xml:space="preserve"> - Unsatisfactory behavior grade
</t>
    </r>
    <r>
      <rPr>
        <b/>
        <sz val="11"/>
        <color theme="1"/>
        <rFont val="Calibri"/>
        <family val="2"/>
        <scheme val="minor"/>
      </rPr>
      <t>03104</t>
    </r>
    <r>
      <rPr>
        <sz val="11"/>
        <color theme="1"/>
        <rFont val="Calibri"/>
        <family val="2"/>
        <scheme val="minor"/>
      </rPr>
      <t xml:space="preserve"> - Work detail
</t>
    </r>
  </si>
  <si>
    <r>
      <t>01</t>
    </r>
    <r>
      <rPr>
        <sz val="11"/>
        <color theme="1"/>
        <rFont val="Calibri"/>
        <family val="2"/>
        <scheme val="minor"/>
      </rPr>
      <t xml:space="preserve"> - No Difference
</t>
    </r>
    <r>
      <rPr>
        <b/>
        <sz val="11"/>
        <color theme="1"/>
        <rFont val="Calibri"/>
        <family val="2"/>
        <scheme val="minor"/>
      </rPr>
      <t>02</t>
    </r>
    <r>
      <rPr>
        <sz val="11"/>
        <color theme="1"/>
        <rFont val="Calibri"/>
        <family val="2"/>
        <scheme val="minor"/>
      </rPr>
      <t xml:space="preserve"> - Term Modified By District
</t>
    </r>
    <r>
      <rPr>
        <b/>
        <sz val="11"/>
        <color theme="1"/>
        <rFont val="Calibri"/>
        <family val="2"/>
        <scheme val="minor"/>
      </rPr>
      <t>03</t>
    </r>
    <r>
      <rPr>
        <sz val="11"/>
        <color theme="1"/>
        <rFont val="Calibri"/>
        <family val="2"/>
        <scheme val="minor"/>
      </rPr>
      <t xml:space="preserve"> - Term Modified By Court Order
</t>
    </r>
    <r>
      <rPr>
        <b/>
        <sz val="11"/>
        <color theme="1"/>
        <rFont val="Calibri"/>
        <family val="2"/>
        <scheme val="minor"/>
      </rPr>
      <t>04</t>
    </r>
    <r>
      <rPr>
        <sz val="11"/>
        <color theme="1"/>
        <rFont val="Calibri"/>
        <family val="2"/>
        <scheme val="minor"/>
      </rPr>
      <t xml:space="preserve"> - Term Modified By Mutual Agreement
</t>
    </r>
    <r>
      <rPr>
        <b/>
        <sz val="11"/>
        <color theme="1"/>
        <rFont val="Calibri"/>
        <family val="2"/>
        <scheme val="minor"/>
      </rPr>
      <t>05</t>
    </r>
    <r>
      <rPr>
        <sz val="11"/>
        <color theme="1"/>
        <rFont val="Calibri"/>
        <family val="2"/>
        <scheme val="minor"/>
      </rPr>
      <t xml:space="preserve"> - Student Completed Term Requirements Sooner Than Expected
</t>
    </r>
    <r>
      <rPr>
        <b/>
        <sz val="11"/>
        <color theme="1"/>
        <rFont val="Calibri"/>
        <family val="2"/>
        <scheme val="minor"/>
      </rPr>
      <t>06</t>
    </r>
    <r>
      <rPr>
        <sz val="11"/>
        <color theme="1"/>
        <rFont val="Calibri"/>
        <family val="2"/>
        <scheme val="minor"/>
      </rPr>
      <t xml:space="preserve"> - Student Incarcerated
</t>
    </r>
    <r>
      <rPr>
        <b/>
        <sz val="11"/>
        <color theme="1"/>
        <rFont val="Calibri"/>
        <family val="2"/>
        <scheme val="minor"/>
      </rPr>
      <t>07</t>
    </r>
    <r>
      <rPr>
        <sz val="11"/>
        <color theme="1"/>
        <rFont val="Calibri"/>
        <family val="2"/>
        <scheme val="minor"/>
      </rPr>
      <t xml:space="preserve"> - Term Decreased Due To Extenuating Health-Related Circumstances
</t>
    </r>
    <r>
      <rPr>
        <b/>
        <sz val="11"/>
        <color theme="1"/>
        <rFont val="Calibri"/>
        <family val="2"/>
        <scheme val="minor"/>
      </rPr>
      <t>08</t>
    </r>
    <r>
      <rPr>
        <sz val="11"/>
        <color theme="1"/>
        <rFont val="Calibri"/>
        <family val="2"/>
        <scheme val="minor"/>
      </rPr>
      <t xml:space="preserve"> - Student Withdrew From School
</t>
    </r>
    <r>
      <rPr>
        <b/>
        <sz val="11"/>
        <color theme="1"/>
        <rFont val="Calibri"/>
        <family val="2"/>
        <scheme val="minor"/>
      </rPr>
      <t>09</t>
    </r>
    <r>
      <rPr>
        <sz val="11"/>
        <color theme="1"/>
        <rFont val="Calibri"/>
        <family val="2"/>
        <scheme val="minor"/>
      </rPr>
      <t xml:space="preserve"> - School Year Ended
</t>
    </r>
    <r>
      <rPr>
        <b/>
        <sz val="11"/>
        <color theme="1"/>
        <rFont val="Calibri"/>
        <family val="2"/>
        <scheme val="minor"/>
      </rPr>
      <t>10</t>
    </r>
    <r>
      <rPr>
        <sz val="11"/>
        <color theme="1"/>
        <rFont val="Calibri"/>
        <family val="2"/>
        <scheme val="minor"/>
      </rPr>
      <t xml:space="preserve"> - Continuation Of Previous Year's Disciplinary Action Assignment
</t>
    </r>
    <r>
      <rPr>
        <b/>
        <sz val="11"/>
        <color theme="1"/>
        <rFont val="Calibri"/>
        <family val="2"/>
        <scheme val="minor"/>
      </rPr>
      <t>11</t>
    </r>
    <r>
      <rPr>
        <sz val="11"/>
        <color theme="1"/>
        <rFont val="Calibri"/>
        <family val="2"/>
        <scheme val="minor"/>
      </rPr>
      <t xml:space="preserve"> - Term Modified By Placement Program Due To Student Behavior While In The Placement
</t>
    </r>
    <r>
      <rPr>
        <b/>
        <sz val="11"/>
        <color theme="1"/>
        <rFont val="Calibri"/>
        <family val="2"/>
        <scheme val="minor"/>
      </rPr>
      <t>12</t>
    </r>
    <r>
      <rPr>
        <sz val="11"/>
        <color theme="1"/>
        <rFont val="Calibri"/>
        <family val="2"/>
        <scheme val="minor"/>
      </rPr>
      <t xml:space="preserve"> - Other
</t>
    </r>
  </si>
  <si>
    <r>
      <t>EXPNOTMODNOALT</t>
    </r>
    <r>
      <rPr>
        <sz val="11"/>
        <color theme="1"/>
        <rFont val="Calibri"/>
        <family val="2"/>
        <scheme val="minor"/>
      </rPr>
      <t xml:space="preserve"> - One year expulsion and no educational services
</t>
    </r>
    <r>
      <rPr>
        <b/>
        <sz val="11"/>
        <color theme="1"/>
        <rFont val="Calibri"/>
        <family val="2"/>
        <scheme val="minor"/>
      </rPr>
      <t>EXPMODALT</t>
    </r>
    <r>
      <rPr>
        <sz val="11"/>
        <color theme="1"/>
        <rFont val="Calibri"/>
        <family val="2"/>
        <scheme val="minor"/>
      </rPr>
      <t xml:space="preserve"> - Expulsion modified to less than one year with educational services
</t>
    </r>
    <r>
      <rPr>
        <b/>
        <sz val="11"/>
        <color theme="1"/>
        <rFont val="Calibri"/>
        <family val="2"/>
        <scheme val="minor"/>
      </rPr>
      <t>EXPMODNOALT</t>
    </r>
    <r>
      <rPr>
        <sz val="11"/>
        <color theme="1"/>
        <rFont val="Calibri"/>
        <family val="2"/>
        <scheme val="minor"/>
      </rPr>
      <t xml:space="preserve"> - Expulsion modified to less than one year without educational services
</t>
    </r>
    <r>
      <rPr>
        <b/>
        <sz val="11"/>
        <color theme="1"/>
        <rFont val="Calibri"/>
        <family val="2"/>
        <scheme val="minor"/>
      </rPr>
      <t>EXPALT</t>
    </r>
    <r>
      <rPr>
        <sz val="11"/>
        <color theme="1"/>
        <rFont val="Calibri"/>
        <family val="2"/>
        <scheme val="minor"/>
      </rPr>
      <t xml:space="preserve"> - One year expulsion and educational services
</t>
    </r>
    <r>
      <rPr>
        <b/>
        <sz val="11"/>
        <color theme="1"/>
        <rFont val="Calibri"/>
        <family val="2"/>
        <scheme val="minor"/>
      </rPr>
      <t>REMOVEOTHER</t>
    </r>
    <r>
      <rPr>
        <sz val="11"/>
        <color theme="1"/>
        <rFont val="Calibri"/>
        <family val="2"/>
        <scheme val="minor"/>
      </rPr>
      <t xml:space="preserve"> - Other reasons such as death, withdrawal, or incarceration
</t>
    </r>
    <r>
      <rPr>
        <b/>
        <sz val="11"/>
        <color theme="1"/>
        <rFont val="Calibri"/>
        <family val="2"/>
        <scheme val="minor"/>
      </rPr>
      <t>OTHERDISACTION</t>
    </r>
    <r>
      <rPr>
        <sz val="11"/>
        <color theme="1"/>
        <rFont val="Calibri"/>
        <family val="2"/>
        <scheme val="minor"/>
      </rPr>
      <t xml:space="preserve"> - Another type of disciplinary action
</t>
    </r>
    <r>
      <rPr>
        <b/>
        <sz val="11"/>
        <color theme="1"/>
        <rFont val="Calibri"/>
        <family val="2"/>
        <scheme val="minor"/>
      </rPr>
      <t>NOACTION</t>
    </r>
    <r>
      <rPr>
        <sz val="11"/>
        <color theme="1"/>
        <rFont val="Calibri"/>
        <family val="2"/>
        <scheme val="minor"/>
      </rPr>
      <t xml:space="preserve"> - No disciplinary action taken
</t>
    </r>
  </si>
  <si>
    <r>
      <t>OutOfSchool</t>
    </r>
    <r>
      <rPr>
        <sz val="11"/>
        <color theme="1"/>
        <rFont val="Calibri"/>
        <family val="2"/>
        <scheme val="minor"/>
      </rPr>
      <t xml:space="preserve"> - Out of School Suspensions/Expulsions
</t>
    </r>
    <r>
      <rPr>
        <b/>
        <sz val="11"/>
        <color theme="1"/>
        <rFont val="Calibri"/>
        <family val="2"/>
        <scheme val="minor"/>
      </rPr>
      <t>InSchool</t>
    </r>
    <r>
      <rPr>
        <sz val="11"/>
        <color theme="1"/>
        <rFont val="Calibri"/>
        <family val="2"/>
        <scheme val="minor"/>
      </rPr>
      <t xml:space="preserve"> - In School Suspensions
</t>
    </r>
  </si>
  <si>
    <r>
      <t>DrugRelated</t>
    </r>
    <r>
      <rPr>
        <sz val="11"/>
        <color theme="1"/>
        <rFont val="Calibri"/>
        <family val="2"/>
        <scheme val="minor"/>
      </rPr>
      <t xml:space="preserve"> - Illicit drug related
</t>
    </r>
    <r>
      <rPr>
        <b/>
        <sz val="11"/>
        <color theme="1"/>
        <rFont val="Calibri"/>
        <family val="2"/>
        <scheme val="minor"/>
      </rPr>
      <t>AlcoholRelated</t>
    </r>
    <r>
      <rPr>
        <sz val="11"/>
        <color theme="1"/>
        <rFont val="Calibri"/>
        <family val="2"/>
        <scheme val="minor"/>
      </rPr>
      <t xml:space="preserve"> - Alcohol related
</t>
    </r>
    <r>
      <rPr>
        <b/>
        <sz val="11"/>
        <color theme="1"/>
        <rFont val="Calibri"/>
        <family val="2"/>
        <scheme val="minor"/>
      </rPr>
      <t>WeaponsPossession</t>
    </r>
    <r>
      <rPr>
        <sz val="11"/>
        <color theme="1"/>
        <rFont val="Calibri"/>
        <family val="2"/>
        <scheme val="minor"/>
      </rPr>
      <t xml:space="preserve"> - Weapons possession
</t>
    </r>
    <r>
      <rPr>
        <b/>
        <sz val="11"/>
        <color theme="1"/>
        <rFont val="Calibri"/>
        <family val="2"/>
        <scheme val="minor"/>
      </rPr>
      <t>WithPhysicalInjury</t>
    </r>
    <r>
      <rPr>
        <sz val="11"/>
        <color theme="1"/>
        <rFont val="Calibri"/>
        <family val="2"/>
        <scheme val="minor"/>
      </rPr>
      <t xml:space="preserve"> - Violent Incident (with Physical Injury)
</t>
    </r>
    <r>
      <rPr>
        <b/>
        <sz val="11"/>
        <color theme="1"/>
        <rFont val="Calibri"/>
        <family val="2"/>
        <scheme val="minor"/>
      </rPr>
      <t>WithoutPhysicalInjury</t>
    </r>
    <r>
      <rPr>
        <sz val="11"/>
        <color theme="1"/>
        <rFont val="Calibri"/>
        <family val="2"/>
        <scheme val="minor"/>
      </rPr>
      <t xml:space="preserve"> - Violent Incident (without Physical Injury)
</t>
    </r>
    <r>
      <rPr>
        <b/>
        <sz val="11"/>
        <color theme="1"/>
        <rFont val="Calibri"/>
        <family val="2"/>
        <scheme val="minor"/>
      </rPr>
      <t>Other</t>
    </r>
    <r>
      <rPr>
        <sz val="11"/>
        <color theme="1"/>
        <rFont val="Calibri"/>
        <family val="2"/>
        <scheme val="minor"/>
      </rPr>
      <t xml:space="preserve"> - Other reasons for out of school suspensions related to drug use and violence
</t>
    </r>
  </si>
  <si>
    <r>
      <t>EnrolledExclusively</t>
    </r>
    <r>
      <rPr>
        <sz val="11"/>
        <color theme="1"/>
        <rFont val="Calibri"/>
        <family val="2"/>
        <scheme val="minor"/>
      </rPr>
      <t xml:space="preserve"> - Enrolled exclusively in distance education courses
</t>
    </r>
    <r>
      <rPr>
        <b/>
        <sz val="11"/>
        <color theme="1"/>
        <rFont val="Calibri"/>
        <family val="2"/>
        <scheme val="minor"/>
      </rPr>
      <t>EnrolledInSome</t>
    </r>
    <r>
      <rPr>
        <sz val="11"/>
        <color theme="1"/>
        <rFont val="Calibri"/>
        <family val="2"/>
        <scheme val="minor"/>
      </rPr>
      <t xml:space="preserve"> - Enrolled in some but not all distance education courses
</t>
    </r>
    <r>
      <rPr>
        <b/>
        <sz val="11"/>
        <color theme="1"/>
        <rFont val="Calibri"/>
        <family val="2"/>
        <scheme val="minor"/>
      </rPr>
      <t>NotEnrolled</t>
    </r>
    <r>
      <rPr>
        <sz val="11"/>
        <color theme="1"/>
        <rFont val="Calibri"/>
        <family val="2"/>
        <scheme val="minor"/>
      </rPr>
      <t xml:space="preserve"> - Not enrolled in distance education courses
</t>
    </r>
  </si>
  <si>
    <r>
      <t>True</t>
    </r>
    <r>
      <rPr>
        <sz val="11"/>
        <color theme="1"/>
        <rFont val="Calibri"/>
        <family val="2"/>
        <scheme val="minor"/>
      </rPr>
      <t xml:space="preserve"> - Student was admitted as a doctoral candidate
</t>
    </r>
    <r>
      <rPr>
        <b/>
        <sz val="11"/>
        <color theme="1"/>
        <rFont val="Calibri"/>
        <family val="2"/>
        <scheme val="minor"/>
      </rPr>
      <t>False</t>
    </r>
    <r>
      <rPr>
        <sz val="11"/>
        <color theme="1"/>
        <rFont val="Calibri"/>
        <family val="2"/>
        <scheme val="minor"/>
      </rPr>
      <t xml:space="preserve"> - Student was not admitted as a doctoral candidate
</t>
    </r>
  </si>
  <si>
    <r>
      <t>Qualifying</t>
    </r>
    <r>
      <rPr>
        <sz val="11"/>
        <color theme="1"/>
        <rFont val="Calibri"/>
        <family val="2"/>
        <scheme val="minor"/>
      </rPr>
      <t xml:space="preserve"> - Qualifying exam
</t>
    </r>
    <r>
      <rPr>
        <b/>
        <sz val="11"/>
        <color theme="1"/>
        <rFont val="Calibri"/>
        <family val="2"/>
        <scheme val="minor"/>
      </rPr>
      <t>OralComprehensive</t>
    </r>
    <r>
      <rPr>
        <sz val="11"/>
        <color theme="1"/>
        <rFont val="Calibri"/>
        <family val="2"/>
        <scheme val="minor"/>
      </rPr>
      <t xml:space="preserve"> - Oral comprehensive exam
</t>
    </r>
    <r>
      <rPr>
        <b/>
        <sz val="11"/>
        <color theme="1"/>
        <rFont val="Calibri"/>
        <family val="2"/>
        <scheme val="minor"/>
      </rPr>
      <t>WrittenComprehensive</t>
    </r>
    <r>
      <rPr>
        <sz val="11"/>
        <color theme="1"/>
        <rFont val="Calibri"/>
        <family val="2"/>
        <scheme val="minor"/>
      </rPr>
      <t xml:space="preserve"> - Written comprehensive exam
</t>
    </r>
    <r>
      <rPr>
        <b/>
        <sz val="11"/>
        <color theme="1"/>
        <rFont val="Calibri"/>
        <family val="2"/>
        <scheme val="minor"/>
      </rPr>
      <t>Candidacy</t>
    </r>
    <r>
      <rPr>
        <sz val="11"/>
        <color theme="1"/>
        <rFont val="Calibri"/>
        <family val="2"/>
        <scheme val="minor"/>
      </rPr>
      <t xml:space="preserve"> - Candidacy exam
</t>
    </r>
    <r>
      <rPr>
        <b/>
        <sz val="11"/>
        <color theme="1"/>
        <rFont val="Calibri"/>
        <family val="2"/>
        <scheme val="minor"/>
      </rPr>
      <t>Other</t>
    </r>
    <r>
      <rPr>
        <sz val="11"/>
        <color theme="1"/>
        <rFont val="Calibri"/>
        <family val="2"/>
        <scheme val="minor"/>
      </rPr>
      <t xml:space="preserve"> - Other departmental or institutional exam
</t>
    </r>
  </si>
  <si>
    <r>
      <t>ChildDevelopmentAssociate</t>
    </r>
    <r>
      <rPr>
        <sz val="11"/>
        <color theme="1"/>
        <rFont val="Calibri"/>
        <family val="2"/>
        <scheme val="minor"/>
      </rPr>
      <t xml:space="preserve"> - Child Development Associate (CDA)
</t>
    </r>
    <r>
      <rPr>
        <b/>
        <sz val="11"/>
        <color theme="1"/>
        <rFont val="Calibri"/>
        <family val="2"/>
        <scheme val="minor"/>
      </rPr>
      <t>DirectorsLevelCredential</t>
    </r>
    <r>
      <rPr>
        <sz val="11"/>
        <color theme="1"/>
        <rFont val="Calibri"/>
        <family val="2"/>
        <scheme val="minor"/>
      </rPr>
      <t xml:space="preserve"> - Directors Level Credential
</t>
    </r>
    <r>
      <rPr>
        <b/>
        <sz val="11"/>
        <color theme="1"/>
        <rFont val="Calibri"/>
        <family val="2"/>
        <scheme val="minor"/>
      </rPr>
      <t>StateInfantToddler</t>
    </r>
    <r>
      <rPr>
        <sz val="11"/>
        <color theme="1"/>
        <rFont val="Calibri"/>
        <family val="2"/>
        <scheme val="minor"/>
      </rPr>
      <t xml:space="preserve"> - State Awarded Credential for Infant/Toddler
</t>
    </r>
    <r>
      <rPr>
        <b/>
        <sz val="11"/>
        <color theme="1"/>
        <rFont val="Calibri"/>
        <family val="2"/>
        <scheme val="minor"/>
      </rPr>
      <t>StatePreschool</t>
    </r>
    <r>
      <rPr>
        <sz val="11"/>
        <color theme="1"/>
        <rFont val="Calibri"/>
        <family val="2"/>
        <scheme val="minor"/>
      </rPr>
      <t xml:space="preserve"> - State Awarded Preschool Credential
</t>
    </r>
    <r>
      <rPr>
        <b/>
        <sz val="11"/>
        <color theme="1"/>
        <rFont val="Calibri"/>
        <family val="2"/>
        <scheme val="minor"/>
      </rPr>
      <t>StateSchoolAge</t>
    </r>
    <r>
      <rPr>
        <sz val="11"/>
        <color theme="1"/>
        <rFont val="Calibri"/>
        <family val="2"/>
        <scheme val="minor"/>
      </rPr>
      <t xml:space="preserve"> - State Awarded School-Age Credential
</t>
    </r>
    <r>
      <rPr>
        <b/>
        <sz val="11"/>
        <color theme="1"/>
        <rFont val="Calibri"/>
        <family val="2"/>
        <scheme val="minor"/>
      </rPr>
      <t>Other</t>
    </r>
    <r>
      <rPr>
        <sz val="11"/>
        <color theme="1"/>
        <rFont val="Calibri"/>
        <family val="2"/>
        <scheme val="minor"/>
      </rPr>
      <t xml:space="preserve"> - Other
</t>
    </r>
  </si>
  <si>
    <r>
      <t>HeadStart</t>
    </r>
    <r>
      <rPr>
        <sz val="11"/>
        <color theme="1"/>
        <rFont val="Calibri"/>
        <family val="2"/>
        <scheme val="minor"/>
      </rPr>
      <t xml:space="preserve"> - Head Start
</t>
    </r>
    <r>
      <rPr>
        <b/>
        <sz val="11"/>
        <color theme="1"/>
        <rFont val="Calibri"/>
        <family val="2"/>
        <scheme val="minor"/>
      </rPr>
      <t>EarlyHeadStart</t>
    </r>
    <r>
      <rPr>
        <sz val="11"/>
        <color theme="1"/>
        <rFont val="Calibri"/>
        <family val="2"/>
        <scheme val="minor"/>
      </rPr>
      <t xml:space="preserve"> - Early Head Start
</t>
    </r>
    <r>
      <rPr>
        <b/>
        <sz val="11"/>
        <color theme="1"/>
        <rFont val="Calibri"/>
        <family val="2"/>
        <scheme val="minor"/>
      </rPr>
      <t>PublicPreschool</t>
    </r>
    <r>
      <rPr>
        <sz val="11"/>
        <color theme="1"/>
        <rFont val="Calibri"/>
        <family val="2"/>
        <scheme val="minor"/>
      </rPr>
      <t xml:space="preserve"> - Public Preschool
</t>
    </r>
    <r>
      <rPr>
        <b/>
        <sz val="11"/>
        <color theme="1"/>
        <rFont val="Calibri"/>
        <family val="2"/>
        <scheme val="minor"/>
      </rPr>
      <t>FeeForService</t>
    </r>
    <r>
      <rPr>
        <sz val="11"/>
        <color theme="1"/>
        <rFont val="Calibri"/>
        <family val="2"/>
        <scheme val="minor"/>
      </rPr>
      <t xml:space="preserve"> - Fee For Service
</t>
    </r>
    <r>
      <rPr>
        <b/>
        <sz val="11"/>
        <color theme="1"/>
        <rFont val="Calibri"/>
        <family val="2"/>
        <scheme val="minor"/>
      </rPr>
      <t>PreschoolSpecialEducation</t>
    </r>
    <r>
      <rPr>
        <sz val="11"/>
        <color theme="1"/>
        <rFont val="Calibri"/>
        <family val="2"/>
        <scheme val="minor"/>
      </rPr>
      <t xml:space="preserve"> - Preschool Special Education
</t>
    </r>
    <r>
      <rPr>
        <b/>
        <sz val="11"/>
        <color theme="1"/>
        <rFont val="Calibri"/>
        <family val="2"/>
        <scheme val="minor"/>
      </rPr>
      <t>HomeVisiting</t>
    </r>
    <r>
      <rPr>
        <sz val="11"/>
        <color theme="1"/>
        <rFont val="Calibri"/>
        <family val="2"/>
        <scheme val="minor"/>
      </rPr>
      <t xml:space="preserve"> - Home Visiting
</t>
    </r>
    <r>
      <rPr>
        <b/>
        <sz val="11"/>
        <color theme="1"/>
        <rFont val="Calibri"/>
        <family val="2"/>
        <scheme val="minor"/>
      </rPr>
      <t>EarlyInterventionPartC</t>
    </r>
    <r>
      <rPr>
        <sz val="11"/>
        <color theme="1"/>
        <rFont val="Calibri"/>
        <family val="2"/>
        <scheme val="minor"/>
      </rPr>
      <t xml:space="preserve"> - Early Intervention Services Part C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</si>
  <si>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r>
      <t>HeadStart</t>
    </r>
    <r>
      <rPr>
        <sz val="11"/>
        <color theme="1"/>
        <rFont val="Calibri"/>
        <family val="2"/>
        <scheme val="minor"/>
      </rPr>
      <t xml:space="preserve"> - Head Start
</t>
    </r>
    <r>
      <rPr>
        <b/>
        <sz val="11"/>
        <color theme="1"/>
        <rFont val="Calibri"/>
        <family val="2"/>
        <scheme val="minor"/>
      </rPr>
      <t>EarlyHeadStart</t>
    </r>
    <r>
      <rPr>
        <sz val="11"/>
        <color theme="1"/>
        <rFont val="Calibri"/>
        <family val="2"/>
        <scheme val="minor"/>
      </rPr>
      <t xml:space="preserve"> - Early Head Start
</t>
    </r>
    <r>
      <rPr>
        <b/>
        <sz val="11"/>
        <color theme="1"/>
        <rFont val="Calibri"/>
        <family val="2"/>
        <scheme val="minor"/>
      </rPr>
      <t>PublicPreschool</t>
    </r>
    <r>
      <rPr>
        <sz val="11"/>
        <color theme="1"/>
        <rFont val="Calibri"/>
        <family val="2"/>
        <scheme val="minor"/>
      </rPr>
      <t xml:space="preserve"> - Public Preschool
</t>
    </r>
    <r>
      <rPr>
        <b/>
        <sz val="11"/>
        <color theme="1"/>
        <rFont val="Calibri"/>
        <family val="2"/>
        <scheme val="minor"/>
      </rPr>
      <t>PrivatePreschool</t>
    </r>
    <r>
      <rPr>
        <sz val="11"/>
        <color theme="1"/>
        <rFont val="Calibri"/>
        <family val="2"/>
        <scheme val="minor"/>
      </rPr>
      <t xml:space="preserve"> - Private Preschool
</t>
    </r>
    <r>
      <rPr>
        <b/>
        <sz val="11"/>
        <color theme="1"/>
        <rFont val="Calibri"/>
        <family val="2"/>
        <scheme val="minor"/>
      </rPr>
      <t>PreschoolSpecialEducation</t>
    </r>
    <r>
      <rPr>
        <sz val="11"/>
        <color theme="1"/>
        <rFont val="Calibri"/>
        <family val="2"/>
        <scheme val="minor"/>
      </rPr>
      <t xml:space="preserve"> - Preschool Special Education
</t>
    </r>
    <r>
      <rPr>
        <b/>
        <sz val="11"/>
        <color theme="1"/>
        <rFont val="Calibri"/>
        <family val="2"/>
        <scheme val="minor"/>
      </rPr>
      <t>HomeVisiting</t>
    </r>
    <r>
      <rPr>
        <sz val="11"/>
        <color theme="1"/>
        <rFont val="Calibri"/>
        <family val="2"/>
        <scheme val="minor"/>
      </rPr>
      <t xml:space="preserve"> - Home Visiting
</t>
    </r>
    <r>
      <rPr>
        <b/>
        <sz val="11"/>
        <color theme="1"/>
        <rFont val="Calibri"/>
        <family val="2"/>
        <scheme val="minor"/>
      </rPr>
      <t>EarlyInterventionPartC</t>
    </r>
    <r>
      <rPr>
        <sz val="11"/>
        <color theme="1"/>
        <rFont val="Calibri"/>
        <family val="2"/>
        <scheme val="minor"/>
      </rPr>
      <t xml:space="preserve"> - Early Intervention Services Part C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</si>
  <si>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r>
      <t>HomeBased</t>
    </r>
    <r>
      <rPr>
        <sz val="11"/>
        <color theme="1"/>
        <rFont val="Calibri"/>
        <family val="2"/>
        <scheme val="minor"/>
      </rPr>
      <t xml:space="preserve"> - Home-based (Child's Home)
</t>
    </r>
    <r>
      <rPr>
        <b/>
        <sz val="11"/>
        <color theme="1"/>
        <rFont val="Calibri"/>
        <family val="2"/>
        <scheme val="minor"/>
      </rPr>
      <t>CenterBased</t>
    </r>
    <r>
      <rPr>
        <sz val="11"/>
        <color theme="1"/>
        <rFont val="Calibri"/>
        <family val="2"/>
        <scheme val="minor"/>
      </rPr>
      <t xml:space="preserve"> - Center-based (including a school setting)
</t>
    </r>
    <r>
      <rPr>
        <b/>
        <sz val="11"/>
        <color theme="1"/>
        <rFont val="Calibri"/>
        <family val="2"/>
        <scheme val="minor"/>
      </rPr>
      <t>CenterBasedSpecial</t>
    </r>
    <r>
      <rPr>
        <sz val="11"/>
        <color theme="1"/>
        <rFont val="Calibri"/>
        <family val="2"/>
        <scheme val="minor"/>
      </rPr>
      <t xml:space="preserve"> - Center-based for children with special needs
</t>
    </r>
    <r>
      <rPr>
        <b/>
        <sz val="11"/>
        <color theme="1"/>
        <rFont val="Calibri"/>
        <family val="2"/>
        <scheme val="minor"/>
      </rPr>
      <t>FamilyChildCare</t>
    </r>
    <r>
      <rPr>
        <sz val="11"/>
        <color theme="1"/>
        <rFont val="Calibri"/>
        <family val="2"/>
        <scheme val="minor"/>
      </rPr>
      <t xml:space="preserve"> - Family Child Care Home (Provider's Home)
</t>
    </r>
    <r>
      <rPr>
        <b/>
        <sz val="11"/>
        <color theme="1"/>
        <rFont val="Calibri"/>
        <family val="2"/>
        <scheme val="minor"/>
      </rPr>
      <t>MultiSetting</t>
    </r>
    <r>
      <rPr>
        <sz val="11"/>
        <color theme="1"/>
        <rFont val="Calibri"/>
        <family val="2"/>
        <scheme val="minor"/>
      </rPr>
      <t xml:space="preserve"> - Multi-setting
</t>
    </r>
    <r>
      <rPr>
        <b/>
        <sz val="11"/>
        <color theme="1"/>
        <rFont val="Calibri"/>
        <family val="2"/>
        <scheme val="minor"/>
      </rPr>
      <t>LocallyDesigned</t>
    </r>
    <r>
      <rPr>
        <sz val="11"/>
        <color theme="1"/>
        <rFont val="Calibri"/>
        <family val="2"/>
        <scheme val="minor"/>
      </rPr>
      <t xml:space="preserve"> - Locally designed
</t>
    </r>
  </si>
  <si>
    <r>
      <t>01</t>
    </r>
    <r>
      <rPr>
        <sz val="11"/>
        <color theme="1"/>
        <rFont val="Calibri"/>
        <family val="2"/>
        <scheme val="minor"/>
      </rPr>
      <t xml:space="preserve"> - Assistive technology services
</t>
    </r>
    <r>
      <rPr>
        <b/>
        <sz val="11"/>
        <color theme="1"/>
        <rFont val="Calibri"/>
        <family val="2"/>
        <scheme val="minor"/>
      </rPr>
      <t>02</t>
    </r>
    <r>
      <rPr>
        <sz val="11"/>
        <color theme="1"/>
        <rFont val="Calibri"/>
        <family val="2"/>
        <scheme val="minor"/>
      </rPr>
      <t xml:space="preserve"> - Audiology services
</t>
    </r>
    <r>
      <rPr>
        <b/>
        <sz val="11"/>
        <color theme="1"/>
        <rFont val="Calibri"/>
        <family val="2"/>
        <scheme val="minor"/>
      </rPr>
      <t>03</t>
    </r>
    <r>
      <rPr>
        <sz val="11"/>
        <color theme="1"/>
        <rFont val="Calibri"/>
        <family val="2"/>
        <scheme val="minor"/>
      </rPr>
      <t xml:space="preserve"> - Family training/counseling services
</t>
    </r>
    <r>
      <rPr>
        <b/>
        <sz val="11"/>
        <color theme="1"/>
        <rFont val="Calibri"/>
        <family val="2"/>
        <scheme val="minor"/>
      </rPr>
      <t>04</t>
    </r>
    <r>
      <rPr>
        <sz val="11"/>
        <color theme="1"/>
        <rFont val="Calibri"/>
        <family val="2"/>
        <scheme val="minor"/>
      </rPr>
      <t xml:space="preserve"> - Health services
</t>
    </r>
    <r>
      <rPr>
        <b/>
        <sz val="11"/>
        <color theme="1"/>
        <rFont val="Calibri"/>
        <family val="2"/>
        <scheme val="minor"/>
      </rPr>
      <t>05</t>
    </r>
    <r>
      <rPr>
        <sz val="11"/>
        <color theme="1"/>
        <rFont val="Calibri"/>
        <family val="2"/>
        <scheme val="minor"/>
      </rPr>
      <t xml:space="preserve"> - Medical services
</t>
    </r>
    <r>
      <rPr>
        <b/>
        <sz val="11"/>
        <color theme="1"/>
        <rFont val="Calibri"/>
        <family val="2"/>
        <scheme val="minor"/>
      </rPr>
      <t>06</t>
    </r>
    <r>
      <rPr>
        <sz val="11"/>
        <color theme="1"/>
        <rFont val="Calibri"/>
        <family val="2"/>
        <scheme val="minor"/>
      </rPr>
      <t xml:space="preserve"> - Nursing services
</t>
    </r>
    <r>
      <rPr>
        <b/>
        <sz val="11"/>
        <color theme="1"/>
        <rFont val="Calibri"/>
        <family val="2"/>
        <scheme val="minor"/>
      </rPr>
      <t>07</t>
    </r>
    <r>
      <rPr>
        <sz val="11"/>
        <color theme="1"/>
        <rFont val="Calibri"/>
        <family val="2"/>
        <scheme val="minor"/>
      </rPr>
      <t xml:space="preserve"> - Nutrition services
</t>
    </r>
    <r>
      <rPr>
        <b/>
        <sz val="11"/>
        <color theme="1"/>
        <rFont val="Calibri"/>
        <family val="2"/>
        <scheme val="minor"/>
      </rPr>
      <t>08</t>
    </r>
    <r>
      <rPr>
        <sz val="11"/>
        <color theme="1"/>
        <rFont val="Calibri"/>
        <family val="2"/>
        <scheme val="minor"/>
      </rPr>
      <t xml:space="preserve"> - Occupational therapy
</t>
    </r>
    <r>
      <rPr>
        <b/>
        <sz val="11"/>
        <color theme="1"/>
        <rFont val="Calibri"/>
        <family val="2"/>
        <scheme val="minor"/>
      </rPr>
      <t>09</t>
    </r>
    <r>
      <rPr>
        <sz val="11"/>
        <color theme="1"/>
        <rFont val="Calibri"/>
        <family val="2"/>
        <scheme val="minor"/>
      </rPr>
      <t xml:space="preserve"> - Physical therapy
</t>
    </r>
    <r>
      <rPr>
        <b/>
        <sz val="11"/>
        <color theme="1"/>
        <rFont val="Calibri"/>
        <family val="2"/>
        <scheme val="minor"/>
      </rPr>
      <t>10</t>
    </r>
    <r>
      <rPr>
        <sz val="11"/>
        <color theme="1"/>
        <rFont val="Calibri"/>
        <family val="2"/>
        <scheme val="minor"/>
      </rPr>
      <t xml:space="preserve"> - Psychological services
</t>
    </r>
    <r>
      <rPr>
        <b/>
        <sz val="11"/>
        <color theme="1"/>
        <rFont val="Calibri"/>
        <family val="2"/>
        <scheme val="minor"/>
      </rPr>
      <t>11</t>
    </r>
    <r>
      <rPr>
        <sz val="11"/>
        <color theme="1"/>
        <rFont val="Calibri"/>
        <family val="2"/>
        <scheme val="minor"/>
      </rPr>
      <t xml:space="preserve"> - Sign language and cued language services
</t>
    </r>
    <r>
      <rPr>
        <b/>
        <sz val="11"/>
        <color theme="1"/>
        <rFont val="Calibri"/>
        <family val="2"/>
        <scheme val="minor"/>
      </rPr>
      <t>12</t>
    </r>
    <r>
      <rPr>
        <sz val="11"/>
        <color theme="1"/>
        <rFont val="Calibri"/>
        <family val="2"/>
        <scheme val="minor"/>
      </rPr>
      <t xml:space="preserve"> - Service coordination
</t>
    </r>
    <r>
      <rPr>
        <b/>
        <sz val="11"/>
        <color theme="1"/>
        <rFont val="Calibri"/>
        <family val="2"/>
        <scheme val="minor"/>
      </rPr>
      <t>13</t>
    </r>
    <r>
      <rPr>
        <sz val="11"/>
        <color theme="1"/>
        <rFont val="Calibri"/>
        <family val="2"/>
        <scheme val="minor"/>
      </rPr>
      <t xml:space="preserve"> - Social work services
</t>
    </r>
    <r>
      <rPr>
        <b/>
        <sz val="11"/>
        <color theme="1"/>
        <rFont val="Calibri"/>
        <family val="2"/>
        <scheme val="minor"/>
      </rPr>
      <t>14</t>
    </r>
    <r>
      <rPr>
        <sz val="11"/>
        <color theme="1"/>
        <rFont val="Calibri"/>
        <family val="2"/>
        <scheme val="minor"/>
      </rPr>
      <t xml:space="preserve"> - Special instruction
</t>
    </r>
    <r>
      <rPr>
        <b/>
        <sz val="11"/>
        <color theme="1"/>
        <rFont val="Calibri"/>
        <family val="2"/>
        <scheme val="minor"/>
      </rPr>
      <t>15</t>
    </r>
    <r>
      <rPr>
        <sz val="11"/>
        <color theme="1"/>
        <rFont val="Calibri"/>
        <family val="2"/>
        <scheme val="minor"/>
      </rPr>
      <t xml:space="preserve"> - Speech-language pathology services
</t>
    </r>
    <r>
      <rPr>
        <b/>
        <sz val="11"/>
        <color theme="1"/>
        <rFont val="Calibri"/>
        <family val="2"/>
        <scheme val="minor"/>
      </rPr>
      <t>16</t>
    </r>
    <r>
      <rPr>
        <sz val="11"/>
        <color theme="1"/>
        <rFont val="Calibri"/>
        <family val="2"/>
        <scheme val="minor"/>
      </rPr>
      <t xml:space="preserve"> - Vision services
</t>
    </r>
    <r>
      <rPr>
        <b/>
        <sz val="11"/>
        <color theme="1"/>
        <rFont val="Calibri"/>
        <family val="2"/>
        <scheme val="minor"/>
      </rPr>
      <t>99</t>
    </r>
    <r>
      <rPr>
        <sz val="11"/>
        <color theme="1"/>
        <rFont val="Calibri"/>
        <family val="2"/>
        <scheme val="minor"/>
      </rPr>
      <t xml:space="preserve"> - Other
</t>
    </r>
  </si>
  <si>
    <r>
      <t>RegularECProgram</t>
    </r>
    <r>
      <rPr>
        <sz val="11"/>
        <color theme="1"/>
        <rFont val="Calibri"/>
        <family val="2"/>
        <scheme val="minor"/>
      </rPr>
      <t xml:space="preserve"> - Regular early childhood program
</t>
    </r>
    <r>
      <rPr>
        <b/>
        <sz val="11"/>
        <color theme="1"/>
        <rFont val="Calibri"/>
        <family val="2"/>
        <scheme val="minor"/>
      </rPr>
      <t>SpecialEducationProgram</t>
    </r>
    <r>
      <rPr>
        <sz val="11"/>
        <color theme="1"/>
        <rFont val="Calibri"/>
        <family val="2"/>
        <scheme val="minor"/>
      </rPr>
      <t xml:space="preserve"> - Special education program 
</t>
    </r>
    <r>
      <rPr>
        <b/>
        <sz val="11"/>
        <color theme="1"/>
        <rFont val="Calibri"/>
        <family val="2"/>
        <scheme val="minor"/>
      </rPr>
      <t>SeparateClass</t>
    </r>
    <r>
      <rPr>
        <sz val="11"/>
        <color theme="1"/>
        <rFont val="Calibri"/>
        <family val="2"/>
        <scheme val="minor"/>
      </rPr>
      <t xml:space="preserve"> - Separate class
</t>
    </r>
    <r>
      <rPr>
        <b/>
        <sz val="11"/>
        <color theme="1"/>
        <rFont val="Calibri"/>
        <family val="2"/>
        <scheme val="minor"/>
      </rPr>
      <t>SeparateSchool</t>
    </r>
    <r>
      <rPr>
        <sz val="11"/>
        <color theme="1"/>
        <rFont val="Calibri"/>
        <family val="2"/>
        <scheme val="minor"/>
      </rPr>
      <t xml:space="preserve"> - Separate school
</t>
    </r>
    <r>
      <rPr>
        <b/>
        <sz val="11"/>
        <color theme="1"/>
        <rFont val="Calibri"/>
        <family val="2"/>
        <scheme val="minor"/>
      </rPr>
      <t>ResidentialFacility</t>
    </r>
    <r>
      <rPr>
        <sz val="11"/>
        <color theme="1"/>
        <rFont val="Calibri"/>
        <family val="2"/>
        <scheme val="minor"/>
      </rPr>
      <t xml:space="preserve"> - Residential facility
</t>
    </r>
    <r>
      <rPr>
        <b/>
        <sz val="11"/>
        <color theme="1"/>
        <rFont val="Calibri"/>
        <family val="2"/>
        <scheme val="minor"/>
      </rPr>
      <t>Home</t>
    </r>
    <r>
      <rPr>
        <sz val="11"/>
        <color theme="1"/>
        <rFont val="Calibri"/>
        <family val="2"/>
        <scheme val="minor"/>
      </rPr>
      <t xml:space="preserve"> - Home
</t>
    </r>
    <r>
      <rPr>
        <b/>
        <sz val="11"/>
        <color theme="1"/>
        <rFont val="Calibri"/>
        <family val="2"/>
        <scheme val="minor"/>
      </rPr>
      <t>ServiceProviderLocation</t>
    </r>
    <r>
      <rPr>
        <sz val="11"/>
        <color theme="1"/>
        <rFont val="Calibri"/>
        <family val="2"/>
        <scheme val="minor"/>
      </rPr>
      <t xml:space="preserve"> - Service Provider Location
</t>
    </r>
    <r>
      <rPr>
        <b/>
        <sz val="11"/>
        <color theme="1"/>
        <rFont val="Calibri"/>
        <family val="2"/>
        <scheme val="minor"/>
      </rPr>
      <t>CommunityBasedSetting</t>
    </r>
    <r>
      <rPr>
        <sz val="11"/>
        <color theme="1"/>
        <rFont val="Calibri"/>
        <family val="2"/>
        <scheme val="minor"/>
      </rPr>
      <t xml:space="preserve"> - Community-based setting
</t>
    </r>
    <r>
      <rPr>
        <b/>
        <sz val="11"/>
        <color theme="1"/>
        <rFont val="Calibri"/>
        <family val="2"/>
        <scheme val="minor"/>
      </rPr>
      <t>OtherSetting</t>
    </r>
    <r>
      <rPr>
        <sz val="11"/>
        <color theme="1"/>
        <rFont val="Calibri"/>
        <family val="2"/>
        <scheme val="minor"/>
      </rPr>
      <t xml:space="preserve"> - Other setting
</t>
    </r>
  </si>
  <si>
    <r>
      <t>FurtherEvaluationNeeded</t>
    </r>
    <r>
      <rPr>
        <sz val="11"/>
        <color theme="1"/>
        <rFont val="Calibri"/>
        <family val="2"/>
        <scheme val="minor"/>
      </rPr>
      <t xml:space="preserve"> - Further evaluation needed
</t>
    </r>
    <r>
      <rPr>
        <b/>
        <sz val="11"/>
        <color theme="1"/>
        <rFont val="Calibri"/>
        <family val="2"/>
        <scheme val="minor"/>
      </rPr>
      <t>NoFurtherEvaluationNeeded</t>
    </r>
    <r>
      <rPr>
        <sz val="11"/>
        <color theme="1"/>
        <rFont val="Calibri"/>
        <family val="2"/>
        <scheme val="minor"/>
      </rPr>
      <t xml:space="preserve"> - No further evaluation needed
</t>
    </r>
    <r>
      <rPr>
        <b/>
        <sz val="11"/>
        <color theme="1"/>
        <rFont val="Calibri"/>
        <family val="2"/>
        <scheme val="minor"/>
      </rPr>
      <t>NoScreeningPerformed</t>
    </r>
    <r>
      <rPr>
        <sz val="11"/>
        <color theme="1"/>
        <rFont val="Calibri"/>
        <family val="2"/>
        <scheme val="minor"/>
      </rPr>
      <t xml:space="preserve"> - No Screening Performed
</t>
    </r>
  </si>
  <si>
    <r>
      <t>01</t>
    </r>
    <r>
      <rPr>
        <sz val="11"/>
        <color theme="1"/>
        <rFont val="Calibri"/>
        <family val="2"/>
        <scheme val="minor"/>
      </rPr>
      <t xml:space="preserve"> - Creative curriculum infants/toddlers
</t>
    </r>
    <r>
      <rPr>
        <b/>
        <sz val="11"/>
        <color theme="1"/>
        <rFont val="Calibri"/>
        <family val="2"/>
        <scheme val="minor"/>
      </rPr>
      <t>02</t>
    </r>
    <r>
      <rPr>
        <sz val="11"/>
        <color theme="1"/>
        <rFont val="Calibri"/>
        <family val="2"/>
        <scheme val="minor"/>
      </rPr>
      <t xml:space="preserve"> - Creative curriculum preschool
</t>
    </r>
    <r>
      <rPr>
        <b/>
        <sz val="11"/>
        <color theme="1"/>
        <rFont val="Calibri"/>
        <family val="2"/>
        <scheme val="minor"/>
      </rPr>
      <t>03</t>
    </r>
    <r>
      <rPr>
        <sz val="11"/>
        <color theme="1"/>
        <rFont val="Calibri"/>
        <family val="2"/>
        <scheme val="minor"/>
      </rPr>
      <t xml:space="preserve"> - Creative curriculum family child care
</t>
    </r>
    <r>
      <rPr>
        <b/>
        <sz val="11"/>
        <color theme="1"/>
        <rFont val="Calibri"/>
        <family val="2"/>
        <scheme val="minor"/>
      </rPr>
      <t>04</t>
    </r>
    <r>
      <rPr>
        <sz val="11"/>
        <color theme="1"/>
        <rFont val="Calibri"/>
        <family val="2"/>
        <scheme val="minor"/>
      </rPr>
      <t xml:space="preserve"> - Highscope preschoolers
</t>
    </r>
    <r>
      <rPr>
        <b/>
        <sz val="11"/>
        <color theme="1"/>
        <rFont val="Calibri"/>
        <family val="2"/>
        <scheme val="minor"/>
      </rPr>
      <t>05</t>
    </r>
    <r>
      <rPr>
        <sz val="11"/>
        <color theme="1"/>
        <rFont val="Calibri"/>
        <family val="2"/>
        <scheme val="minor"/>
      </rPr>
      <t xml:space="preserve"> - Highscope infants/toddlers
</t>
    </r>
    <r>
      <rPr>
        <b/>
        <sz val="11"/>
        <color theme="1"/>
        <rFont val="Calibri"/>
        <family val="2"/>
        <scheme val="minor"/>
      </rPr>
      <t>06</t>
    </r>
    <r>
      <rPr>
        <sz val="11"/>
        <color theme="1"/>
        <rFont val="Calibri"/>
        <family val="2"/>
        <scheme val="minor"/>
      </rPr>
      <t xml:space="preserve"> - Montessori curriculum
</t>
    </r>
    <r>
      <rPr>
        <b/>
        <sz val="11"/>
        <color theme="1"/>
        <rFont val="Calibri"/>
        <family val="2"/>
        <scheme val="minor"/>
      </rPr>
      <t>07</t>
    </r>
    <r>
      <rPr>
        <sz val="11"/>
        <color theme="1"/>
        <rFont val="Calibri"/>
        <family val="2"/>
        <scheme val="minor"/>
      </rPr>
      <t xml:space="preserve"> - Locally designed curriculum
</t>
    </r>
    <r>
      <rPr>
        <b/>
        <sz val="11"/>
        <color theme="1"/>
        <rFont val="Calibri"/>
        <family val="2"/>
        <scheme val="minor"/>
      </rPr>
      <t>08</t>
    </r>
    <r>
      <rPr>
        <sz val="11"/>
        <color theme="1"/>
        <rFont val="Calibri"/>
        <family val="2"/>
        <scheme val="minor"/>
      </rPr>
      <t xml:space="preserve"> - Other curriculum
</t>
    </r>
    <r>
      <rPr>
        <b/>
        <sz val="11"/>
        <color theme="1"/>
        <rFont val="Calibri"/>
        <family val="2"/>
        <scheme val="minor"/>
      </rPr>
      <t>09</t>
    </r>
    <r>
      <rPr>
        <sz val="11"/>
        <color theme="1"/>
        <rFont val="Calibri"/>
        <family val="2"/>
        <scheme val="minor"/>
      </rPr>
      <t xml:space="preserve"> - None
</t>
    </r>
  </si>
  <si>
    <r>
      <t>01</t>
    </r>
    <r>
      <rPr>
        <sz val="11"/>
        <color theme="1"/>
        <rFont val="Calibri"/>
        <family val="2"/>
        <scheme val="minor"/>
      </rPr>
      <t xml:space="preserve"> - Child growth and development
</t>
    </r>
    <r>
      <rPr>
        <b/>
        <sz val="11"/>
        <color theme="1"/>
        <rFont val="Calibri"/>
        <family val="2"/>
        <scheme val="minor"/>
      </rPr>
      <t>02</t>
    </r>
    <r>
      <rPr>
        <sz val="11"/>
        <color theme="1"/>
        <rFont val="Calibri"/>
        <family val="2"/>
        <scheme val="minor"/>
      </rPr>
      <t xml:space="preserve"> - Health safety and nutrition
</t>
    </r>
    <r>
      <rPr>
        <b/>
        <sz val="11"/>
        <color theme="1"/>
        <rFont val="Calibri"/>
        <family val="2"/>
        <scheme val="minor"/>
      </rPr>
      <t>03</t>
    </r>
    <r>
      <rPr>
        <sz val="11"/>
        <color theme="1"/>
        <rFont val="Calibri"/>
        <family val="2"/>
        <scheme val="minor"/>
      </rPr>
      <t xml:space="preserve"> - Teaching and learning
</t>
    </r>
    <r>
      <rPr>
        <b/>
        <sz val="11"/>
        <color theme="1"/>
        <rFont val="Calibri"/>
        <family val="2"/>
        <scheme val="minor"/>
      </rPr>
      <t>04</t>
    </r>
    <r>
      <rPr>
        <sz val="11"/>
        <color theme="1"/>
        <rFont val="Calibri"/>
        <family val="2"/>
        <scheme val="minor"/>
      </rPr>
      <t xml:space="preserve"> - Observing, documenting and assessing
</t>
    </r>
    <r>
      <rPr>
        <b/>
        <sz val="11"/>
        <color theme="1"/>
        <rFont val="Calibri"/>
        <family val="2"/>
        <scheme val="minor"/>
      </rPr>
      <t>05</t>
    </r>
    <r>
      <rPr>
        <sz val="11"/>
        <color theme="1"/>
        <rFont val="Calibri"/>
        <family val="2"/>
        <scheme val="minor"/>
      </rPr>
      <t xml:space="preserve"> - Family and community relationships
</t>
    </r>
    <r>
      <rPr>
        <b/>
        <sz val="11"/>
        <color theme="1"/>
        <rFont val="Calibri"/>
        <family val="2"/>
        <scheme val="minor"/>
      </rPr>
      <t>06</t>
    </r>
    <r>
      <rPr>
        <sz val="11"/>
        <color theme="1"/>
        <rFont val="Calibri"/>
        <family val="2"/>
        <scheme val="minor"/>
      </rPr>
      <t xml:space="preserve"> - Administration and management
</t>
    </r>
    <r>
      <rPr>
        <b/>
        <sz val="11"/>
        <color theme="1"/>
        <rFont val="Calibri"/>
        <family val="2"/>
        <scheme val="minor"/>
      </rPr>
      <t>07</t>
    </r>
    <r>
      <rPr>
        <sz val="11"/>
        <color theme="1"/>
        <rFont val="Calibri"/>
        <family val="2"/>
        <scheme val="minor"/>
      </rPr>
      <t xml:space="preserve"> - Early childhood education profession and policy
</t>
    </r>
  </si>
  <si>
    <r>
      <t>01</t>
    </r>
    <r>
      <rPr>
        <sz val="11"/>
        <color theme="1"/>
        <rFont val="Calibri"/>
        <family val="2"/>
        <scheme val="minor"/>
      </rPr>
      <t xml:space="preserve"> - Head Start
</t>
    </r>
    <r>
      <rPr>
        <b/>
        <sz val="11"/>
        <color theme="1"/>
        <rFont val="Calibri"/>
        <family val="2"/>
        <scheme val="minor"/>
      </rPr>
      <t>02</t>
    </r>
    <r>
      <rPr>
        <sz val="11"/>
        <color theme="1"/>
        <rFont val="Calibri"/>
        <family val="2"/>
        <scheme val="minor"/>
      </rPr>
      <t xml:space="preserve"> - Early Head Start
</t>
    </r>
    <r>
      <rPr>
        <b/>
        <sz val="11"/>
        <color theme="1"/>
        <rFont val="Calibri"/>
        <family val="2"/>
        <scheme val="minor"/>
      </rPr>
      <t>03</t>
    </r>
    <r>
      <rPr>
        <sz val="11"/>
        <color theme="1"/>
        <rFont val="Calibri"/>
        <family val="2"/>
        <scheme val="minor"/>
      </rPr>
      <t xml:space="preserve"> - Office of Child Care-CCDF
</t>
    </r>
    <r>
      <rPr>
        <b/>
        <sz val="11"/>
        <color theme="1"/>
        <rFont val="Calibri"/>
        <family val="2"/>
        <scheme val="minor"/>
      </rPr>
      <t>04</t>
    </r>
    <r>
      <rPr>
        <sz val="11"/>
        <color theme="1"/>
        <rFont val="Calibri"/>
        <family val="2"/>
        <scheme val="minor"/>
      </rPr>
      <t xml:space="preserve"> - Early Intervention Part C
</t>
    </r>
    <r>
      <rPr>
        <b/>
        <sz val="11"/>
        <color theme="1"/>
        <rFont val="Calibri"/>
        <family val="2"/>
        <scheme val="minor"/>
      </rPr>
      <t>05</t>
    </r>
    <r>
      <rPr>
        <sz val="11"/>
        <color theme="1"/>
        <rFont val="Calibri"/>
        <family val="2"/>
        <scheme val="minor"/>
      </rPr>
      <t xml:space="preserve"> - Special Education Preschool Part B 619
</t>
    </r>
    <r>
      <rPr>
        <b/>
        <sz val="11"/>
        <color theme="1"/>
        <rFont val="Calibri"/>
        <family val="2"/>
        <scheme val="minor"/>
      </rPr>
      <t>06</t>
    </r>
    <r>
      <rPr>
        <sz val="11"/>
        <color theme="1"/>
        <rFont val="Calibri"/>
        <family val="2"/>
        <scheme val="minor"/>
      </rPr>
      <t xml:space="preserve"> - Title 1
</t>
    </r>
    <r>
      <rPr>
        <b/>
        <sz val="11"/>
        <color theme="1"/>
        <rFont val="Calibri"/>
        <family val="2"/>
        <scheme val="minor"/>
      </rPr>
      <t>07</t>
    </r>
    <r>
      <rPr>
        <sz val="11"/>
        <color theme="1"/>
        <rFont val="Calibri"/>
        <family val="2"/>
        <scheme val="minor"/>
      </rPr>
      <t xml:space="preserve"> - Maternal, Infant, and Early Childhood Home Visiting (MIECHV)
</t>
    </r>
    <r>
      <rPr>
        <b/>
        <sz val="11"/>
        <color theme="1"/>
        <rFont val="Calibri"/>
        <family val="2"/>
        <scheme val="minor"/>
      </rPr>
      <t>99</t>
    </r>
    <r>
      <rPr>
        <sz val="11"/>
        <color theme="1"/>
        <rFont val="Calibri"/>
        <family val="2"/>
        <scheme val="minor"/>
      </rPr>
      <t xml:space="preserve"> - Other
</t>
    </r>
  </si>
  <si>
    <r>
      <t>Infants</t>
    </r>
    <r>
      <rPr>
        <sz val="11"/>
        <color theme="1"/>
        <rFont val="Calibri"/>
        <family val="2"/>
        <scheme val="minor"/>
      </rPr>
      <t xml:space="preserve"> - Meets or exceeds standards for infants
</t>
    </r>
    <r>
      <rPr>
        <b/>
        <sz val="11"/>
        <color theme="1"/>
        <rFont val="Calibri"/>
        <family val="2"/>
        <scheme val="minor"/>
      </rPr>
      <t>Toddlers</t>
    </r>
    <r>
      <rPr>
        <sz val="11"/>
        <color theme="1"/>
        <rFont val="Calibri"/>
        <family val="2"/>
        <scheme val="minor"/>
      </rPr>
      <t xml:space="preserve"> - Meets or exceeds standards for toddlers
</t>
    </r>
    <r>
      <rPr>
        <b/>
        <sz val="11"/>
        <color theme="1"/>
        <rFont val="Calibri"/>
        <family val="2"/>
        <scheme val="minor"/>
      </rPr>
      <t>Preschoolers</t>
    </r>
    <r>
      <rPr>
        <sz val="11"/>
        <color theme="1"/>
        <rFont val="Calibri"/>
        <family val="2"/>
        <scheme val="minor"/>
      </rPr>
      <t xml:space="preserve"> - Meets or exceeds standards for preschoolers
</t>
    </r>
    <r>
      <rPr>
        <b/>
        <sz val="11"/>
        <color theme="1"/>
        <rFont val="Calibri"/>
        <family val="2"/>
        <scheme val="minor"/>
      </rPr>
      <t>School-Age</t>
    </r>
    <r>
      <rPr>
        <sz val="11"/>
        <color theme="1"/>
        <rFont val="Calibri"/>
        <family val="2"/>
        <scheme val="minor"/>
      </rPr>
      <t xml:space="preserve"> - Meets or exceeds standards for school-age
</t>
    </r>
  </si>
  <si>
    <r>
      <t>01</t>
    </r>
    <r>
      <rPr>
        <sz val="11"/>
        <color theme="1"/>
        <rFont val="Calibri"/>
        <family val="2"/>
        <scheme val="minor"/>
      </rPr>
      <t xml:space="preserve"> - Head Start
</t>
    </r>
    <r>
      <rPr>
        <b/>
        <sz val="11"/>
        <color theme="1"/>
        <rFont val="Calibri"/>
        <family val="2"/>
        <scheme val="minor"/>
      </rPr>
      <t>02</t>
    </r>
    <r>
      <rPr>
        <sz val="11"/>
        <color theme="1"/>
        <rFont val="Calibri"/>
        <family val="2"/>
        <scheme val="minor"/>
      </rPr>
      <t xml:space="preserve"> - Early Head Start
</t>
    </r>
    <r>
      <rPr>
        <b/>
        <sz val="11"/>
        <color theme="1"/>
        <rFont val="Calibri"/>
        <family val="2"/>
        <scheme val="minor"/>
      </rPr>
      <t>03</t>
    </r>
    <r>
      <rPr>
        <sz val="11"/>
        <color theme="1"/>
        <rFont val="Calibri"/>
        <family val="2"/>
        <scheme val="minor"/>
      </rPr>
      <t xml:space="preserve"> - Office of Child Care-CCDF
</t>
    </r>
    <r>
      <rPr>
        <b/>
        <sz val="11"/>
        <color theme="1"/>
        <rFont val="Calibri"/>
        <family val="2"/>
        <scheme val="minor"/>
      </rPr>
      <t>04</t>
    </r>
    <r>
      <rPr>
        <sz val="11"/>
        <color theme="1"/>
        <rFont val="Calibri"/>
        <family val="2"/>
        <scheme val="minor"/>
      </rPr>
      <t xml:space="preserve"> - Early Intervention Part C
</t>
    </r>
    <r>
      <rPr>
        <b/>
        <sz val="11"/>
        <color theme="1"/>
        <rFont val="Calibri"/>
        <family val="2"/>
        <scheme val="minor"/>
      </rPr>
      <t>05</t>
    </r>
    <r>
      <rPr>
        <sz val="11"/>
        <color theme="1"/>
        <rFont val="Calibri"/>
        <family val="2"/>
        <scheme val="minor"/>
      </rPr>
      <t xml:space="preserve"> - Special Education Preschool Part B 619
</t>
    </r>
    <r>
      <rPr>
        <b/>
        <sz val="11"/>
        <color theme="1"/>
        <rFont val="Calibri"/>
        <family val="2"/>
        <scheme val="minor"/>
      </rPr>
      <t>99</t>
    </r>
    <r>
      <rPr>
        <sz val="11"/>
        <color theme="1"/>
        <rFont val="Calibri"/>
        <family val="2"/>
        <scheme val="minor"/>
      </rPr>
      <t xml:space="preserve"> - Other
</t>
    </r>
  </si>
  <si>
    <r>
      <t>Baseline</t>
    </r>
    <r>
      <rPr>
        <sz val="11"/>
        <color theme="1"/>
        <rFont val="Calibri"/>
        <family val="2"/>
        <scheme val="minor"/>
      </rPr>
      <t xml:space="preserve"> - Baseline - at entry
</t>
    </r>
    <r>
      <rPr>
        <b/>
        <sz val="11"/>
        <color theme="1"/>
        <rFont val="Calibri"/>
        <family val="2"/>
        <scheme val="minor"/>
      </rPr>
      <t>AtExit</t>
    </r>
    <r>
      <rPr>
        <sz val="11"/>
        <color theme="1"/>
        <rFont val="Calibri"/>
        <family val="2"/>
        <scheme val="minor"/>
      </rPr>
      <t xml:space="preserve"> - At exit
</t>
    </r>
    <r>
      <rPr>
        <b/>
        <sz val="11"/>
        <color theme="1"/>
        <rFont val="Calibri"/>
        <family val="2"/>
        <scheme val="minor"/>
      </rPr>
      <t>No</t>
    </r>
    <r>
      <rPr>
        <sz val="11"/>
        <color theme="1"/>
        <rFont val="Calibri"/>
        <family val="2"/>
        <scheme val="minor"/>
      </rPr>
      <t xml:space="preserve"> - No
</t>
    </r>
    <r>
      <rPr>
        <b/>
        <sz val="11"/>
        <color theme="1"/>
        <rFont val="Calibri"/>
        <family val="2"/>
        <scheme val="minor"/>
      </rPr>
      <t>Other</t>
    </r>
    <r>
      <rPr>
        <sz val="11"/>
        <color theme="1"/>
        <rFont val="Calibri"/>
        <family val="2"/>
        <scheme val="minor"/>
      </rPr>
      <t xml:space="preserve"> - Other
</t>
    </r>
  </si>
  <si>
    <r>
      <t>Baseline</t>
    </r>
    <r>
      <rPr>
        <sz val="11"/>
        <color theme="1"/>
        <rFont val="Calibri"/>
        <family val="2"/>
        <scheme val="minor"/>
      </rPr>
      <t xml:space="preserve"> - Baseline - at entry
</t>
    </r>
    <r>
      <rPr>
        <b/>
        <sz val="11"/>
        <color theme="1"/>
        <rFont val="Calibri"/>
        <family val="2"/>
        <scheme val="minor"/>
      </rPr>
      <t>AtExit</t>
    </r>
    <r>
      <rPr>
        <sz val="11"/>
        <color theme="1"/>
        <rFont val="Calibri"/>
        <family val="2"/>
        <scheme val="minor"/>
      </rPr>
      <t xml:space="preserve"> - At exit
</t>
    </r>
    <r>
      <rPr>
        <b/>
        <sz val="11"/>
        <color theme="1"/>
        <rFont val="Calibri"/>
        <family val="2"/>
        <scheme val="minor"/>
      </rPr>
      <t>NA</t>
    </r>
    <r>
      <rPr>
        <sz val="11"/>
        <color theme="1"/>
        <rFont val="Calibri"/>
        <family val="2"/>
        <scheme val="minor"/>
      </rPr>
      <t xml:space="preserve"> - Not applicable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</si>
  <si>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Child Growth and Development
</t>
    </r>
    <r>
      <rPr>
        <b/>
        <sz val="11"/>
        <color theme="1"/>
        <rFont val="Calibri"/>
        <family val="2"/>
        <scheme val="minor"/>
      </rPr>
      <t>02</t>
    </r>
    <r>
      <rPr>
        <sz val="11"/>
        <color theme="1"/>
        <rFont val="Calibri"/>
        <family val="2"/>
        <scheme val="minor"/>
      </rPr>
      <t xml:space="preserve"> - Health Safety and Nutrition
</t>
    </r>
    <r>
      <rPr>
        <b/>
        <sz val="11"/>
        <color theme="1"/>
        <rFont val="Calibri"/>
        <family val="2"/>
        <scheme val="minor"/>
      </rPr>
      <t>03</t>
    </r>
    <r>
      <rPr>
        <sz val="11"/>
        <color theme="1"/>
        <rFont val="Calibri"/>
        <family val="2"/>
        <scheme val="minor"/>
      </rPr>
      <t xml:space="preserve"> - Teaching and Learning
</t>
    </r>
    <r>
      <rPr>
        <b/>
        <sz val="11"/>
        <color theme="1"/>
        <rFont val="Calibri"/>
        <family val="2"/>
        <scheme val="minor"/>
      </rPr>
      <t>04</t>
    </r>
    <r>
      <rPr>
        <sz val="11"/>
        <color theme="1"/>
        <rFont val="Calibri"/>
        <family val="2"/>
        <scheme val="minor"/>
      </rPr>
      <t xml:space="preserve"> - Observing
</t>
    </r>
    <r>
      <rPr>
        <b/>
        <sz val="11"/>
        <color theme="1"/>
        <rFont val="Calibri"/>
        <family val="2"/>
        <scheme val="minor"/>
      </rPr>
      <t>05</t>
    </r>
    <r>
      <rPr>
        <sz val="11"/>
        <color theme="1"/>
        <rFont val="Calibri"/>
        <family val="2"/>
        <scheme val="minor"/>
      </rPr>
      <t xml:space="preserve"> - Documenting and Assessing Family and Community Relationships
</t>
    </r>
    <r>
      <rPr>
        <b/>
        <sz val="11"/>
        <color theme="1"/>
        <rFont val="Calibri"/>
        <family val="2"/>
        <scheme val="minor"/>
      </rPr>
      <t>06</t>
    </r>
    <r>
      <rPr>
        <sz val="11"/>
        <color theme="1"/>
        <rFont val="Calibri"/>
        <family val="2"/>
        <scheme val="minor"/>
      </rPr>
      <t xml:space="preserve"> - Administration and Management
</t>
    </r>
    <r>
      <rPr>
        <b/>
        <sz val="11"/>
        <color theme="1"/>
        <rFont val="Calibri"/>
        <family val="2"/>
        <scheme val="minor"/>
      </rPr>
      <t>07</t>
    </r>
    <r>
      <rPr>
        <sz val="11"/>
        <color theme="1"/>
        <rFont val="Calibri"/>
        <family val="2"/>
        <scheme val="minor"/>
      </rPr>
      <t xml:space="preserve"> - Early Childhood Education Profession and Policy
</t>
    </r>
    <r>
      <rPr>
        <b/>
        <sz val="11"/>
        <color theme="1"/>
        <rFont val="Calibri"/>
        <family val="2"/>
        <scheme val="minor"/>
      </rPr>
      <t>99</t>
    </r>
    <r>
      <rPr>
        <sz val="11"/>
        <color theme="1"/>
        <rFont val="Calibri"/>
        <family val="2"/>
        <scheme val="minor"/>
      </rPr>
      <t xml:space="preserve"> - Other
</t>
    </r>
  </si>
  <si>
    <r>
      <t>Age</t>
    </r>
    <r>
      <rPr>
        <sz val="11"/>
        <color theme="1"/>
        <rFont val="Calibri"/>
        <family val="2"/>
        <scheme val="minor"/>
      </rPr>
      <t xml:space="preserve"> - Age
</t>
    </r>
    <r>
      <rPr>
        <b/>
        <sz val="11"/>
        <color theme="1"/>
        <rFont val="Calibri"/>
        <family val="2"/>
        <scheme val="minor"/>
      </rPr>
      <t>FamilyIncome</t>
    </r>
    <r>
      <rPr>
        <sz val="11"/>
        <color theme="1"/>
        <rFont val="Calibri"/>
        <family val="2"/>
        <scheme val="minor"/>
      </rPr>
      <t xml:space="preserve"> - Family income
</t>
    </r>
    <r>
      <rPr>
        <b/>
        <sz val="11"/>
        <color theme="1"/>
        <rFont val="Calibri"/>
        <family val="2"/>
        <scheme val="minor"/>
      </rPr>
      <t>DisabilityStatus</t>
    </r>
    <r>
      <rPr>
        <sz val="11"/>
        <color theme="1"/>
        <rFont val="Calibri"/>
        <family val="2"/>
        <scheme val="minor"/>
      </rPr>
      <t xml:space="preserve"> - Disability Status
</t>
    </r>
    <r>
      <rPr>
        <b/>
        <sz val="11"/>
        <color theme="1"/>
        <rFont val="Calibri"/>
        <family val="2"/>
        <scheme val="minor"/>
      </rPr>
      <t>SSSI</t>
    </r>
    <r>
      <rPr>
        <sz val="11"/>
        <color theme="1"/>
        <rFont val="Calibri"/>
        <family val="2"/>
        <scheme val="minor"/>
      </rPr>
      <t xml:space="preserve"> - Supplemental social security income
</t>
    </r>
    <r>
      <rPr>
        <b/>
        <sz val="11"/>
        <color theme="1"/>
        <rFont val="Calibri"/>
        <family val="2"/>
        <scheme val="minor"/>
      </rPr>
      <t>WIC</t>
    </r>
    <r>
      <rPr>
        <sz val="11"/>
        <color theme="1"/>
        <rFont val="Calibri"/>
        <family val="2"/>
        <scheme val="minor"/>
      </rPr>
      <t xml:space="preserve"> - Women, infants, and children
</t>
    </r>
    <r>
      <rPr>
        <b/>
        <sz val="11"/>
        <color theme="1"/>
        <rFont val="Calibri"/>
        <family val="2"/>
        <scheme val="minor"/>
      </rPr>
      <t>TANF</t>
    </r>
    <r>
      <rPr>
        <sz val="11"/>
        <color theme="1"/>
        <rFont val="Calibri"/>
        <family val="2"/>
        <scheme val="minor"/>
      </rPr>
      <t xml:space="preserve"> - Temporary assistance for needy families
</t>
    </r>
    <r>
      <rPr>
        <b/>
        <sz val="11"/>
        <color theme="1"/>
        <rFont val="Calibri"/>
        <family val="2"/>
        <scheme val="minor"/>
      </rPr>
      <t>OtherPublicAssistance</t>
    </r>
    <r>
      <rPr>
        <sz val="11"/>
        <color theme="1"/>
        <rFont val="Calibri"/>
        <family val="2"/>
        <scheme val="minor"/>
      </rPr>
      <t xml:space="preserve"> - Other public assistance
</t>
    </r>
    <r>
      <rPr>
        <b/>
        <sz val="11"/>
        <color theme="1"/>
        <rFont val="Calibri"/>
        <family val="2"/>
        <scheme val="minor"/>
      </rPr>
      <t>Foster</t>
    </r>
    <r>
      <rPr>
        <sz val="11"/>
        <color theme="1"/>
        <rFont val="Calibri"/>
        <family val="2"/>
        <scheme val="minor"/>
      </rPr>
      <t xml:space="preserve"> - Foster
</t>
    </r>
    <r>
      <rPr>
        <b/>
        <sz val="11"/>
        <color theme="1"/>
        <rFont val="Calibri"/>
        <family val="2"/>
        <scheme val="minor"/>
      </rPr>
      <t>MilitaryFamily</t>
    </r>
    <r>
      <rPr>
        <sz val="11"/>
        <color theme="1"/>
        <rFont val="Calibri"/>
        <family val="2"/>
        <scheme val="minor"/>
      </rPr>
      <t xml:space="preserve"> - Military family
</t>
    </r>
    <r>
      <rPr>
        <b/>
        <sz val="11"/>
        <color theme="1"/>
        <rFont val="Calibri"/>
        <family val="2"/>
        <scheme val="minor"/>
      </rPr>
      <t>ELL</t>
    </r>
    <r>
      <rPr>
        <sz val="11"/>
        <color theme="1"/>
        <rFont val="Calibri"/>
        <family val="2"/>
        <scheme val="minor"/>
      </rPr>
      <t xml:space="preserve"> - Home language other than English
</t>
    </r>
    <r>
      <rPr>
        <b/>
        <sz val="11"/>
        <color theme="1"/>
        <rFont val="Calibri"/>
        <family val="2"/>
        <scheme val="minor"/>
      </rPr>
      <t>OtherFamilyRisk</t>
    </r>
    <r>
      <rPr>
        <sz val="11"/>
        <color theme="1"/>
        <rFont val="Calibri"/>
        <family val="2"/>
        <scheme val="minor"/>
      </rPr>
      <t xml:space="preserve"> - Other family risk factors
</t>
    </r>
    <r>
      <rPr>
        <b/>
        <sz val="11"/>
        <color theme="1"/>
        <rFont val="Calibri"/>
        <family val="2"/>
        <scheme val="minor"/>
      </rPr>
      <t>OtherChildRisk</t>
    </r>
    <r>
      <rPr>
        <sz val="11"/>
        <color theme="1"/>
        <rFont val="Calibri"/>
        <family val="2"/>
        <scheme val="minor"/>
      </rPr>
      <t xml:space="preserve"> - Other child risk factors
</t>
    </r>
    <r>
      <rPr>
        <b/>
        <sz val="11"/>
        <color theme="1"/>
        <rFont val="Calibri"/>
        <family val="2"/>
        <scheme val="minor"/>
      </rPr>
      <t>AtRisk</t>
    </r>
    <r>
      <rPr>
        <sz val="11"/>
        <color theme="1"/>
        <rFont val="Calibri"/>
        <family val="2"/>
        <scheme val="minor"/>
      </rPr>
      <t xml:space="preserve"> - At-risk of having a substantial developmental delay
</t>
    </r>
    <r>
      <rPr>
        <b/>
        <sz val="11"/>
        <color theme="1"/>
        <rFont val="Calibri"/>
        <family val="2"/>
        <scheme val="minor"/>
      </rPr>
      <t>Other</t>
    </r>
    <r>
      <rPr>
        <sz val="11"/>
        <color theme="1"/>
        <rFont val="Calibri"/>
        <family val="2"/>
        <scheme val="minor"/>
      </rPr>
      <t xml:space="preserve"> - Other
</t>
    </r>
  </si>
  <si>
    <r>
      <t>Pending</t>
    </r>
    <r>
      <rPr>
        <sz val="11"/>
        <color theme="1"/>
        <rFont val="Calibri"/>
        <family val="2"/>
        <scheme val="minor"/>
      </rPr>
      <t xml:space="preserve"> - Pending
</t>
    </r>
    <r>
      <rPr>
        <b/>
        <sz val="11"/>
        <color theme="1"/>
        <rFont val="Calibri"/>
        <family val="2"/>
        <scheme val="minor"/>
      </rPr>
      <t>NotEligible</t>
    </r>
    <r>
      <rPr>
        <sz val="11"/>
        <color theme="1"/>
        <rFont val="Calibri"/>
        <family val="2"/>
        <scheme val="minor"/>
      </rPr>
      <t xml:space="preserve"> - Not found eligible
</t>
    </r>
    <r>
      <rPr>
        <b/>
        <sz val="11"/>
        <color theme="1"/>
        <rFont val="Calibri"/>
        <family val="2"/>
        <scheme val="minor"/>
      </rPr>
      <t>Eligible</t>
    </r>
    <r>
      <rPr>
        <sz val="11"/>
        <color theme="1"/>
        <rFont val="Calibri"/>
        <family val="2"/>
        <scheme val="minor"/>
      </rPr>
      <t xml:space="preserve"> - Found eligible
</t>
    </r>
    <r>
      <rPr>
        <b/>
        <sz val="11"/>
        <color theme="1"/>
        <rFont val="Calibri"/>
        <family val="2"/>
        <scheme val="minor"/>
      </rPr>
      <t>NotActive</t>
    </r>
    <r>
      <rPr>
        <sz val="11"/>
        <color theme="1"/>
        <rFont val="Calibri"/>
        <family val="2"/>
        <scheme val="minor"/>
      </rPr>
      <t xml:space="preserve"> - Not yet active
</t>
    </r>
  </si>
  <si>
    <r>
      <t>Unlicensed</t>
    </r>
    <r>
      <rPr>
        <sz val="11"/>
        <color theme="1"/>
        <rFont val="Calibri"/>
        <family val="2"/>
        <scheme val="minor"/>
      </rPr>
      <t xml:space="preserve"> - Unlicensed
</t>
    </r>
    <r>
      <rPr>
        <b/>
        <sz val="11"/>
        <color theme="1"/>
        <rFont val="Calibri"/>
        <family val="2"/>
        <scheme val="minor"/>
      </rPr>
      <t>ExemptRegulated</t>
    </r>
    <r>
      <rPr>
        <sz val="11"/>
        <color theme="1"/>
        <rFont val="Calibri"/>
        <family val="2"/>
        <scheme val="minor"/>
      </rPr>
      <t xml:space="preserve"> - Exempt - regulated
</t>
    </r>
    <r>
      <rPr>
        <b/>
        <sz val="11"/>
        <color theme="1"/>
        <rFont val="Calibri"/>
        <family val="2"/>
        <scheme val="minor"/>
      </rPr>
      <t>ExemptUnregulated</t>
    </r>
    <r>
      <rPr>
        <sz val="11"/>
        <color theme="1"/>
        <rFont val="Calibri"/>
        <family val="2"/>
        <scheme val="minor"/>
      </rPr>
      <t xml:space="preserve"> - Exempt - unregulated
</t>
    </r>
    <r>
      <rPr>
        <b/>
        <sz val="11"/>
        <color theme="1"/>
        <rFont val="Calibri"/>
        <family val="2"/>
        <scheme val="minor"/>
      </rPr>
      <t>Licensed</t>
    </r>
    <r>
      <rPr>
        <sz val="11"/>
        <color theme="1"/>
        <rFont val="Calibri"/>
        <family val="2"/>
        <scheme val="minor"/>
      </rPr>
      <t xml:space="preserve"> - Licensed
</t>
    </r>
  </si>
  <si>
    <r>
      <t>1</t>
    </r>
    <r>
      <rPr>
        <sz val="11"/>
        <color theme="1"/>
        <rFont val="Calibri"/>
        <family val="2"/>
        <scheme val="minor"/>
      </rPr>
      <t xml:space="preserve"> - Counties in metro areas of 1 million population or more
</t>
    </r>
    <r>
      <rPr>
        <b/>
        <sz val="11"/>
        <color theme="1"/>
        <rFont val="Calibri"/>
        <family val="2"/>
        <scheme val="minor"/>
      </rPr>
      <t>2</t>
    </r>
    <r>
      <rPr>
        <sz val="11"/>
        <color theme="1"/>
        <rFont val="Calibri"/>
        <family val="2"/>
        <scheme val="minor"/>
      </rPr>
      <t xml:space="preserve"> - Counties in metro areas of 250,000 to 1 million population
</t>
    </r>
    <r>
      <rPr>
        <b/>
        <sz val="11"/>
        <color theme="1"/>
        <rFont val="Calibri"/>
        <family val="2"/>
        <scheme val="minor"/>
      </rPr>
      <t>3</t>
    </r>
    <r>
      <rPr>
        <sz val="11"/>
        <color theme="1"/>
        <rFont val="Calibri"/>
        <family val="2"/>
        <scheme val="minor"/>
      </rPr>
      <t xml:space="preserve"> - Counties in metro areas of fewer than 250,000 population
</t>
    </r>
    <r>
      <rPr>
        <b/>
        <sz val="11"/>
        <color theme="1"/>
        <rFont val="Calibri"/>
        <family val="2"/>
        <scheme val="minor"/>
      </rPr>
      <t>4</t>
    </r>
    <r>
      <rPr>
        <sz val="11"/>
        <color theme="1"/>
        <rFont val="Calibri"/>
        <family val="2"/>
        <scheme val="minor"/>
      </rPr>
      <t xml:space="preserve"> - Urban population of 20,000 or more, adjacent to a metro area
</t>
    </r>
    <r>
      <rPr>
        <b/>
        <sz val="11"/>
        <color theme="1"/>
        <rFont val="Calibri"/>
        <family val="2"/>
        <scheme val="minor"/>
      </rPr>
      <t>5</t>
    </r>
    <r>
      <rPr>
        <sz val="11"/>
        <color theme="1"/>
        <rFont val="Calibri"/>
        <family val="2"/>
        <scheme val="minor"/>
      </rPr>
      <t xml:space="preserve"> - Urban population of 20,000 or more, not adjacent to a metro area
</t>
    </r>
    <r>
      <rPr>
        <b/>
        <sz val="11"/>
        <color theme="1"/>
        <rFont val="Calibri"/>
        <family val="2"/>
        <scheme val="minor"/>
      </rPr>
      <t>6</t>
    </r>
    <r>
      <rPr>
        <sz val="11"/>
        <color theme="1"/>
        <rFont val="Calibri"/>
        <family val="2"/>
        <scheme val="minor"/>
      </rPr>
      <t xml:space="preserve"> - Urban population of 2,500 to 19,999, adjacent to a metro area
</t>
    </r>
    <r>
      <rPr>
        <b/>
        <sz val="11"/>
        <color theme="1"/>
        <rFont val="Calibri"/>
        <family val="2"/>
        <scheme val="minor"/>
      </rPr>
      <t>7</t>
    </r>
    <r>
      <rPr>
        <sz val="11"/>
        <color theme="1"/>
        <rFont val="Calibri"/>
        <family val="2"/>
        <scheme val="minor"/>
      </rPr>
      <t xml:space="preserve"> - Urban population of 2,500 to 19,999, not adjacent to a metro area
</t>
    </r>
    <r>
      <rPr>
        <b/>
        <sz val="11"/>
        <color theme="1"/>
        <rFont val="Calibri"/>
        <family val="2"/>
        <scheme val="minor"/>
      </rPr>
      <t>8</t>
    </r>
    <r>
      <rPr>
        <sz val="11"/>
        <color theme="1"/>
        <rFont val="Calibri"/>
        <family val="2"/>
        <scheme val="minor"/>
      </rPr>
      <t xml:space="preserve"> - Completely rural or less than 2,500 urban population, adjacent to a metro area
</t>
    </r>
    <r>
      <rPr>
        <b/>
        <sz val="11"/>
        <color theme="1"/>
        <rFont val="Calibri"/>
        <family val="2"/>
        <scheme val="minor"/>
      </rPr>
      <t>9</t>
    </r>
    <r>
      <rPr>
        <sz val="11"/>
        <color theme="1"/>
        <rFont val="Calibri"/>
        <family val="2"/>
        <scheme val="minor"/>
      </rPr>
      <t xml:space="preserve"> - Completely rural or less than 2,500 urban population, not adjacent to a metro area
</t>
    </r>
  </si>
  <si>
    <r>
      <t>AdministrativeSupportStaff</t>
    </r>
    <r>
      <rPr>
        <sz val="11"/>
        <color theme="1"/>
        <rFont val="Calibri"/>
        <family val="2"/>
        <scheme val="minor"/>
      </rPr>
      <t xml:space="preserve"> - Administrative Support Staff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AllOtherSupportStaff</t>
    </r>
    <r>
      <rPr>
        <sz val="11"/>
        <color theme="1"/>
        <rFont val="Calibri"/>
        <family val="2"/>
        <scheme val="minor"/>
      </rPr>
      <t xml:space="preserve"> - All Other Support Staff 
</t>
    </r>
    <r>
      <rPr>
        <b/>
        <sz val="11"/>
        <color theme="1"/>
        <rFont val="Calibri"/>
        <family val="2"/>
        <scheme val="minor"/>
      </rPr>
      <t>BehavioralSpecialists</t>
    </r>
    <r>
      <rPr>
        <sz val="11"/>
        <color theme="1"/>
        <rFont val="Calibri"/>
        <family val="2"/>
        <scheme val="minor"/>
      </rPr>
      <t xml:space="preserve"> - Behavioral Specialists
</t>
    </r>
    <r>
      <rPr>
        <b/>
        <sz val="11"/>
        <color theme="1"/>
        <rFont val="Calibri"/>
        <family val="2"/>
        <scheme val="minor"/>
      </rPr>
      <t>ELAssistantTeachers</t>
    </r>
    <r>
      <rPr>
        <sz val="11"/>
        <color theme="1"/>
        <rFont val="Calibri"/>
        <family val="2"/>
        <scheme val="minor"/>
      </rPr>
      <t xml:space="preserve"> - Early Leaning Assistant Teachers
</t>
    </r>
    <r>
      <rPr>
        <b/>
        <sz val="11"/>
        <color theme="1"/>
        <rFont val="Calibri"/>
        <family val="2"/>
        <scheme val="minor"/>
      </rPr>
      <t>ELTeachers</t>
    </r>
    <r>
      <rPr>
        <sz val="11"/>
        <color theme="1"/>
        <rFont val="Calibri"/>
        <family val="2"/>
        <scheme val="minor"/>
      </rPr>
      <t xml:space="preserve"> - Early Learning Teachers
</t>
    </r>
    <r>
      <rPr>
        <b/>
        <sz val="11"/>
        <color theme="1"/>
        <rFont val="Calibri"/>
        <family val="2"/>
        <scheme val="minor"/>
      </rPr>
      <t>ElementaryTeachers</t>
    </r>
    <r>
      <rPr>
        <sz val="11"/>
        <color theme="1"/>
        <rFont val="Calibri"/>
        <family val="2"/>
        <scheme val="minor"/>
      </rPr>
      <t xml:space="preserve"> - Elementary Teachers
</t>
    </r>
    <r>
      <rPr>
        <b/>
        <sz val="11"/>
        <color theme="1"/>
        <rFont val="Calibri"/>
        <family val="2"/>
        <scheme val="minor"/>
      </rPr>
      <t>FamilyServiceWorkers</t>
    </r>
    <r>
      <rPr>
        <sz val="11"/>
        <color theme="1"/>
        <rFont val="Calibri"/>
        <family val="2"/>
        <scheme val="minor"/>
      </rPr>
      <t xml:space="preserve"> - Family Service Workers
</t>
    </r>
    <r>
      <rPr>
        <b/>
        <sz val="11"/>
        <color theme="1"/>
        <rFont val="Calibri"/>
        <family val="2"/>
        <scheme val="minor"/>
      </rPr>
      <t>HealthSpecialists</t>
    </r>
    <r>
      <rPr>
        <sz val="11"/>
        <color theme="1"/>
        <rFont val="Calibri"/>
        <family val="2"/>
        <scheme val="minor"/>
      </rPr>
      <t xml:space="preserve"> - Health Specialists
</t>
    </r>
    <r>
      <rPr>
        <b/>
        <sz val="11"/>
        <color theme="1"/>
        <rFont val="Calibri"/>
        <family val="2"/>
        <scheme val="minor"/>
      </rPr>
      <t>HomeVisitors</t>
    </r>
    <r>
      <rPr>
        <sz val="11"/>
        <color theme="1"/>
        <rFont val="Calibri"/>
        <family val="2"/>
        <scheme val="minor"/>
      </rPr>
      <t xml:space="preserve"> - Home Visitors
</t>
    </r>
    <r>
      <rPr>
        <b/>
        <sz val="11"/>
        <color theme="1"/>
        <rFont val="Calibri"/>
        <family val="2"/>
        <scheme val="minor"/>
      </rPr>
      <t>InstructionalCoordinators</t>
    </r>
    <r>
      <rPr>
        <sz val="11"/>
        <color theme="1"/>
        <rFont val="Calibri"/>
        <family val="2"/>
        <scheme val="minor"/>
      </rPr>
      <t xml:space="preserve"> - Instructional Coordinators
</t>
    </r>
    <r>
      <rPr>
        <b/>
        <sz val="11"/>
        <color theme="1"/>
        <rFont val="Calibri"/>
        <family val="2"/>
        <scheme val="minor"/>
      </rPr>
      <t>KindergartenTeachers</t>
    </r>
    <r>
      <rPr>
        <sz val="11"/>
        <color theme="1"/>
        <rFont val="Calibri"/>
        <family val="2"/>
        <scheme val="minor"/>
      </rPr>
      <t xml:space="preserve"> - Kindergarten Teachers
</t>
    </r>
    <r>
      <rPr>
        <b/>
        <sz val="11"/>
        <color theme="1"/>
        <rFont val="Calibri"/>
        <family val="2"/>
        <scheme val="minor"/>
      </rPr>
      <t>LibraryMediaSpecialists</t>
    </r>
    <r>
      <rPr>
        <sz val="11"/>
        <color theme="1"/>
        <rFont val="Calibri"/>
        <family val="2"/>
        <scheme val="minor"/>
      </rPr>
      <t xml:space="preserve"> - Librarians/Media Specialists
</t>
    </r>
    <r>
      <rPr>
        <b/>
        <sz val="11"/>
        <color theme="1"/>
        <rFont val="Calibri"/>
        <family val="2"/>
        <scheme val="minor"/>
      </rPr>
      <t>LibraryMediaSupportStaff</t>
    </r>
    <r>
      <rPr>
        <sz val="11"/>
        <color theme="1"/>
        <rFont val="Calibri"/>
        <family val="2"/>
        <scheme val="minor"/>
      </rPr>
      <t xml:space="preserve"> - Library/Media Support Staff
</t>
    </r>
    <r>
      <rPr>
        <b/>
        <sz val="11"/>
        <color theme="1"/>
        <rFont val="Calibri"/>
        <family val="2"/>
        <scheme val="minor"/>
      </rPr>
      <t>MentalHealthSpecialists</t>
    </r>
    <r>
      <rPr>
        <sz val="11"/>
        <color theme="1"/>
        <rFont val="Calibri"/>
        <family val="2"/>
        <scheme val="minor"/>
      </rPr>
      <t xml:space="preserve"> - Mental Health Specialists
</t>
    </r>
    <r>
      <rPr>
        <b/>
        <sz val="11"/>
        <color theme="1"/>
        <rFont val="Calibri"/>
        <family val="2"/>
        <scheme val="minor"/>
      </rPr>
      <t>NutritionSpecialists</t>
    </r>
    <r>
      <rPr>
        <sz val="11"/>
        <color theme="1"/>
        <rFont val="Calibri"/>
        <family val="2"/>
        <scheme val="minor"/>
      </rPr>
      <t xml:space="preserve"> - Nutrition Specialists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PartCEarlyInterventionists</t>
    </r>
    <r>
      <rPr>
        <sz val="11"/>
        <color theme="1"/>
        <rFont val="Calibri"/>
        <family val="2"/>
        <scheme val="minor"/>
      </rPr>
      <t xml:space="preserve"> - Part C Early Interventionists
</t>
    </r>
    <r>
      <rPr>
        <b/>
        <sz val="11"/>
        <color theme="1"/>
        <rFont val="Calibri"/>
        <family val="2"/>
        <scheme val="minor"/>
      </rPr>
      <t>PartCServiceCoordinators</t>
    </r>
    <r>
      <rPr>
        <sz val="11"/>
        <color theme="1"/>
        <rFont val="Calibri"/>
        <family val="2"/>
        <scheme val="minor"/>
      </rPr>
      <t xml:space="preserve"> - Part C Service Coordinators
</t>
    </r>
    <r>
      <rPr>
        <b/>
        <sz val="11"/>
        <color theme="1"/>
        <rFont val="Calibri"/>
        <family val="2"/>
        <scheme val="minor"/>
      </rPr>
      <t>SchoolCounselors</t>
    </r>
    <r>
      <rPr>
        <sz val="11"/>
        <color theme="1"/>
        <rFont val="Calibri"/>
        <family val="2"/>
        <scheme val="minor"/>
      </rPr>
      <t xml:space="preserve"> - School Counselors
</t>
    </r>
    <r>
      <rPr>
        <b/>
        <sz val="11"/>
        <color theme="1"/>
        <rFont val="Calibri"/>
        <family val="2"/>
        <scheme val="minor"/>
      </rPr>
      <t>SecondaryTeachers</t>
    </r>
    <r>
      <rPr>
        <sz val="11"/>
        <color theme="1"/>
        <rFont val="Calibri"/>
        <family val="2"/>
        <scheme val="minor"/>
      </rPr>
      <t xml:space="preserve"> - Secondary Teachers
</t>
    </r>
    <r>
      <rPr>
        <b/>
        <sz val="11"/>
        <color theme="1"/>
        <rFont val="Calibri"/>
        <family val="2"/>
        <scheme val="minor"/>
      </rPr>
      <t>SocialWorkers</t>
    </r>
    <r>
      <rPr>
        <sz val="11"/>
        <color theme="1"/>
        <rFont val="Calibri"/>
        <family val="2"/>
        <scheme val="minor"/>
      </rPr>
      <t xml:space="preserve"> - Social Workers
</t>
    </r>
    <r>
      <rPr>
        <b/>
        <sz val="11"/>
        <color theme="1"/>
        <rFont val="Calibri"/>
        <family val="2"/>
        <scheme val="minor"/>
      </rPr>
      <t>SpecialEducationTeachers</t>
    </r>
    <r>
      <rPr>
        <sz val="11"/>
        <color theme="1"/>
        <rFont val="Calibri"/>
        <family val="2"/>
        <scheme val="minor"/>
      </rPr>
      <t xml:space="preserve"> - Special Education Teachers
</t>
    </r>
    <r>
      <rPr>
        <b/>
        <sz val="11"/>
        <color theme="1"/>
        <rFont val="Calibri"/>
        <family val="2"/>
        <scheme val="minor"/>
      </rPr>
      <t>SpecialNeedsSpecialists</t>
    </r>
    <r>
      <rPr>
        <sz val="11"/>
        <color theme="1"/>
        <rFont val="Calibri"/>
        <family val="2"/>
        <scheme val="minor"/>
      </rPr>
      <t xml:space="preserve"> - Special Needs Specialists
</t>
    </r>
    <r>
      <rPr>
        <b/>
        <sz val="11"/>
        <color theme="1"/>
        <rFont val="Calibri"/>
        <family val="2"/>
        <scheme val="minor"/>
      </rPr>
      <t>StudentSupportServicesStaff</t>
    </r>
    <r>
      <rPr>
        <sz val="11"/>
        <color theme="1"/>
        <rFont val="Calibri"/>
        <family val="2"/>
        <scheme val="minor"/>
      </rPr>
      <t xml:space="preserve"> - Student Support Services Staff
</t>
    </r>
    <r>
      <rPr>
        <b/>
        <sz val="11"/>
        <color theme="1"/>
        <rFont val="Calibri"/>
        <family val="2"/>
        <scheme val="minor"/>
      </rPr>
      <t>UngradedTeachers</t>
    </r>
    <r>
      <rPr>
        <sz val="11"/>
        <color theme="1"/>
        <rFont val="Calibri"/>
        <family val="2"/>
        <scheme val="minor"/>
      </rPr>
      <t xml:space="preserve"> - Ungraded Teachers
</t>
    </r>
  </si>
  <si>
    <r>
      <t>Home</t>
    </r>
    <r>
      <rPr>
        <sz val="11"/>
        <color theme="1"/>
        <rFont val="Calibri"/>
        <family val="2"/>
        <scheme val="minor"/>
      </rPr>
      <t xml:space="preserve"> - Home/personal
</t>
    </r>
    <r>
      <rPr>
        <b/>
        <sz val="11"/>
        <color theme="1"/>
        <rFont val="Calibri"/>
        <family val="2"/>
        <scheme val="minor"/>
      </rPr>
      <t>Work</t>
    </r>
    <r>
      <rPr>
        <sz val="11"/>
        <color theme="1"/>
        <rFont val="Calibri"/>
        <family val="2"/>
        <scheme val="minor"/>
      </rPr>
      <t xml:space="preserve"> - Work
</t>
    </r>
    <r>
      <rPr>
        <b/>
        <sz val="11"/>
        <color theme="1"/>
        <rFont val="Calibri"/>
        <family val="2"/>
        <scheme val="minor"/>
      </rPr>
      <t>Organizational</t>
    </r>
    <r>
      <rPr>
        <sz val="11"/>
        <color theme="1"/>
        <rFont val="Calibri"/>
        <family val="2"/>
        <scheme val="minor"/>
      </rPr>
      <t xml:space="preserve"> - Organizational (school) address
</t>
    </r>
    <r>
      <rPr>
        <b/>
        <sz val="11"/>
        <color theme="1"/>
        <rFont val="Calibri"/>
        <family val="2"/>
        <scheme val="minor"/>
      </rPr>
      <t>Other</t>
    </r>
    <r>
      <rPr>
        <sz val="11"/>
        <color theme="1"/>
        <rFont val="Calibri"/>
        <family val="2"/>
        <scheme val="minor"/>
      </rPr>
      <t xml:space="preserve"> - Other
</t>
    </r>
  </si>
  <si>
    <r>
      <t>MetAdditionalIndicator</t>
    </r>
    <r>
      <rPr>
        <sz val="11"/>
        <color theme="1"/>
        <rFont val="Calibri"/>
        <family val="2"/>
        <scheme val="minor"/>
      </rPr>
      <t xml:space="preserve"> - Met Additional Indicator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TooFewStudents</t>
    </r>
    <r>
      <rPr>
        <sz val="11"/>
        <color theme="1"/>
        <rFont val="Calibri"/>
        <family val="2"/>
        <scheme val="minor"/>
      </rPr>
      <t xml:space="preserve"> - Too Few Students
</t>
    </r>
    <r>
      <rPr>
        <b/>
        <sz val="11"/>
        <color theme="1"/>
        <rFont val="Calibri"/>
        <family val="2"/>
        <scheme val="minor"/>
      </rPr>
      <t>NoStudents</t>
    </r>
    <r>
      <rPr>
        <sz val="11"/>
        <color theme="1"/>
        <rFont val="Calibri"/>
        <family val="2"/>
        <scheme val="minor"/>
      </rPr>
      <t xml:space="preserve"> - No Students
</t>
    </r>
    <r>
      <rPr>
        <b/>
        <sz val="11"/>
        <color theme="1"/>
        <rFont val="Calibri"/>
        <family val="2"/>
        <scheme val="minor"/>
      </rPr>
      <t>NA</t>
    </r>
    <r>
      <rPr>
        <sz val="11"/>
        <color theme="1"/>
        <rFont val="Calibri"/>
        <family val="2"/>
        <scheme val="minor"/>
      </rPr>
      <t xml:space="preserve"> - Not applicable
</t>
    </r>
  </si>
  <si>
    <r>
      <t>Free</t>
    </r>
    <r>
      <rPr>
        <sz val="11"/>
        <color theme="1"/>
        <rFont val="Calibri"/>
        <family val="2"/>
        <scheme val="minor"/>
      </rPr>
      <t xml:space="preserve"> - Free
</t>
    </r>
    <r>
      <rPr>
        <b/>
        <sz val="11"/>
        <color theme="1"/>
        <rFont val="Calibri"/>
        <family val="2"/>
        <scheme val="minor"/>
      </rPr>
      <t>FullPrice</t>
    </r>
    <r>
      <rPr>
        <sz val="11"/>
        <color theme="1"/>
        <rFont val="Calibri"/>
        <family val="2"/>
        <scheme val="minor"/>
      </rPr>
      <t xml:space="preserve"> - Full price
</t>
    </r>
    <r>
      <rPr>
        <b/>
        <sz val="11"/>
        <color theme="1"/>
        <rFont val="Calibri"/>
        <family val="2"/>
        <scheme val="minor"/>
      </rPr>
      <t>ReducedPrice</t>
    </r>
    <r>
      <rPr>
        <sz val="11"/>
        <color theme="1"/>
        <rFont val="Calibri"/>
        <family val="2"/>
        <scheme val="minor"/>
      </rPr>
      <t xml:space="preserve"> - Reduced price
</t>
    </r>
    <r>
      <rPr>
        <b/>
        <sz val="11"/>
        <color theme="1"/>
        <rFont val="Calibri"/>
        <family val="2"/>
        <scheme val="minor"/>
      </rPr>
      <t>Other</t>
    </r>
    <r>
      <rPr>
        <sz val="11"/>
        <color theme="1"/>
        <rFont val="Calibri"/>
        <family val="2"/>
        <scheme val="minor"/>
      </rPr>
      <t xml:space="preserve"> - Other
</t>
    </r>
  </si>
  <si>
    <r>
      <t>Other</t>
    </r>
    <r>
      <rPr>
        <sz val="11"/>
        <color theme="1"/>
        <rFont val="Calibri"/>
        <family val="2"/>
        <scheme val="minor"/>
      </rPr>
      <t xml:space="preserve"> - Other location
</t>
    </r>
    <r>
      <rPr>
        <b/>
        <sz val="11"/>
        <color theme="1"/>
        <rFont val="Calibri"/>
        <family val="2"/>
        <scheme val="minor"/>
      </rPr>
      <t>Multiple</t>
    </r>
    <r>
      <rPr>
        <sz val="11"/>
        <color theme="1"/>
        <rFont val="Calibri"/>
        <family val="2"/>
        <scheme val="minor"/>
      </rPr>
      <t xml:space="preserve"> - Multiple locations
</t>
    </r>
    <r>
      <rPr>
        <b/>
        <sz val="11"/>
        <color theme="1"/>
        <rFont val="Calibri"/>
        <family val="2"/>
        <scheme val="minor"/>
      </rPr>
      <t>AK</t>
    </r>
    <r>
      <rPr>
        <sz val="11"/>
        <color theme="1"/>
        <rFont val="Calibri"/>
        <family val="2"/>
        <scheme val="minor"/>
      </rPr>
      <t xml:space="preserve"> - Alaska
</t>
    </r>
    <r>
      <rPr>
        <b/>
        <sz val="11"/>
        <color theme="1"/>
        <rFont val="Calibri"/>
        <family val="2"/>
        <scheme val="minor"/>
      </rPr>
      <t>AL</t>
    </r>
    <r>
      <rPr>
        <sz val="11"/>
        <color theme="1"/>
        <rFont val="Calibri"/>
        <family val="2"/>
        <scheme val="minor"/>
      </rPr>
      <t xml:space="preserve"> - Alabama
</t>
    </r>
    <r>
      <rPr>
        <b/>
        <sz val="11"/>
        <color theme="1"/>
        <rFont val="Calibri"/>
        <family val="2"/>
        <scheme val="minor"/>
      </rPr>
      <t>AR</t>
    </r>
    <r>
      <rPr>
        <sz val="11"/>
        <color theme="1"/>
        <rFont val="Calibri"/>
        <family val="2"/>
        <scheme val="minor"/>
      </rPr>
      <t xml:space="preserve"> - Arkansas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AZ</t>
    </r>
    <r>
      <rPr>
        <sz val="11"/>
        <color theme="1"/>
        <rFont val="Calibri"/>
        <family val="2"/>
        <scheme val="minor"/>
      </rPr>
      <t xml:space="preserve"> - Arizona
</t>
    </r>
    <r>
      <rPr>
        <b/>
        <sz val="11"/>
        <color theme="1"/>
        <rFont val="Calibri"/>
        <family val="2"/>
        <scheme val="minor"/>
      </rPr>
      <t>CA</t>
    </r>
    <r>
      <rPr>
        <sz val="11"/>
        <color theme="1"/>
        <rFont val="Calibri"/>
        <family val="2"/>
        <scheme val="minor"/>
      </rPr>
      <t xml:space="preserve"> - California
</t>
    </r>
    <r>
      <rPr>
        <b/>
        <sz val="11"/>
        <color theme="1"/>
        <rFont val="Calibri"/>
        <family val="2"/>
        <scheme val="minor"/>
      </rPr>
      <t>CO</t>
    </r>
    <r>
      <rPr>
        <sz val="11"/>
        <color theme="1"/>
        <rFont val="Calibri"/>
        <family val="2"/>
        <scheme val="minor"/>
      </rPr>
      <t xml:space="preserve"> - Colorado
</t>
    </r>
    <r>
      <rPr>
        <b/>
        <sz val="11"/>
        <color theme="1"/>
        <rFont val="Calibri"/>
        <family val="2"/>
        <scheme val="minor"/>
      </rPr>
      <t>CT</t>
    </r>
    <r>
      <rPr>
        <sz val="11"/>
        <color theme="1"/>
        <rFont val="Calibri"/>
        <family val="2"/>
        <scheme val="minor"/>
      </rPr>
      <t xml:space="preserve"> - Connecticut
</t>
    </r>
    <r>
      <rPr>
        <b/>
        <sz val="11"/>
        <color theme="1"/>
        <rFont val="Calibri"/>
        <family val="2"/>
        <scheme val="minor"/>
      </rPr>
      <t>DC</t>
    </r>
    <r>
      <rPr>
        <sz val="11"/>
        <color theme="1"/>
        <rFont val="Calibri"/>
        <family val="2"/>
        <scheme val="minor"/>
      </rPr>
      <t xml:space="preserve"> - District of Columbia
</t>
    </r>
    <r>
      <rPr>
        <b/>
        <sz val="11"/>
        <color theme="1"/>
        <rFont val="Calibri"/>
        <family val="2"/>
        <scheme val="minor"/>
      </rPr>
      <t>DE</t>
    </r>
    <r>
      <rPr>
        <sz val="11"/>
        <color theme="1"/>
        <rFont val="Calibri"/>
        <family val="2"/>
        <scheme val="minor"/>
      </rPr>
      <t xml:space="preserve"> - Delaware
</t>
    </r>
    <r>
      <rPr>
        <b/>
        <sz val="11"/>
        <color theme="1"/>
        <rFont val="Calibri"/>
        <family val="2"/>
        <scheme val="minor"/>
      </rPr>
      <t>FL</t>
    </r>
    <r>
      <rPr>
        <sz val="11"/>
        <color theme="1"/>
        <rFont val="Calibri"/>
        <family val="2"/>
        <scheme val="minor"/>
      </rPr>
      <t xml:space="preserve"> - Florida
</t>
    </r>
    <r>
      <rPr>
        <b/>
        <sz val="11"/>
        <color theme="1"/>
        <rFont val="Calibri"/>
        <family val="2"/>
        <scheme val="minor"/>
      </rPr>
      <t>FM</t>
    </r>
    <r>
      <rPr>
        <sz val="11"/>
        <color theme="1"/>
        <rFont val="Calibri"/>
        <family val="2"/>
        <scheme val="minor"/>
      </rPr>
      <t xml:space="preserve"> - Federated States of Micronesia
</t>
    </r>
    <r>
      <rPr>
        <b/>
        <sz val="11"/>
        <color theme="1"/>
        <rFont val="Calibri"/>
        <family val="2"/>
        <scheme val="minor"/>
      </rPr>
      <t>GA</t>
    </r>
    <r>
      <rPr>
        <sz val="11"/>
        <color theme="1"/>
        <rFont val="Calibri"/>
        <family val="2"/>
        <scheme val="minor"/>
      </rPr>
      <t xml:space="preserve"> - Georgia
</t>
    </r>
    <r>
      <rPr>
        <b/>
        <sz val="11"/>
        <color theme="1"/>
        <rFont val="Calibri"/>
        <family val="2"/>
        <scheme val="minor"/>
      </rPr>
      <t>GU</t>
    </r>
    <r>
      <rPr>
        <sz val="11"/>
        <color theme="1"/>
        <rFont val="Calibri"/>
        <family val="2"/>
        <scheme val="minor"/>
      </rPr>
      <t xml:space="preserve"> - Guam
</t>
    </r>
    <r>
      <rPr>
        <b/>
        <sz val="11"/>
        <color theme="1"/>
        <rFont val="Calibri"/>
        <family val="2"/>
        <scheme val="minor"/>
      </rPr>
      <t>HI</t>
    </r>
    <r>
      <rPr>
        <sz val="11"/>
        <color theme="1"/>
        <rFont val="Calibri"/>
        <family val="2"/>
        <scheme val="minor"/>
      </rPr>
      <t xml:space="preserve"> - Hawaii
</t>
    </r>
    <r>
      <rPr>
        <b/>
        <sz val="11"/>
        <color theme="1"/>
        <rFont val="Calibri"/>
        <family val="2"/>
        <scheme val="minor"/>
      </rPr>
      <t>IA</t>
    </r>
    <r>
      <rPr>
        <sz val="11"/>
        <color theme="1"/>
        <rFont val="Calibri"/>
        <family val="2"/>
        <scheme val="minor"/>
      </rPr>
      <t xml:space="preserve"> - Iowa
</t>
    </r>
    <r>
      <rPr>
        <b/>
        <sz val="11"/>
        <color theme="1"/>
        <rFont val="Calibri"/>
        <family val="2"/>
        <scheme val="minor"/>
      </rPr>
      <t>ID</t>
    </r>
    <r>
      <rPr>
        <sz val="11"/>
        <color theme="1"/>
        <rFont val="Calibri"/>
        <family val="2"/>
        <scheme val="minor"/>
      </rPr>
      <t xml:space="preserve"> - Idaho
</t>
    </r>
    <r>
      <rPr>
        <b/>
        <sz val="11"/>
        <color theme="1"/>
        <rFont val="Calibri"/>
        <family val="2"/>
        <scheme val="minor"/>
      </rPr>
      <t>IL</t>
    </r>
    <r>
      <rPr>
        <sz val="11"/>
        <color theme="1"/>
        <rFont val="Calibri"/>
        <family val="2"/>
        <scheme val="minor"/>
      </rPr>
      <t xml:space="preserve"> - Illinois
</t>
    </r>
    <r>
      <rPr>
        <b/>
        <sz val="11"/>
        <color theme="1"/>
        <rFont val="Calibri"/>
        <family val="2"/>
        <scheme val="minor"/>
      </rPr>
      <t>IN</t>
    </r>
    <r>
      <rPr>
        <sz val="11"/>
        <color theme="1"/>
        <rFont val="Calibri"/>
        <family val="2"/>
        <scheme val="minor"/>
      </rPr>
      <t xml:space="preserve"> - Indiana
</t>
    </r>
    <r>
      <rPr>
        <b/>
        <sz val="11"/>
        <color theme="1"/>
        <rFont val="Calibri"/>
        <family val="2"/>
        <scheme val="minor"/>
      </rPr>
      <t>KS</t>
    </r>
    <r>
      <rPr>
        <sz val="11"/>
        <color theme="1"/>
        <rFont val="Calibri"/>
        <family val="2"/>
        <scheme val="minor"/>
      </rPr>
      <t xml:space="preserve"> - Kansas
</t>
    </r>
    <r>
      <rPr>
        <b/>
        <sz val="11"/>
        <color theme="1"/>
        <rFont val="Calibri"/>
        <family val="2"/>
        <scheme val="minor"/>
      </rPr>
      <t>KY</t>
    </r>
    <r>
      <rPr>
        <sz val="11"/>
        <color theme="1"/>
        <rFont val="Calibri"/>
        <family val="2"/>
        <scheme val="minor"/>
      </rPr>
      <t xml:space="preserve"> - Kentucky
</t>
    </r>
    <r>
      <rPr>
        <b/>
        <sz val="11"/>
        <color theme="1"/>
        <rFont val="Calibri"/>
        <family val="2"/>
        <scheme val="minor"/>
      </rPr>
      <t>LA</t>
    </r>
    <r>
      <rPr>
        <sz val="11"/>
        <color theme="1"/>
        <rFont val="Calibri"/>
        <family val="2"/>
        <scheme val="minor"/>
      </rPr>
      <t xml:space="preserve"> - Louisiana
</t>
    </r>
    <r>
      <rPr>
        <b/>
        <sz val="11"/>
        <color theme="1"/>
        <rFont val="Calibri"/>
        <family val="2"/>
        <scheme val="minor"/>
      </rPr>
      <t>MA</t>
    </r>
    <r>
      <rPr>
        <sz val="11"/>
        <color theme="1"/>
        <rFont val="Calibri"/>
        <family val="2"/>
        <scheme val="minor"/>
      </rPr>
      <t xml:space="preserve"> - Massachusetts
</t>
    </r>
    <r>
      <rPr>
        <b/>
        <sz val="11"/>
        <color theme="1"/>
        <rFont val="Calibri"/>
        <family val="2"/>
        <scheme val="minor"/>
      </rPr>
      <t>MD</t>
    </r>
    <r>
      <rPr>
        <sz val="11"/>
        <color theme="1"/>
        <rFont val="Calibri"/>
        <family val="2"/>
        <scheme val="minor"/>
      </rPr>
      <t xml:space="preserve"> - Maryland
</t>
    </r>
    <r>
      <rPr>
        <b/>
        <sz val="11"/>
        <color theme="1"/>
        <rFont val="Calibri"/>
        <family val="2"/>
        <scheme val="minor"/>
      </rPr>
      <t>ME</t>
    </r>
    <r>
      <rPr>
        <sz val="11"/>
        <color theme="1"/>
        <rFont val="Calibri"/>
        <family val="2"/>
        <scheme val="minor"/>
      </rPr>
      <t xml:space="preserve"> - Maine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MI</t>
    </r>
    <r>
      <rPr>
        <sz val="11"/>
        <color theme="1"/>
        <rFont val="Calibri"/>
        <family val="2"/>
        <scheme val="minor"/>
      </rPr>
      <t xml:space="preserve"> - Michigan
</t>
    </r>
    <r>
      <rPr>
        <b/>
        <sz val="11"/>
        <color theme="1"/>
        <rFont val="Calibri"/>
        <family val="2"/>
        <scheme val="minor"/>
      </rPr>
      <t>MN</t>
    </r>
    <r>
      <rPr>
        <sz val="11"/>
        <color theme="1"/>
        <rFont val="Calibri"/>
        <family val="2"/>
        <scheme val="minor"/>
      </rPr>
      <t xml:space="preserve"> - Minnesota
</t>
    </r>
    <r>
      <rPr>
        <b/>
        <sz val="11"/>
        <color theme="1"/>
        <rFont val="Calibri"/>
        <family val="2"/>
        <scheme val="minor"/>
      </rPr>
      <t>MO</t>
    </r>
    <r>
      <rPr>
        <sz val="11"/>
        <color theme="1"/>
        <rFont val="Calibri"/>
        <family val="2"/>
        <scheme val="minor"/>
      </rPr>
      <t xml:space="preserve"> - Missouri
</t>
    </r>
    <r>
      <rPr>
        <b/>
        <sz val="11"/>
        <color theme="1"/>
        <rFont val="Calibri"/>
        <family val="2"/>
        <scheme val="minor"/>
      </rPr>
      <t>MP</t>
    </r>
    <r>
      <rPr>
        <sz val="11"/>
        <color theme="1"/>
        <rFont val="Calibri"/>
        <family val="2"/>
        <scheme val="minor"/>
      </rPr>
      <t xml:space="preserve"> - Northern Marianas
</t>
    </r>
    <r>
      <rPr>
        <b/>
        <sz val="11"/>
        <color theme="1"/>
        <rFont val="Calibri"/>
        <family val="2"/>
        <scheme val="minor"/>
      </rPr>
      <t>MS</t>
    </r>
    <r>
      <rPr>
        <sz val="11"/>
        <color theme="1"/>
        <rFont val="Calibri"/>
        <family val="2"/>
        <scheme val="minor"/>
      </rPr>
      <t xml:space="preserve"> - Mississippi
</t>
    </r>
    <r>
      <rPr>
        <b/>
        <sz val="11"/>
        <color theme="1"/>
        <rFont val="Calibri"/>
        <family val="2"/>
        <scheme val="minor"/>
      </rPr>
      <t>MT</t>
    </r>
    <r>
      <rPr>
        <sz val="11"/>
        <color theme="1"/>
        <rFont val="Calibri"/>
        <family val="2"/>
        <scheme val="minor"/>
      </rPr>
      <t xml:space="preserve"> - Montana
</t>
    </r>
    <r>
      <rPr>
        <b/>
        <sz val="11"/>
        <color theme="1"/>
        <rFont val="Calibri"/>
        <family val="2"/>
        <scheme val="minor"/>
      </rPr>
      <t>NC</t>
    </r>
    <r>
      <rPr>
        <sz val="11"/>
        <color theme="1"/>
        <rFont val="Calibri"/>
        <family val="2"/>
        <scheme val="minor"/>
      </rPr>
      <t xml:space="preserve"> - North Carolina
</t>
    </r>
    <r>
      <rPr>
        <b/>
        <sz val="11"/>
        <color theme="1"/>
        <rFont val="Calibri"/>
        <family val="2"/>
        <scheme val="minor"/>
      </rPr>
      <t>ND</t>
    </r>
    <r>
      <rPr>
        <sz val="11"/>
        <color theme="1"/>
        <rFont val="Calibri"/>
        <family val="2"/>
        <scheme val="minor"/>
      </rPr>
      <t xml:space="preserve"> - North Dakota
</t>
    </r>
    <r>
      <rPr>
        <b/>
        <sz val="11"/>
        <color theme="1"/>
        <rFont val="Calibri"/>
        <family val="2"/>
        <scheme val="minor"/>
      </rPr>
      <t>NE</t>
    </r>
    <r>
      <rPr>
        <sz val="11"/>
        <color theme="1"/>
        <rFont val="Calibri"/>
        <family val="2"/>
        <scheme val="minor"/>
      </rPr>
      <t xml:space="preserve"> - Nebraska
</t>
    </r>
    <r>
      <rPr>
        <b/>
        <sz val="11"/>
        <color theme="1"/>
        <rFont val="Calibri"/>
        <family val="2"/>
        <scheme val="minor"/>
      </rPr>
      <t>NH</t>
    </r>
    <r>
      <rPr>
        <sz val="11"/>
        <color theme="1"/>
        <rFont val="Calibri"/>
        <family val="2"/>
        <scheme val="minor"/>
      </rPr>
      <t xml:space="preserve"> - New Hampshire
</t>
    </r>
    <r>
      <rPr>
        <b/>
        <sz val="11"/>
        <color theme="1"/>
        <rFont val="Calibri"/>
        <family val="2"/>
        <scheme val="minor"/>
      </rPr>
      <t>NJ</t>
    </r>
    <r>
      <rPr>
        <sz val="11"/>
        <color theme="1"/>
        <rFont val="Calibri"/>
        <family val="2"/>
        <scheme val="minor"/>
      </rPr>
      <t xml:space="preserve"> - New Jersey
</t>
    </r>
    <r>
      <rPr>
        <b/>
        <sz val="11"/>
        <color theme="1"/>
        <rFont val="Calibri"/>
        <family val="2"/>
        <scheme val="minor"/>
      </rPr>
      <t>NM</t>
    </r>
    <r>
      <rPr>
        <sz val="11"/>
        <color theme="1"/>
        <rFont val="Calibri"/>
        <family val="2"/>
        <scheme val="minor"/>
      </rPr>
      <t xml:space="preserve"> - New Mexico
</t>
    </r>
    <r>
      <rPr>
        <b/>
        <sz val="11"/>
        <color theme="1"/>
        <rFont val="Calibri"/>
        <family val="2"/>
        <scheme val="minor"/>
      </rPr>
      <t>NV</t>
    </r>
    <r>
      <rPr>
        <sz val="11"/>
        <color theme="1"/>
        <rFont val="Calibri"/>
        <family val="2"/>
        <scheme val="minor"/>
      </rPr>
      <t xml:space="preserve"> - Nevada
</t>
    </r>
    <r>
      <rPr>
        <b/>
        <sz val="11"/>
        <color theme="1"/>
        <rFont val="Calibri"/>
        <family val="2"/>
        <scheme val="minor"/>
      </rPr>
      <t>NY</t>
    </r>
    <r>
      <rPr>
        <sz val="11"/>
        <color theme="1"/>
        <rFont val="Calibri"/>
        <family val="2"/>
        <scheme val="minor"/>
      </rPr>
      <t xml:space="preserve"> - New York
</t>
    </r>
    <r>
      <rPr>
        <b/>
        <sz val="11"/>
        <color theme="1"/>
        <rFont val="Calibri"/>
        <family val="2"/>
        <scheme val="minor"/>
      </rPr>
      <t>OH</t>
    </r>
    <r>
      <rPr>
        <sz val="11"/>
        <color theme="1"/>
        <rFont val="Calibri"/>
        <family val="2"/>
        <scheme val="minor"/>
      </rPr>
      <t xml:space="preserve"> - Ohio
</t>
    </r>
    <r>
      <rPr>
        <b/>
        <sz val="11"/>
        <color theme="1"/>
        <rFont val="Calibri"/>
        <family val="2"/>
        <scheme val="minor"/>
      </rPr>
      <t>OK</t>
    </r>
    <r>
      <rPr>
        <sz val="11"/>
        <color theme="1"/>
        <rFont val="Calibri"/>
        <family val="2"/>
        <scheme val="minor"/>
      </rPr>
      <t xml:space="preserve"> - Oklahoma
</t>
    </r>
    <r>
      <rPr>
        <b/>
        <sz val="11"/>
        <color theme="1"/>
        <rFont val="Calibri"/>
        <family val="2"/>
        <scheme val="minor"/>
      </rPr>
      <t>OR</t>
    </r>
    <r>
      <rPr>
        <sz val="11"/>
        <color theme="1"/>
        <rFont val="Calibri"/>
        <family val="2"/>
        <scheme val="minor"/>
      </rPr>
      <t xml:space="preserve"> - Oregon
</t>
    </r>
    <r>
      <rPr>
        <b/>
        <sz val="11"/>
        <color theme="1"/>
        <rFont val="Calibri"/>
        <family val="2"/>
        <scheme val="minor"/>
      </rPr>
      <t>PA</t>
    </r>
    <r>
      <rPr>
        <sz val="11"/>
        <color theme="1"/>
        <rFont val="Calibri"/>
        <family val="2"/>
        <scheme val="minor"/>
      </rPr>
      <t xml:space="preserve"> - Pennsylvania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PW</t>
    </r>
    <r>
      <rPr>
        <sz val="11"/>
        <color theme="1"/>
        <rFont val="Calibri"/>
        <family val="2"/>
        <scheme val="minor"/>
      </rPr>
      <t xml:space="preserve"> - Palau
</t>
    </r>
    <r>
      <rPr>
        <b/>
        <sz val="11"/>
        <color theme="1"/>
        <rFont val="Calibri"/>
        <family val="2"/>
        <scheme val="minor"/>
      </rPr>
      <t>RI</t>
    </r>
    <r>
      <rPr>
        <sz val="11"/>
        <color theme="1"/>
        <rFont val="Calibri"/>
        <family val="2"/>
        <scheme val="minor"/>
      </rPr>
      <t xml:space="preserve"> - Rhode Island
</t>
    </r>
    <r>
      <rPr>
        <b/>
        <sz val="11"/>
        <color theme="1"/>
        <rFont val="Calibri"/>
        <family val="2"/>
        <scheme val="minor"/>
      </rPr>
      <t>SC</t>
    </r>
    <r>
      <rPr>
        <sz val="11"/>
        <color theme="1"/>
        <rFont val="Calibri"/>
        <family val="2"/>
        <scheme val="minor"/>
      </rPr>
      <t xml:space="preserve"> - South Carolina
</t>
    </r>
    <r>
      <rPr>
        <b/>
        <sz val="11"/>
        <color theme="1"/>
        <rFont val="Calibri"/>
        <family val="2"/>
        <scheme val="minor"/>
      </rPr>
      <t>SD</t>
    </r>
    <r>
      <rPr>
        <sz val="11"/>
        <color theme="1"/>
        <rFont val="Calibri"/>
        <family val="2"/>
        <scheme val="minor"/>
      </rPr>
      <t xml:space="preserve"> - South Dakota
</t>
    </r>
    <r>
      <rPr>
        <b/>
        <sz val="11"/>
        <color theme="1"/>
        <rFont val="Calibri"/>
        <family val="2"/>
        <scheme val="minor"/>
      </rPr>
      <t>TN</t>
    </r>
    <r>
      <rPr>
        <sz val="11"/>
        <color theme="1"/>
        <rFont val="Calibri"/>
        <family val="2"/>
        <scheme val="minor"/>
      </rPr>
      <t xml:space="preserve"> - Tennessee
</t>
    </r>
    <r>
      <rPr>
        <b/>
        <sz val="11"/>
        <color theme="1"/>
        <rFont val="Calibri"/>
        <family val="2"/>
        <scheme val="minor"/>
      </rPr>
      <t>TX</t>
    </r>
    <r>
      <rPr>
        <sz val="11"/>
        <color theme="1"/>
        <rFont val="Calibri"/>
        <family val="2"/>
        <scheme val="minor"/>
      </rPr>
      <t xml:space="preserve"> - Texas
</t>
    </r>
    <r>
      <rPr>
        <b/>
        <sz val="11"/>
        <color theme="1"/>
        <rFont val="Calibri"/>
        <family val="2"/>
        <scheme val="minor"/>
      </rPr>
      <t>UT</t>
    </r>
    <r>
      <rPr>
        <sz val="11"/>
        <color theme="1"/>
        <rFont val="Calibri"/>
        <family val="2"/>
        <scheme val="minor"/>
      </rPr>
      <t xml:space="preserve"> - Utah
</t>
    </r>
    <r>
      <rPr>
        <b/>
        <sz val="11"/>
        <color theme="1"/>
        <rFont val="Calibri"/>
        <family val="2"/>
        <scheme val="minor"/>
      </rPr>
      <t>VA</t>
    </r>
    <r>
      <rPr>
        <sz val="11"/>
        <color theme="1"/>
        <rFont val="Calibri"/>
        <family val="2"/>
        <scheme val="minor"/>
      </rPr>
      <t xml:space="preserve"> - Virginia
</t>
    </r>
    <r>
      <rPr>
        <b/>
        <sz val="11"/>
        <color theme="1"/>
        <rFont val="Calibri"/>
        <family val="2"/>
        <scheme val="minor"/>
      </rPr>
      <t>VI</t>
    </r>
    <r>
      <rPr>
        <sz val="11"/>
        <color theme="1"/>
        <rFont val="Calibri"/>
        <family val="2"/>
        <scheme val="minor"/>
      </rPr>
      <t xml:space="preserve"> - Virgin Islands
</t>
    </r>
    <r>
      <rPr>
        <b/>
        <sz val="11"/>
        <color theme="1"/>
        <rFont val="Calibri"/>
        <family val="2"/>
        <scheme val="minor"/>
      </rPr>
      <t>VT</t>
    </r>
    <r>
      <rPr>
        <sz val="11"/>
        <color theme="1"/>
        <rFont val="Calibri"/>
        <family val="2"/>
        <scheme val="minor"/>
      </rPr>
      <t xml:space="preserve"> - Vermont
</t>
    </r>
    <r>
      <rPr>
        <b/>
        <sz val="11"/>
        <color theme="1"/>
        <rFont val="Calibri"/>
        <family val="2"/>
        <scheme val="minor"/>
      </rPr>
      <t>WA</t>
    </r>
    <r>
      <rPr>
        <sz val="11"/>
        <color theme="1"/>
        <rFont val="Calibri"/>
        <family val="2"/>
        <scheme val="minor"/>
      </rPr>
      <t xml:space="preserve"> - Washington
</t>
    </r>
    <r>
      <rPr>
        <b/>
        <sz val="11"/>
        <color theme="1"/>
        <rFont val="Calibri"/>
        <family val="2"/>
        <scheme val="minor"/>
      </rPr>
      <t>WI</t>
    </r>
    <r>
      <rPr>
        <sz val="11"/>
        <color theme="1"/>
        <rFont val="Calibri"/>
        <family val="2"/>
        <scheme val="minor"/>
      </rPr>
      <t xml:space="preserve"> - Wisconsin
</t>
    </r>
    <r>
      <rPr>
        <b/>
        <sz val="11"/>
        <color theme="1"/>
        <rFont val="Calibri"/>
        <family val="2"/>
        <scheme val="minor"/>
      </rPr>
      <t>WV</t>
    </r>
    <r>
      <rPr>
        <sz val="11"/>
        <color theme="1"/>
        <rFont val="Calibri"/>
        <family val="2"/>
        <scheme val="minor"/>
      </rPr>
      <t xml:space="preserve"> - West Virginia
</t>
    </r>
    <r>
      <rPr>
        <b/>
        <sz val="11"/>
        <color theme="1"/>
        <rFont val="Calibri"/>
        <family val="2"/>
        <scheme val="minor"/>
      </rPr>
      <t>WY</t>
    </r>
    <r>
      <rPr>
        <sz val="11"/>
        <color theme="1"/>
        <rFont val="Calibri"/>
        <family val="2"/>
        <scheme val="minor"/>
      </rPr>
      <t xml:space="preserve"> - Wyoming
</t>
    </r>
  </si>
  <si>
    <r>
      <t>01</t>
    </r>
    <r>
      <rPr>
        <sz val="11"/>
        <color theme="1"/>
        <rFont val="Calibri"/>
        <family val="2"/>
        <scheme val="minor"/>
      </rPr>
      <t xml:space="preserve"> - State UI Wage Records
</t>
    </r>
    <r>
      <rPr>
        <b/>
        <sz val="11"/>
        <color theme="1"/>
        <rFont val="Calibri"/>
        <family val="2"/>
        <scheme val="minor"/>
      </rPr>
      <t>02</t>
    </r>
    <r>
      <rPr>
        <sz val="11"/>
        <color theme="1"/>
        <rFont val="Calibri"/>
        <family val="2"/>
        <scheme val="minor"/>
      </rPr>
      <t xml:space="preserve"> - Wage Record Interchange System (WRIS II)
</t>
    </r>
    <r>
      <rPr>
        <b/>
        <sz val="11"/>
        <color theme="1"/>
        <rFont val="Calibri"/>
        <family val="2"/>
        <scheme val="minor"/>
      </rPr>
      <t>03</t>
    </r>
    <r>
      <rPr>
        <sz val="11"/>
        <color theme="1"/>
        <rFont val="Calibri"/>
        <family val="2"/>
        <scheme val="minor"/>
      </rPr>
      <t xml:space="preserve"> - Federal Employment Data Exchange System (FEDES)
</t>
    </r>
    <r>
      <rPr>
        <b/>
        <sz val="11"/>
        <color theme="1"/>
        <rFont val="Calibri"/>
        <family val="2"/>
        <scheme val="minor"/>
      </rPr>
      <t>04</t>
    </r>
    <r>
      <rPr>
        <sz val="11"/>
        <color theme="1"/>
        <rFont val="Calibri"/>
        <family val="2"/>
        <scheme val="minor"/>
      </rPr>
      <t xml:space="preserve"> - Other
</t>
    </r>
  </si>
  <si>
    <r>
      <t>01391</t>
    </r>
    <r>
      <rPr>
        <sz val="11"/>
        <color theme="1"/>
        <rFont val="Calibri"/>
        <family val="2"/>
        <scheme val="minor"/>
      </rPr>
      <t xml:space="preserve"> - Change of assignment
</t>
    </r>
    <r>
      <rPr>
        <b/>
        <sz val="11"/>
        <color theme="1"/>
        <rFont val="Calibri"/>
        <family val="2"/>
        <scheme val="minor"/>
      </rPr>
      <t>01404</t>
    </r>
    <r>
      <rPr>
        <sz val="11"/>
        <color theme="1"/>
        <rFont val="Calibri"/>
        <family val="2"/>
        <scheme val="minor"/>
      </rPr>
      <t xml:space="preserve"> - Death
</t>
    </r>
    <r>
      <rPr>
        <b/>
        <sz val="11"/>
        <color theme="1"/>
        <rFont val="Calibri"/>
        <family val="2"/>
        <scheme val="minor"/>
      </rPr>
      <t>01401</t>
    </r>
    <r>
      <rPr>
        <sz val="11"/>
        <color theme="1"/>
        <rFont val="Calibri"/>
        <family val="2"/>
        <scheme val="minor"/>
      </rPr>
      <t xml:space="preserve"> - Discharge due to a falsified application form
</t>
    </r>
    <r>
      <rPr>
        <b/>
        <sz val="11"/>
        <color theme="1"/>
        <rFont val="Calibri"/>
        <family val="2"/>
        <scheme val="minor"/>
      </rPr>
      <t>01400</t>
    </r>
    <r>
      <rPr>
        <sz val="11"/>
        <color theme="1"/>
        <rFont val="Calibri"/>
        <family val="2"/>
        <scheme val="minor"/>
      </rPr>
      <t xml:space="preserve"> - Discharge due to continued absence or tardiness
</t>
    </r>
    <r>
      <rPr>
        <b/>
        <sz val="11"/>
        <color theme="1"/>
        <rFont val="Calibri"/>
        <family val="2"/>
        <scheme val="minor"/>
      </rPr>
      <t>01402</t>
    </r>
    <r>
      <rPr>
        <sz val="11"/>
        <color theme="1"/>
        <rFont val="Calibri"/>
        <family val="2"/>
        <scheme val="minor"/>
      </rPr>
      <t xml:space="preserve"> - Discharge due to credential revoked or suspended
</t>
    </r>
    <r>
      <rPr>
        <b/>
        <sz val="11"/>
        <color theme="1"/>
        <rFont val="Calibri"/>
        <family val="2"/>
        <scheme val="minor"/>
      </rPr>
      <t>01399</t>
    </r>
    <r>
      <rPr>
        <sz val="11"/>
        <color theme="1"/>
        <rFont val="Calibri"/>
        <family val="2"/>
        <scheme val="minor"/>
      </rPr>
      <t xml:space="preserve"> - Discharge due to misconduct
</t>
    </r>
    <r>
      <rPr>
        <b/>
        <sz val="11"/>
        <color theme="1"/>
        <rFont val="Calibri"/>
        <family val="2"/>
        <scheme val="minor"/>
      </rPr>
      <t>01403</t>
    </r>
    <r>
      <rPr>
        <sz val="11"/>
        <color theme="1"/>
        <rFont val="Calibri"/>
        <family val="2"/>
        <scheme val="minor"/>
      </rPr>
      <t xml:space="preserve"> - Discharge due to unsatisfactory work performance
</t>
    </r>
    <r>
      <rPr>
        <b/>
        <sz val="11"/>
        <color theme="1"/>
        <rFont val="Calibri"/>
        <family val="2"/>
        <scheme val="minor"/>
      </rPr>
      <t>01398</t>
    </r>
    <r>
      <rPr>
        <sz val="11"/>
        <color theme="1"/>
        <rFont val="Calibri"/>
        <family val="2"/>
        <scheme val="minor"/>
      </rPr>
      <t xml:space="preserve"> - Discharge due to unsuitability
</t>
    </r>
    <r>
      <rPr>
        <b/>
        <sz val="11"/>
        <color theme="1"/>
        <rFont val="Calibri"/>
        <family val="2"/>
        <scheme val="minor"/>
      </rPr>
      <t>01387</t>
    </r>
    <r>
      <rPr>
        <sz val="11"/>
        <color theme="1"/>
        <rFont val="Calibri"/>
        <family val="2"/>
        <scheme val="minor"/>
      </rPr>
      <t xml:space="preserve"> - Employment in education
</t>
    </r>
    <r>
      <rPr>
        <b/>
        <sz val="11"/>
        <color theme="1"/>
        <rFont val="Calibri"/>
        <family val="2"/>
        <scheme val="minor"/>
      </rPr>
      <t>01388</t>
    </r>
    <r>
      <rPr>
        <sz val="11"/>
        <color theme="1"/>
        <rFont val="Calibri"/>
        <family val="2"/>
        <scheme val="minor"/>
      </rPr>
      <t xml:space="preserve"> - Employment outside of education
</t>
    </r>
    <r>
      <rPr>
        <b/>
        <sz val="11"/>
        <color theme="1"/>
        <rFont val="Calibri"/>
        <family val="2"/>
        <scheme val="minor"/>
      </rPr>
      <t>01390</t>
    </r>
    <r>
      <rPr>
        <sz val="11"/>
        <color theme="1"/>
        <rFont val="Calibri"/>
        <family val="2"/>
        <scheme val="minor"/>
      </rPr>
      <t xml:space="preserve"> - Family/personal relocation
</t>
    </r>
    <r>
      <rPr>
        <b/>
        <sz val="11"/>
        <color theme="1"/>
        <rFont val="Calibri"/>
        <family val="2"/>
        <scheme val="minor"/>
      </rPr>
      <t>01392</t>
    </r>
    <r>
      <rPr>
        <sz val="11"/>
        <color theme="1"/>
        <rFont val="Calibri"/>
        <family val="2"/>
        <scheme val="minor"/>
      </rPr>
      <t xml:space="preserve"> - Formal study or research
</t>
    </r>
    <r>
      <rPr>
        <b/>
        <sz val="11"/>
        <color theme="1"/>
        <rFont val="Calibri"/>
        <family val="2"/>
        <scheme val="minor"/>
      </rPr>
      <t>01394</t>
    </r>
    <r>
      <rPr>
        <sz val="11"/>
        <color theme="1"/>
        <rFont val="Calibri"/>
        <family val="2"/>
        <scheme val="minor"/>
      </rPr>
      <t xml:space="preserve"> - Homemaking/caring for a family member
</t>
    </r>
    <r>
      <rPr>
        <b/>
        <sz val="11"/>
        <color theme="1"/>
        <rFont val="Calibri"/>
        <family val="2"/>
        <scheme val="minor"/>
      </rPr>
      <t>01393</t>
    </r>
    <r>
      <rPr>
        <sz val="11"/>
        <color theme="1"/>
        <rFont val="Calibri"/>
        <family val="2"/>
        <scheme val="minor"/>
      </rPr>
      <t xml:space="preserve"> - Illness/disability
</t>
    </r>
    <r>
      <rPr>
        <b/>
        <sz val="11"/>
        <color theme="1"/>
        <rFont val="Calibri"/>
        <family val="2"/>
        <scheme val="minor"/>
      </rPr>
      <t>01406</t>
    </r>
    <r>
      <rPr>
        <sz val="11"/>
        <color theme="1"/>
        <rFont val="Calibri"/>
        <family val="2"/>
        <scheme val="minor"/>
      </rPr>
      <t xml:space="preserve"> - Lay off due to lack of funding
</t>
    </r>
    <r>
      <rPr>
        <b/>
        <sz val="11"/>
        <color theme="1"/>
        <rFont val="Calibri"/>
        <family val="2"/>
        <scheme val="minor"/>
      </rPr>
      <t>01395</t>
    </r>
    <r>
      <rPr>
        <sz val="11"/>
        <color theme="1"/>
        <rFont val="Calibri"/>
        <family val="2"/>
        <scheme val="minor"/>
      </rPr>
      <t xml:space="preserve"> - Layoff due to budgetary reduction
</t>
    </r>
    <r>
      <rPr>
        <b/>
        <sz val="11"/>
        <color theme="1"/>
        <rFont val="Calibri"/>
        <family val="2"/>
        <scheme val="minor"/>
      </rPr>
      <t>01397</t>
    </r>
    <r>
      <rPr>
        <sz val="11"/>
        <color theme="1"/>
        <rFont val="Calibri"/>
        <family val="2"/>
        <scheme val="minor"/>
      </rPr>
      <t xml:space="preserve"> - Layoff due to decreased workload
</t>
    </r>
    <r>
      <rPr>
        <b/>
        <sz val="11"/>
        <color theme="1"/>
        <rFont val="Calibri"/>
        <family val="2"/>
        <scheme val="minor"/>
      </rPr>
      <t>01396</t>
    </r>
    <r>
      <rPr>
        <sz val="11"/>
        <color theme="1"/>
        <rFont val="Calibri"/>
        <family val="2"/>
        <scheme val="minor"/>
      </rPr>
      <t xml:space="preserve"> - Layoff due to organizational restructuring
</t>
    </r>
    <r>
      <rPr>
        <b/>
        <sz val="11"/>
        <color theme="1"/>
        <rFont val="Calibri"/>
        <family val="2"/>
        <scheme val="minor"/>
      </rPr>
      <t>01407</t>
    </r>
    <r>
      <rPr>
        <sz val="11"/>
        <color theme="1"/>
        <rFont val="Calibri"/>
        <family val="2"/>
        <scheme val="minor"/>
      </rPr>
      <t xml:space="preserve"> - Lost credential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01405</t>
    </r>
    <r>
      <rPr>
        <sz val="11"/>
        <color theme="1"/>
        <rFont val="Calibri"/>
        <family val="2"/>
        <scheme val="minor"/>
      </rPr>
      <t xml:space="preserve"> - Personal reason
</t>
    </r>
    <r>
      <rPr>
        <b/>
        <sz val="11"/>
        <color theme="1"/>
        <rFont val="Calibri"/>
        <family val="2"/>
        <scheme val="minor"/>
      </rPr>
      <t>01389</t>
    </r>
    <r>
      <rPr>
        <sz val="11"/>
        <color theme="1"/>
        <rFont val="Calibri"/>
        <family val="2"/>
        <scheme val="minor"/>
      </rPr>
      <t xml:space="preserve"> - Retirement
</t>
    </r>
    <r>
      <rPr>
        <b/>
        <sz val="11"/>
        <color theme="1"/>
        <rFont val="Calibri"/>
        <family val="2"/>
        <scheme val="minor"/>
      </rPr>
      <t>73201</t>
    </r>
    <r>
      <rPr>
        <sz val="11"/>
        <color theme="1"/>
        <rFont val="Calibri"/>
        <family val="2"/>
        <scheme val="minor"/>
      </rPr>
      <t xml:space="preserve"> - Termination with Cause
</t>
    </r>
    <r>
      <rPr>
        <b/>
        <sz val="11"/>
        <color theme="1"/>
        <rFont val="Calibri"/>
        <family val="2"/>
        <scheme val="minor"/>
      </rPr>
      <t>73202</t>
    </r>
    <r>
      <rPr>
        <sz val="11"/>
        <color theme="1"/>
        <rFont val="Calibri"/>
        <family val="2"/>
        <scheme val="minor"/>
      </rPr>
      <t xml:space="preserve"> - Leave Planning to Return
</t>
    </r>
    <r>
      <rPr>
        <b/>
        <sz val="11"/>
        <color theme="1"/>
        <rFont val="Calibri"/>
        <family val="2"/>
        <scheme val="minor"/>
      </rPr>
      <t>73203</t>
    </r>
    <r>
      <rPr>
        <sz val="11"/>
        <color theme="1"/>
        <rFont val="Calibri"/>
        <family val="2"/>
        <scheme val="minor"/>
      </rPr>
      <t xml:space="preserve"> - Leave Not Planning to Return
</t>
    </r>
    <r>
      <rPr>
        <b/>
        <sz val="11"/>
        <color theme="1"/>
        <rFont val="Calibri"/>
        <family val="2"/>
        <scheme val="minor"/>
      </rPr>
      <t>09997</t>
    </r>
    <r>
      <rPr>
        <sz val="11"/>
        <color theme="1"/>
        <rFont val="Calibri"/>
        <family val="2"/>
        <scheme val="minor"/>
      </rPr>
      <t xml:space="preserve"> - Unknown
</t>
    </r>
  </si>
  <si>
    <r>
      <t>Involuntary</t>
    </r>
    <r>
      <rPr>
        <sz val="11"/>
        <color theme="1"/>
        <rFont val="Calibri"/>
        <family val="2"/>
        <scheme val="minor"/>
      </rPr>
      <t xml:space="preserve"> - Involuntary separation
</t>
    </r>
    <r>
      <rPr>
        <b/>
        <sz val="11"/>
        <color theme="1"/>
        <rFont val="Calibri"/>
        <family val="2"/>
        <scheme val="minor"/>
      </rPr>
      <t>MutualAgreement</t>
    </r>
    <r>
      <rPr>
        <sz val="11"/>
        <color theme="1"/>
        <rFont val="Calibri"/>
        <family val="2"/>
        <scheme val="minor"/>
      </rPr>
      <t xml:space="preserve"> - Mutual agreement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Voluntary</t>
    </r>
    <r>
      <rPr>
        <sz val="11"/>
        <color theme="1"/>
        <rFont val="Calibri"/>
        <family val="2"/>
        <scheme val="minor"/>
      </rPr>
      <t xml:space="preserve"> - Voluntary separation
</t>
    </r>
  </si>
  <si>
    <r>
      <t>01384</t>
    </r>
    <r>
      <rPr>
        <sz val="11"/>
        <color theme="1"/>
        <rFont val="Calibri"/>
        <family val="2"/>
        <scheme val="minor"/>
      </rPr>
      <t xml:space="preserve"> - Contingent upon funding
</t>
    </r>
    <r>
      <rPr>
        <b/>
        <sz val="11"/>
        <color theme="1"/>
        <rFont val="Calibri"/>
        <family val="2"/>
        <scheme val="minor"/>
      </rPr>
      <t>01379</t>
    </r>
    <r>
      <rPr>
        <sz val="11"/>
        <color theme="1"/>
        <rFont val="Calibri"/>
        <family val="2"/>
        <scheme val="minor"/>
      </rPr>
      <t xml:space="preserve"> - Contractual
</t>
    </r>
    <r>
      <rPr>
        <b/>
        <sz val="11"/>
        <color theme="1"/>
        <rFont val="Calibri"/>
        <family val="2"/>
        <scheme val="minor"/>
      </rPr>
      <t>06071</t>
    </r>
    <r>
      <rPr>
        <sz val="11"/>
        <color theme="1"/>
        <rFont val="Calibri"/>
        <family val="2"/>
        <scheme val="minor"/>
      </rPr>
      <t xml:space="preserve"> - Employed or affiliated with outside agency part-time
</t>
    </r>
    <r>
      <rPr>
        <b/>
        <sz val="11"/>
        <color theme="1"/>
        <rFont val="Calibri"/>
        <family val="2"/>
        <scheme val="minor"/>
      </rPr>
      <t>01383</t>
    </r>
    <r>
      <rPr>
        <sz val="11"/>
        <color theme="1"/>
        <rFont val="Calibri"/>
        <family val="2"/>
        <scheme val="minor"/>
      </rPr>
      <t xml:space="preserve"> - Employed or affiliated with outside organization
</t>
    </r>
    <r>
      <rPr>
        <b/>
        <sz val="11"/>
        <color theme="1"/>
        <rFont val="Calibri"/>
        <family val="2"/>
        <scheme val="minor"/>
      </rPr>
      <t>01385</t>
    </r>
    <r>
      <rPr>
        <sz val="11"/>
        <color theme="1"/>
        <rFont val="Calibri"/>
        <family val="2"/>
        <scheme val="minor"/>
      </rPr>
      <t xml:space="preserve"> - Non-contractual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01378</t>
    </r>
    <r>
      <rPr>
        <sz val="11"/>
        <color theme="1"/>
        <rFont val="Calibri"/>
        <family val="2"/>
        <scheme val="minor"/>
      </rPr>
      <t xml:space="preserve"> - Probationary
</t>
    </r>
    <r>
      <rPr>
        <b/>
        <sz val="11"/>
        <color theme="1"/>
        <rFont val="Calibri"/>
        <family val="2"/>
        <scheme val="minor"/>
      </rPr>
      <t>06070</t>
    </r>
    <r>
      <rPr>
        <sz val="11"/>
        <color theme="1"/>
        <rFont val="Calibri"/>
        <family val="2"/>
        <scheme val="minor"/>
      </rPr>
      <t xml:space="preserve"> - Self-employed part-time
</t>
    </r>
    <r>
      <rPr>
        <b/>
        <sz val="11"/>
        <color theme="1"/>
        <rFont val="Calibri"/>
        <family val="2"/>
        <scheme val="minor"/>
      </rPr>
      <t>01380</t>
    </r>
    <r>
      <rPr>
        <sz val="11"/>
        <color theme="1"/>
        <rFont val="Calibri"/>
        <family val="2"/>
        <scheme val="minor"/>
      </rPr>
      <t xml:space="preserve"> - Substitute/temporary
</t>
    </r>
    <r>
      <rPr>
        <b/>
        <sz val="11"/>
        <color theme="1"/>
        <rFont val="Calibri"/>
        <family val="2"/>
        <scheme val="minor"/>
      </rPr>
      <t>01381</t>
    </r>
    <r>
      <rPr>
        <sz val="11"/>
        <color theme="1"/>
        <rFont val="Calibri"/>
        <family val="2"/>
        <scheme val="minor"/>
      </rPr>
      <t xml:space="preserve"> - Tenured or permanent
</t>
    </r>
    <r>
      <rPr>
        <b/>
        <sz val="11"/>
        <color theme="1"/>
        <rFont val="Calibri"/>
        <family val="2"/>
        <scheme val="minor"/>
      </rPr>
      <t>01382</t>
    </r>
    <r>
      <rPr>
        <sz val="11"/>
        <color theme="1"/>
        <rFont val="Calibri"/>
        <family val="2"/>
        <scheme val="minor"/>
      </rPr>
      <t xml:space="preserve"> - Volunteer/no contract
</t>
    </r>
  </si>
  <si>
    <r>
      <t>01</t>
    </r>
    <r>
      <rPr>
        <sz val="11"/>
        <color theme="1"/>
        <rFont val="Calibri"/>
        <family val="2"/>
        <scheme val="minor"/>
      </rPr>
      <t xml:space="preserve"> - Full-time
</t>
    </r>
    <r>
      <rPr>
        <b/>
        <sz val="11"/>
        <color theme="1"/>
        <rFont val="Calibri"/>
        <family val="2"/>
        <scheme val="minor"/>
      </rPr>
      <t>02</t>
    </r>
    <r>
      <rPr>
        <sz val="11"/>
        <color theme="1"/>
        <rFont val="Calibri"/>
        <family val="2"/>
        <scheme val="minor"/>
      </rPr>
      <t xml:space="preserve"> - Less than full-time but at least half-time
</t>
    </r>
    <r>
      <rPr>
        <b/>
        <sz val="11"/>
        <color theme="1"/>
        <rFont val="Calibri"/>
        <family val="2"/>
        <scheme val="minor"/>
      </rPr>
      <t>03</t>
    </r>
    <r>
      <rPr>
        <sz val="11"/>
        <color theme="1"/>
        <rFont val="Calibri"/>
        <family val="2"/>
        <scheme val="minor"/>
      </rPr>
      <t xml:space="preserve"> - Less than half-time
</t>
    </r>
  </si>
  <si>
    <r>
      <t>01812</t>
    </r>
    <r>
      <rPr>
        <sz val="11"/>
        <color theme="1"/>
        <rFont val="Calibri"/>
        <family val="2"/>
        <scheme val="minor"/>
      </rPr>
      <t xml:space="preserve"> - Concurrently enrolled
</t>
    </r>
    <r>
      <rPr>
        <b/>
        <sz val="11"/>
        <color theme="1"/>
        <rFont val="Calibri"/>
        <family val="2"/>
        <scheme val="minor"/>
      </rPr>
      <t>01811</t>
    </r>
    <r>
      <rPr>
        <sz val="11"/>
        <color theme="1"/>
        <rFont val="Calibri"/>
        <family val="2"/>
        <scheme val="minor"/>
      </rPr>
      <t xml:space="preserve"> - Currently enrolled
</t>
    </r>
    <r>
      <rPr>
        <b/>
        <sz val="11"/>
        <color theme="1"/>
        <rFont val="Calibri"/>
        <family val="2"/>
        <scheme val="minor"/>
      </rPr>
      <t>01810</t>
    </r>
    <r>
      <rPr>
        <sz val="11"/>
        <color theme="1"/>
        <rFont val="Calibri"/>
        <family val="2"/>
        <scheme val="minor"/>
      </rPr>
      <t xml:space="preserve"> - Previously enrolled
</t>
    </r>
    <r>
      <rPr>
        <b/>
        <sz val="11"/>
        <color theme="1"/>
        <rFont val="Calibri"/>
        <family val="2"/>
        <scheme val="minor"/>
      </rPr>
      <t>01813</t>
    </r>
    <r>
      <rPr>
        <sz val="11"/>
        <color theme="1"/>
        <rFont val="Calibri"/>
        <family val="2"/>
        <scheme val="minor"/>
      </rPr>
      <t xml:space="preserve"> - Transferring (will enroll)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</si>
  <si>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</si>
  <si>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r>
      <t>01821</t>
    </r>
    <r>
      <rPr>
        <sz val="11"/>
        <color theme="1"/>
        <rFont val="Calibri"/>
        <family val="2"/>
        <scheme val="minor"/>
      </rPr>
      <t xml:space="preserve"> - Transfer from a public school in the same local education agency
</t>
    </r>
    <r>
      <rPr>
        <b/>
        <sz val="11"/>
        <color theme="1"/>
        <rFont val="Calibri"/>
        <family val="2"/>
        <scheme val="minor"/>
      </rPr>
      <t>01822</t>
    </r>
    <r>
      <rPr>
        <sz val="11"/>
        <color theme="1"/>
        <rFont val="Calibri"/>
        <family val="2"/>
        <scheme val="minor"/>
      </rPr>
      <t xml:space="preserve"> - Transfer from a public school in a different local education agency in the same state
</t>
    </r>
    <r>
      <rPr>
        <b/>
        <sz val="11"/>
        <color theme="1"/>
        <rFont val="Calibri"/>
        <family val="2"/>
        <scheme val="minor"/>
      </rPr>
      <t>01823</t>
    </r>
    <r>
      <rPr>
        <sz val="11"/>
        <color theme="1"/>
        <rFont val="Calibri"/>
        <family val="2"/>
        <scheme val="minor"/>
      </rPr>
      <t xml:space="preserve"> - Transfer from a public school in a different state
</t>
    </r>
    <r>
      <rPr>
        <b/>
        <sz val="11"/>
        <color theme="1"/>
        <rFont val="Calibri"/>
        <family val="2"/>
        <scheme val="minor"/>
      </rPr>
      <t>01824</t>
    </r>
    <r>
      <rPr>
        <sz val="11"/>
        <color theme="1"/>
        <rFont val="Calibri"/>
        <family val="2"/>
        <scheme val="minor"/>
      </rPr>
      <t xml:space="preserve"> - Transfer from a private, non-religiously-affiliated school in the same local education agency
</t>
    </r>
    <r>
      <rPr>
        <b/>
        <sz val="11"/>
        <color theme="1"/>
        <rFont val="Calibri"/>
        <family val="2"/>
        <scheme val="minor"/>
      </rPr>
      <t>01825</t>
    </r>
    <r>
      <rPr>
        <sz val="11"/>
        <color theme="1"/>
        <rFont val="Calibri"/>
        <family val="2"/>
        <scheme val="minor"/>
      </rPr>
      <t xml:space="preserve"> - Transfer from a private, non-religiously-affiliated school in a different LEA in the same state
</t>
    </r>
    <r>
      <rPr>
        <b/>
        <sz val="11"/>
        <color theme="1"/>
        <rFont val="Calibri"/>
        <family val="2"/>
        <scheme val="minor"/>
      </rPr>
      <t>01826</t>
    </r>
    <r>
      <rPr>
        <sz val="11"/>
        <color theme="1"/>
        <rFont val="Calibri"/>
        <family val="2"/>
        <scheme val="minor"/>
      </rPr>
      <t xml:space="preserve"> - Transfer from a private, non-religiously-affiliated school in a different state
</t>
    </r>
    <r>
      <rPr>
        <b/>
        <sz val="11"/>
        <color theme="1"/>
        <rFont val="Calibri"/>
        <family val="2"/>
        <scheme val="minor"/>
      </rPr>
      <t>01827</t>
    </r>
    <r>
      <rPr>
        <sz val="11"/>
        <color theme="1"/>
        <rFont val="Calibri"/>
        <family val="2"/>
        <scheme val="minor"/>
      </rPr>
      <t xml:space="preserve"> - Transfer from a private, religiously-affiliated school in the same local education agency
</t>
    </r>
    <r>
      <rPr>
        <b/>
        <sz val="11"/>
        <color theme="1"/>
        <rFont val="Calibri"/>
        <family val="2"/>
        <scheme val="minor"/>
      </rPr>
      <t>01828</t>
    </r>
    <r>
      <rPr>
        <sz val="11"/>
        <color theme="1"/>
        <rFont val="Calibri"/>
        <family val="2"/>
        <scheme val="minor"/>
      </rPr>
      <t xml:space="preserve"> - Transfer from a private, religiously-affiliated school in a different LEA in the same state
</t>
    </r>
    <r>
      <rPr>
        <b/>
        <sz val="11"/>
        <color theme="1"/>
        <rFont val="Calibri"/>
        <family val="2"/>
        <scheme val="minor"/>
      </rPr>
      <t>01829</t>
    </r>
    <r>
      <rPr>
        <sz val="11"/>
        <color theme="1"/>
        <rFont val="Calibri"/>
        <family val="2"/>
        <scheme val="minor"/>
      </rPr>
      <t xml:space="preserve"> - Transfer from a private, religiously-affiliated school in a different state
</t>
    </r>
    <r>
      <rPr>
        <b/>
        <sz val="11"/>
        <color theme="1"/>
        <rFont val="Calibri"/>
        <family val="2"/>
        <scheme val="minor"/>
      </rPr>
      <t>01830</t>
    </r>
    <r>
      <rPr>
        <sz val="11"/>
        <color theme="1"/>
        <rFont val="Calibri"/>
        <family val="2"/>
        <scheme val="minor"/>
      </rPr>
      <t xml:space="preserve"> - Transfer from a school outside of the country
</t>
    </r>
    <r>
      <rPr>
        <b/>
        <sz val="11"/>
        <color theme="1"/>
        <rFont val="Calibri"/>
        <family val="2"/>
        <scheme val="minor"/>
      </rPr>
      <t>01831</t>
    </r>
    <r>
      <rPr>
        <sz val="11"/>
        <color theme="1"/>
        <rFont val="Calibri"/>
        <family val="2"/>
        <scheme val="minor"/>
      </rPr>
      <t xml:space="preserve"> - Transfer from an institution
</t>
    </r>
    <r>
      <rPr>
        <b/>
        <sz val="11"/>
        <color theme="1"/>
        <rFont val="Calibri"/>
        <family val="2"/>
        <scheme val="minor"/>
      </rPr>
      <t>01832</t>
    </r>
    <r>
      <rPr>
        <sz val="11"/>
        <color theme="1"/>
        <rFont val="Calibri"/>
        <family val="2"/>
        <scheme val="minor"/>
      </rPr>
      <t xml:space="preserve"> - Transfer from a charter school
</t>
    </r>
    <r>
      <rPr>
        <b/>
        <sz val="11"/>
        <color theme="1"/>
        <rFont val="Calibri"/>
        <family val="2"/>
        <scheme val="minor"/>
      </rPr>
      <t>01833</t>
    </r>
    <r>
      <rPr>
        <sz val="11"/>
        <color theme="1"/>
        <rFont val="Calibri"/>
        <family val="2"/>
        <scheme val="minor"/>
      </rPr>
      <t xml:space="preserve"> - Transfer from home schooling
</t>
    </r>
    <r>
      <rPr>
        <b/>
        <sz val="11"/>
        <color theme="1"/>
        <rFont val="Calibri"/>
        <family val="2"/>
        <scheme val="minor"/>
      </rPr>
      <t>01835</t>
    </r>
    <r>
      <rPr>
        <sz val="11"/>
        <color theme="1"/>
        <rFont val="Calibri"/>
        <family val="2"/>
        <scheme val="minor"/>
      </rPr>
      <t xml:space="preserve"> - Re-entry from the same school with no interruption of schooling
</t>
    </r>
    <r>
      <rPr>
        <b/>
        <sz val="11"/>
        <color theme="1"/>
        <rFont val="Calibri"/>
        <family val="2"/>
        <scheme val="minor"/>
      </rPr>
      <t>01836</t>
    </r>
    <r>
      <rPr>
        <sz val="11"/>
        <color theme="1"/>
        <rFont val="Calibri"/>
        <family val="2"/>
        <scheme val="minor"/>
      </rPr>
      <t xml:space="preserve"> - Re-entry after a voluntary withdrawal
</t>
    </r>
    <r>
      <rPr>
        <b/>
        <sz val="11"/>
        <color theme="1"/>
        <rFont val="Calibri"/>
        <family val="2"/>
        <scheme val="minor"/>
      </rPr>
      <t>01837</t>
    </r>
    <r>
      <rPr>
        <sz val="11"/>
        <color theme="1"/>
        <rFont val="Calibri"/>
        <family val="2"/>
        <scheme val="minor"/>
      </rPr>
      <t xml:space="preserve"> - Re-entry after an involuntary withdrawal
</t>
    </r>
    <r>
      <rPr>
        <b/>
        <sz val="11"/>
        <color theme="1"/>
        <rFont val="Calibri"/>
        <family val="2"/>
        <scheme val="minor"/>
      </rPr>
      <t>01838</t>
    </r>
    <r>
      <rPr>
        <sz val="11"/>
        <color theme="1"/>
        <rFont val="Calibri"/>
        <family val="2"/>
        <scheme val="minor"/>
      </rPr>
      <t xml:space="preserve"> - Original entry into a United States school
</t>
    </r>
    <r>
      <rPr>
        <b/>
        <sz val="11"/>
        <color theme="1"/>
        <rFont val="Calibri"/>
        <family val="2"/>
        <scheme val="minor"/>
      </rPr>
      <t>01839</t>
    </r>
    <r>
      <rPr>
        <sz val="11"/>
        <color theme="1"/>
        <rFont val="Calibri"/>
        <family val="2"/>
        <scheme val="minor"/>
      </rPr>
      <t xml:space="preserve"> - Original entry into a United States school from a foreign country with no interruption in schooling
</t>
    </r>
    <r>
      <rPr>
        <b/>
        <sz val="11"/>
        <color theme="1"/>
        <rFont val="Calibri"/>
        <family val="2"/>
        <scheme val="minor"/>
      </rPr>
      <t>01840</t>
    </r>
    <r>
      <rPr>
        <sz val="11"/>
        <color theme="1"/>
        <rFont val="Calibri"/>
        <family val="2"/>
        <scheme val="minor"/>
      </rPr>
      <t xml:space="preserve"> - Original entry into a United States school from a foreign country with an interruption in schooling
</t>
    </r>
    <r>
      <rPr>
        <b/>
        <sz val="11"/>
        <color theme="1"/>
        <rFont val="Calibri"/>
        <family val="2"/>
        <scheme val="minor"/>
      </rPr>
      <t>09999</t>
    </r>
    <r>
      <rPr>
        <sz val="11"/>
        <color theme="1"/>
        <rFont val="Calibri"/>
        <family val="2"/>
        <scheme val="minor"/>
      </rPr>
      <t xml:space="preserve"> - Other
</t>
    </r>
  </si>
  <si>
    <r>
      <t>01907</t>
    </r>
    <r>
      <rPr>
        <sz val="11"/>
        <color theme="1"/>
        <rFont val="Calibri"/>
        <family val="2"/>
        <scheme val="minor"/>
      </rPr>
      <t xml:space="preserve"> - Student is in a different public school in the same local education agency
</t>
    </r>
    <r>
      <rPr>
        <b/>
        <sz val="11"/>
        <color theme="1"/>
        <rFont val="Calibri"/>
        <family val="2"/>
        <scheme val="minor"/>
      </rPr>
      <t>01908</t>
    </r>
    <r>
      <rPr>
        <sz val="11"/>
        <color theme="1"/>
        <rFont val="Calibri"/>
        <family val="2"/>
        <scheme val="minor"/>
      </rPr>
      <t xml:space="preserve"> - Transferred to a public school in a different local education agency in the same state
</t>
    </r>
    <r>
      <rPr>
        <b/>
        <sz val="11"/>
        <color theme="1"/>
        <rFont val="Calibri"/>
        <family val="2"/>
        <scheme val="minor"/>
      </rPr>
      <t>01909</t>
    </r>
    <r>
      <rPr>
        <sz val="11"/>
        <color theme="1"/>
        <rFont val="Calibri"/>
        <family val="2"/>
        <scheme val="minor"/>
      </rPr>
      <t xml:space="preserve"> - Transferred to a public school in a different state
</t>
    </r>
    <r>
      <rPr>
        <b/>
        <sz val="11"/>
        <color theme="1"/>
        <rFont val="Calibri"/>
        <family val="2"/>
        <scheme val="minor"/>
      </rPr>
      <t>01910</t>
    </r>
    <r>
      <rPr>
        <sz val="11"/>
        <color theme="1"/>
        <rFont val="Calibri"/>
        <family val="2"/>
        <scheme val="minor"/>
      </rPr>
      <t xml:space="preserve"> - Transferred to a private, non-religiously-affiliated school in the same local education agency
</t>
    </r>
    <r>
      <rPr>
        <b/>
        <sz val="11"/>
        <color theme="1"/>
        <rFont val="Calibri"/>
        <family val="2"/>
        <scheme val="minor"/>
      </rPr>
      <t>01911</t>
    </r>
    <r>
      <rPr>
        <sz val="11"/>
        <color theme="1"/>
        <rFont val="Calibri"/>
        <family val="2"/>
        <scheme val="minor"/>
      </rPr>
      <t xml:space="preserve"> - Transferred to a private, non-religiously-affiliated school in a different LEA in the same state
</t>
    </r>
    <r>
      <rPr>
        <b/>
        <sz val="11"/>
        <color theme="1"/>
        <rFont val="Calibri"/>
        <family val="2"/>
        <scheme val="minor"/>
      </rPr>
      <t>01912</t>
    </r>
    <r>
      <rPr>
        <sz val="11"/>
        <color theme="1"/>
        <rFont val="Calibri"/>
        <family val="2"/>
        <scheme val="minor"/>
      </rPr>
      <t xml:space="preserve"> - Transferred to a private, non-religiously-affiliated school in a different state
</t>
    </r>
    <r>
      <rPr>
        <b/>
        <sz val="11"/>
        <color theme="1"/>
        <rFont val="Calibri"/>
        <family val="2"/>
        <scheme val="minor"/>
      </rPr>
      <t>01913</t>
    </r>
    <r>
      <rPr>
        <sz val="11"/>
        <color theme="1"/>
        <rFont val="Calibri"/>
        <family val="2"/>
        <scheme val="minor"/>
      </rPr>
      <t xml:space="preserve"> - Transferred to a private, religiously-affiliated school in the same local education agency
</t>
    </r>
    <r>
      <rPr>
        <b/>
        <sz val="11"/>
        <color theme="1"/>
        <rFont val="Calibri"/>
        <family val="2"/>
        <scheme val="minor"/>
      </rPr>
      <t>01914</t>
    </r>
    <r>
      <rPr>
        <sz val="11"/>
        <color theme="1"/>
        <rFont val="Calibri"/>
        <family val="2"/>
        <scheme val="minor"/>
      </rPr>
      <t xml:space="preserve"> - Transferred to a private, religiously-affiliated school in a different LEA in the same state
</t>
    </r>
    <r>
      <rPr>
        <b/>
        <sz val="11"/>
        <color theme="1"/>
        <rFont val="Calibri"/>
        <family val="2"/>
        <scheme val="minor"/>
      </rPr>
      <t>01915</t>
    </r>
    <r>
      <rPr>
        <sz val="11"/>
        <color theme="1"/>
        <rFont val="Calibri"/>
        <family val="2"/>
        <scheme val="minor"/>
      </rPr>
      <t xml:space="preserve"> - Transferred to a private, religiously-affiliated school in a different state
</t>
    </r>
    <r>
      <rPr>
        <b/>
        <sz val="11"/>
        <color theme="1"/>
        <rFont val="Calibri"/>
        <family val="2"/>
        <scheme val="minor"/>
      </rPr>
      <t>01916</t>
    </r>
    <r>
      <rPr>
        <sz val="11"/>
        <color theme="1"/>
        <rFont val="Calibri"/>
        <family val="2"/>
        <scheme val="minor"/>
      </rPr>
      <t xml:space="preserve"> - Transferred to a school outside of the country
</t>
    </r>
    <r>
      <rPr>
        <b/>
        <sz val="11"/>
        <color theme="1"/>
        <rFont val="Calibri"/>
        <family val="2"/>
        <scheme val="minor"/>
      </rPr>
      <t>01917</t>
    </r>
    <r>
      <rPr>
        <sz val="11"/>
        <color theme="1"/>
        <rFont val="Calibri"/>
        <family val="2"/>
        <scheme val="minor"/>
      </rPr>
      <t xml:space="preserve"> - Transferred to an institution
</t>
    </r>
    <r>
      <rPr>
        <b/>
        <sz val="11"/>
        <color theme="1"/>
        <rFont val="Calibri"/>
        <family val="2"/>
        <scheme val="minor"/>
      </rPr>
      <t>01918</t>
    </r>
    <r>
      <rPr>
        <sz val="11"/>
        <color theme="1"/>
        <rFont val="Calibri"/>
        <family val="2"/>
        <scheme val="minor"/>
      </rPr>
      <t xml:space="preserve"> - Transferred to home schooling
</t>
    </r>
    <r>
      <rPr>
        <b/>
        <sz val="11"/>
        <color theme="1"/>
        <rFont val="Calibri"/>
        <family val="2"/>
        <scheme val="minor"/>
      </rPr>
      <t>01919</t>
    </r>
    <r>
      <rPr>
        <sz val="11"/>
        <color theme="1"/>
        <rFont val="Calibri"/>
        <family val="2"/>
        <scheme val="minor"/>
      </rPr>
      <t xml:space="preserve"> - Transferred to a charter school
</t>
    </r>
    <r>
      <rPr>
        <b/>
        <sz val="11"/>
        <color theme="1"/>
        <rFont val="Calibri"/>
        <family val="2"/>
        <scheme val="minor"/>
      </rPr>
      <t>01921</t>
    </r>
    <r>
      <rPr>
        <sz val="11"/>
        <color theme="1"/>
        <rFont val="Calibri"/>
        <family val="2"/>
        <scheme val="minor"/>
      </rPr>
      <t xml:space="preserve"> - Graduated with regular, advanced, International Baccalaureate, or other type of diploma
</t>
    </r>
    <r>
      <rPr>
        <b/>
        <sz val="11"/>
        <color theme="1"/>
        <rFont val="Calibri"/>
        <family val="2"/>
        <scheme val="minor"/>
      </rPr>
      <t>01922</t>
    </r>
    <r>
      <rPr>
        <sz val="11"/>
        <color theme="1"/>
        <rFont val="Calibri"/>
        <family val="2"/>
        <scheme val="minor"/>
      </rPr>
      <t xml:space="preserve"> - Completed school with other credentials
</t>
    </r>
    <r>
      <rPr>
        <b/>
        <sz val="11"/>
        <color theme="1"/>
        <rFont val="Calibri"/>
        <family val="2"/>
        <scheme val="minor"/>
      </rPr>
      <t>01923</t>
    </r>
    <r>
      <rPr>
        <sz val="11"/>
        <color theme="1"/>
        <rFont val="Calibri"/>
        <family val="2"/>
        <scheme val="minor"/>
      </rPr>
      <t xml:space="preserve"> - Died or is permanently incapacitated
</t>
    </r>
    <r>
      <rPr>
        <b/>
        <sz val="11"/>
        <color theme="1"/>
        <rFont val="Calibri"/>
        <family val="2"/>
        <scheme val="minor"/>
      </rPr>
      <t>01924</t>
    </r>
    <r>
      <rPr>
        <sz val="11"/>
        <color theme="1"/>
        <rFont val="Calibri"/>
        <family val="2"/>
        <scheme val="minor"/>
      </rPr>
      <t xml:space="preserve"> - Withdrawn due to illness
</t>
    </r>
    <r>
      <rPr>
        <b/>
        <sz val="11"/>
        <color theme="1"/>
        <rFont val="Calibri"/>
        <family val="2"/>
        <scheme val="minor"/>
      </rPr>
      <t>01925</t>
    </r>
    <r>
      <rPr>
        <sz val="11"/>
        <color theme="1"/>
        <rFont val="Calibri"/>
        <family val="2"/>
        <scheme val="minor"/>
      </rPr>
      <t xml:space="preserve"> - Expelled or involuntarily withdrawn
</t>
    </r>
    <r>
      <rPr>
        <b/>
        <sz val="11"/>
        <color theme="1"/>
        <rFont val="Calibri"/>
        <family val="2"/>
        <scheme val="minor"/>
      </rPr>
      <t>01926</t>
    </r>
    <r>
      <rPr>
        <sz val="11"/>
        <color theme="1"/>
        <rFont val="Calibri"/>
        <family val="2"/>
        <scheme val="minor"/>
      </rPr>
      <t xml:space="preserve"> - Reached maximum age for services
</t>
    </r>
    <r>
      <rPr>
        <b/>
        <sz val="11"/>
        <color theme="1"/>
        <rFont val="Calibri"/>
        <family val="2"/>
        <scheme val="minor"/>
      </rPr>
      <t>01927</t>
    </r>
    <r>
      <rPr>
        <sz val="11"/>
        <color theme="1"/>
        <rFont val="Calibri"/>
        <family val="2"/>
        <scheme val="minor"/>
      </rPr>
      <t xml:space="preserve"> - Discontinued schooling
</t>
    </r>
    <r>
      <rPr>
        <b/>
        <sz val="11"/>
        <color theme="1"/>
        <rFont val="Calibri"/>
        <family val="2"/>
        <scheme val="minor"/>
      </rPr>
      <t>01928</t>
    </r>
    <r>
      <rPr>
        <sz val="11"/>
        <color theme="1"/>
        <rFont val="Calibri"/>
        <family val="2"/>
        <scheme val="minor"/>
      </rPr>
      <t xml:space="preserve"> - Completed grade 12, but did not meet all graduation requirements
</t>
    </r>
    <r>
      <rPr>
        <b/>
        <sz val="11"/>
        <color theme="1"/>
        <rFont val="Calibri"/>
        <family val="2"/>
        <scheme val="minor"/>
      </rPr>
      <t>01930</t>
    </r>
    <r>
      <rPr>
        <sz val="11"/>
        <color theme="1"/>
        <rFont val="Calibri"/>
        <family val="2"/>
        <scheme val="minor"/>
      </rPr>
      <t xml:space="preserve"> - Enrolled in a postsecondary early admission program, eligible to return
</t>
    </r>
    <r>
      <rPr>
        <b/>
        <sz val="11"/>
        <color theme="1"/>
        <rFont val="Calibri"/>
        <family val="2"/>
        <scheme val="minor"/>
      </rPr>
      <t>01931</t>
    </r>
    <r>
      <rPr>
        <sz val="11"/>
        <color theme="1"/>
        <rFont val="Calibri"/>
        <family val="2"/>
        <scheme val="minor"/>
      </rPr>
      <t xml:space="preserve"> - Not enrolled, unknown status
</t>
    </r>
    <r>
      <rPr>
        <b/>
        <sz val="11"/>
        <color theme="1"/>
        <rFont val="Calibri"/>
        <family val="2"/>
        <scheme val="minor"/>
      </rPr>
      <t>03499</t>
    </r>
    <r>
      <rPr>
        <sz val="11"/>
        <color theme="1"/>
        <rFont val="Calibri"/>
        <family val="2"/>
        <scheme val="minor"/>
      </rPr>
      <t xml:space="preserve"> - Student is in the same LEA, receiving education services, but is not assigned to a particular school
</t>
    </r>
    <r>
      <rPr>
        <b/>
        <sz val="11"/>
        <color theme="1"/>
        <rFont val="Calibri"/>
        <family val="2"/>
        <scheme val="minor"/>
      </rPr>
      <t>03502</t>
    </r>
    <r>
      <rPr>
        <sz val="11"/>
        <color theme="1"/>
        <rFont val="Calibri"/>
        <family val="2"/>
        <scheme val="minor"/>
      </rPr>
      <t xml:space="preserve"> - Not enrolled, eligible to return
</t>
    </r>
    <r>
      <rPr>
        <b/>
        <sz val="11"/>
        <color theme="1"/>
        <rFont val="Calibri"/>
        <family val="2"/>
        <scheme val="minor"/>
      </rPr>
      <t>03503</t>
    </r>
    <r>
      <rPr>
        <sz val="11"/>
        <color theme="1"/>
        <rFont val="Calibri"/>
        <family val="2"/>
        <scheme val="minor"/>
      </rPr>
      <t xml:space="preserve"> - Enrolled in a foreign exchange program, eligible to return
</t>
    </r>
    <r>
      <rPr>
        <b/>
        <sz val="11"/>
        <color theme="1"/>
        <rFont val="Calibri"/>
        <family val="2"/>
        <scheme val="minor"/>
      </rPr>
      <t>03504</t>
    </r>
    <r>
      <rPr>
        <sz val="11"/>
        <color theme="1"/>
        <rFont val="Calibri"/>
        <family val="2"/>
        <scheme val="minor"/>
      </rPr>
      <t xml:space="preserve"> - Withdrawn from school, under the age for compulsory attendance; eligible to return
</t>
    </r>
    <r>
      <rPr>
        <b/>
        <sz val="11"/>
        <color theme="1"/>
        <rFont val="Calibri"/>
        <family val="2"/>
        <scheme val="minor"/>
      </rPr>
      <t>03505</t>
    </r>
    <r>
      <rPr>
        <sz val="11"/>
        <color theme="1"/>
        <rFont val="Calibri"/>
        <family val="2"/>
        <scheme val="minor"/>
      </rPr>
      <t xml:space="preserve"> - Exited
</t>
    </r>
    <r>
      <rPr>
        <b/>
        <sz val="11"/>
        <color theme="1"/>
        <rFont val="Calibri"/>
        <family val="2"/>
        <scheme val="minor"/>
      </rPr>
      <t>03508</t>
    </r>
    <r>
      <rPr>
        <sz val="11"/>
        <color theme="1"/>
        <rFont val="Calibri"/>
        <family val="2"/>
        <scheme val="minor"/>
      </rPr>
      <t xml:space="preserve"> - Student is in a charter school managed by the same local education agency
</t>
    </r>
    <r>
      <rPr>
        <b/>
        <sz val="11"/>
        <color theme="1"/>
        <rFont val="Calibri"/>
        <family val="2"/>
        <scheme val="minor"/>
      </rPr>
      <t>03509</t>
    </r>
    <r>
      <rPr>
        <sz val="11"/>
        <color theme="1"/>
        <rFont val="Calibri"/>
        <family val="2"/>
        <scheme val="minor"/>
      </rPr>
      <t xml:space="preserve"> - Completed with a state-recognized equivalency certificate
</t>
    </r>
    <r>
      <rPr>
        <b/>
        <sz val="11"/>
        <color theme="1"/>
        <rFont val="Calibri"/>
        <family val="2"/>
        <scheme val="minor"/>
      </rPr>
      <t>73060</t>
    </r>
    <r>
      <rPr>
        <sz val="11"/>
        <color theme="1"/>
        <rFont val="Calibri"/>
        <family val="2"/>
        <scheme val="minor"/>
      </rPr>
      <t xml:space="preserve"> - Officially withdrew and enrolled in ABE, adult secondary education, or adult ESL program
</t>
    </r>
    <r>
      <rPr>
        <b/>
        <sz val="11"/>
        <color theme="1"/>
        <rFont val="Calibri"/>
        <family val="2"/>
        <scheme val="minor"/>
      </rPr>
      <t>73061</t>
    </r>
    <r>
      <rPr>
        <sz val="11"/>
        <color theme="1"/>
        <rFont val="Calibri"/>
        <family val="2"/>
        <scheme val="minor"/>
      </rPr>
      <t xml:space="preserve"> - Officially withdrew and enrolled in a workforce training program
</t>
    </r>
    <r>
      <rPr>
        <b/>
        <sz val="11"/>
        <color theme="1"/>
        <rFont val="Calibri"/>
        <family val="2"/>
        <scheme val="minor"/>
      </rPr>
      <t>09999</t>
    </r>
    <r>
      <rPr>
        <sz val="11"/>
        <color theme="1"/>
        <rFont val="Calibri"/>
        <family val="2"/>
        <scheme val="minor"/>
      </rPr>
      <t xml:space="preserve"> - Other
</t>
    </r>
  </si>
  <si>
    <r>
      <t>06262</t>
    </r>
    <r>
      <rPr>
        <sz val="11"/>
        <color theme="1"/>
        <rFont val="Calibri"/>
        <family val="2"/>
        <scheme val="minor"/>
      </rPr>
      <t xml:space="preserve"> - Attempts to contact the parent and/or child were unsuccessful
</t>
    </r>
    <r>
      <rPr>
        <b/>
        <sz val="11"/>
        <color theme="1"/>
        <rFont val="Calibri"/>
        <family val="2"/>
        <scheme val="minor"/>
      </rPr>
      <t>02226</t>
    </r>
    <r>
      <rPr>
        <sz val="11"/>
        <color theme="1"/>
        <rFont val="Calibri"/>
        <family val="2"/>
        <scheme val="minor"/>
      </rPr>
      <t xml:space="preserve"> - Completion of IFSP prior to reaching maximum age for Part C
</t>
    </r>
    <r>
      <rPr>
        <b/>
        <sz val="11"/>
        <color theme="1"/>
        <rFont val="Calibri"/>
        <family val="2"/>
        <scheme val="minor"/>
      </rPr>
      <t>01923</t>
    </r>
    <r>
      <rPr>
        <sz val="11"/>
        <color theme="1"/>
        <rFont val="Calibri"/>
        <family val="2"/>
        <scheme val="minor"/>
      </rPr>
      <t xml:space="preserve"> - Died or is permanently incapacitated
</t>
    </r>
    <r>
      <rPr>
        <b/>
        <sz val="11"/>
        <color theme="1"/>
        <rFont val="Calibri"/>
        <family val="2"/>
        <scheme val="minor"/>
      </rPr>
      <t>01927</t>
    </r>
    <r>
      <rPr>
        <sz val="11"/>
        <color theme="1"/>
        <rFont val="Calibri"/>
        <family val="2"/>
        <scheme val="minor"/>
      </rPr>
      <t xml:space="preserve"> - Discontinued schooling
</t>
    </r>
    <r>
      <rPr>
        <b/>
        <sz val="11"/>
        <color theme="1"/>
        <rFont val="Calibri"/>
        <family val="2"/>
        <scheme val="minor"/>
      </rPr>
      <t>02222</t>
    </r>
    <r>
      <rPr>
        <sz val="11"/>
        <color theme="1"/>
        <rFont val="Calibri"/>
        <family val="2"/>
        <scheme val="minor"/>
      </rPr>
      <t xml:space="preserve"> - Discontinued schooling, not special education
</t>
    </r>
    <r>
      <rPr>
        <b/>
        <sz val="11"/>
        <color theme="1"/>
        <rFont val="Calibri"/>
        <family val="2"/>
        <scheme val="minor"/>
      </rPr>
      <t>02221</t>
    </r>
    <r>
      <rPr>
        <sz val="11"/>
        <color theme="1"/>
        <rFont val="Calibri"/>
        <family val="2"/>
        <scheme val="minor"/>
      </rPr>
      <t xml:space="preserve"> - Discontinued schooling, special education only
</t>
    </r>
    <r>
      <rPr>
        <b/>
        <sz val="11"/>
        <color theme="1"/>
        <rFont val="Calibri"/>
        <family val="2"/>
        <scheme val="minor"/>
      </rPr>
      <t>02227</t>
    </r>
    <r>
      <rPr>
        <sz val="11"/>
        <color theme="1"/>
        <rFont val="Calibri"/>
        <family val="2"/>
        <scheme val="minor"/>
      </rPr>
      <t xml:space="preserve"> - Eligible for IDEA, Part B
</t>
    </r>
    <r>
      <rPr>
        <b/>
        <sz val="11"/>
        <color theme="1"/>
        <rFont val="Calibri"/>
        <family val="2"/>
        <scheme val="minor"/>
      </rPr>
      <t>02224</t>
    </r>
    <r>
      <rPr>
        <sz val="11"/>
        <color theme="1"/>
        <rFont val="Calibri"/>
        <family val="2"/>
        <scheme val="minor"/>
      </rPr>
      <t xml:space="preserve"> - Expulsion
</t>
    </r>
    <r>
      <rPr>
        <b/>
        <sz val="11"/>
        <color theme="1"/>
        <rFont val="Calibri"/>
        <family val="2"/>
        <scheme val="minor"/>
      </rPr>
      <t>02212</t>
    </r>
    <r>
      <rPr>
        <sz val="11"/>
        <color theme="1"/>
        <rFont val="Calibri"/>
        <family val="2"/>
        <scheme val="minor"/>
      </rPr>
      <t xml:space="preserve"> - Graduated with a high school diploma
</t>
    </r>
    <r>
      <rPr>
        <b/>
        <sz val="11"/>
        <color theme="1"/>
        <rFont val="Calibri"/>
        <family val="2"/>
        <scheme val="minor"/>
      </rPr>
      <t>02231</t>
    </r>
    <r>
      <rPr>
        <sz val="11"/>
        <color theme="1"/>
        <rFont val="Calibri"/>
        <family val="2"/>
        <scheme val="minor"/>
      </rPr>
      <t xml:space="preserve"> - Moved out of state
</t>
    </r>
    <r>
      <rPr>
        <b/>
        <sz val="11"/>
        <color theme="1"/>
        <rFont val="Calibri"/>
        <family val="2"/>
        <scheme val="minor"/>
      </rPr>
      <t>02216</t>
    </r>
    <r>
      <rPr>
        <sz val="11"/>
        <color theme="1"/>
        <rFont val="Calibri"/>
        <family val="2"/>
        <scheme val="minor"/>
      </rPr>
      <t xml:space="preserve"> - No longer receiving special education
</t>
    </r>
    <r>
      <rPr>
        <b/>
        <sz val="11"/>
        <color theme="1"/>
        <rFont val="Calibri"/>
        <family val="2"/>
        <scheme val="minor"/>
      </rPr>
      <t>06261</t>
    </r>
    <r>
      <rPr>
        <sz val="11"/>
        <color theme="1"/>
        <rFont val="Calibri"/>
        <family val="2"/>
        <scheme val="minor"/>
      </rPr>
      <t xml:space="preserve"> - Not eligible for Part B, exit with no referrals
</t>
    </r>
    <r>
      <rPr>
        <b/>
        <sz val="11"/>
        <color theme="1"/>
        <rFont val="Calibri"/>
        <family val="2"/>
        <scheme val="minor"/>
      </rPr>
      <t>73075</t>
    </r>
    <r>
      <rPr>
        <sz val="11"/>
        <color theme="1"/>
        <rFont val="Calibri"/>
        <family val="2"/>
        <scheme val="minor"/>
      </rPr>
      <t xml:space="preserve"> - Moved within the US, not known to be continuing
</t>
    </r>
    <r>
      <rPr>
        <b/>
        <sz val="11"/>
        <color theme="1"/>
        <rFont val="Calibri"/>
        <family val="2"/>
        <scheme val="minor"/>
      </rPr>
      <t>02228</t>
    </r>
    <r>
      <rPr>
        <sz val="11"/>
        <color theme="1"/>
        <rFont val="Calibri"/>
        <family val="2"/>
        <scheme val="minor"/>
      </rPr>
      <t xml:space="preserve"> - Not eligible for Part B, exit with referrals to other programs
</t>
    </r>
    <r>
      <rPr>
        <b/>
        <sz val="11"/>
        <color theme="1"/>
        <rFont val="Calibri"/>
        <family val="2"/>
        <scheme val="minor"/>
      </rPr>
      <t>02230</t>
    </r>
    <r>
      <rPr>
        <sz val="11"/>
        <color theme="1"/>
        <rFont val="Calibri"/>
        <family val="2"/>
        <scheme val="minor"/>
      </rPr>
      <t xml:space="preserve"> - Part B eligibility not determined
</t>
    </r>
    <r>
      <rPr>
        <b/>
        <sz val="11"/>
        <color theme="1"/>
        <rFont val="Calibri"/>
        <family val="2"/>
        <scheme val="minor"/>
      </rPr>
      <t>02214</t>
    </r>
    <r>
      <rPr>
        <sz val="11"/>
        <color theme="1"/>
        <rFont val="Calibri"/>
        <family val="2"/>
        <scheme val="minor"/>
      </rPr>
      <t xml:space="preserve"> - Program completion
</t>
    </r>
    <r>
      <rPr>
        <b/>
        <sz val="11"/>
        <color theme="1"/>
        <rFont val="Calibri"/>
        <family val="2"/>
        <scheme val="minor"/>
      </rPr>
      <t>02225</t>
    </r>
    <r>
      <rPr>
        <sz val="11"/>
        <color theme="1"/>
        <rFont val="Calibri"/>
        <family val="2"/>
        <scheme val="minor"/>
      </rPr>
      <t xml:space="preserve"> - Program discontinued
</t>
    </r>
    <r>
      <rPr>
        <b/>
        <sz val="11"/>
        <color theme="1"/>
        <rFont val="Calibri"/>
        <family val="2"/>
        <scheme val="minor"/>
      </rPr>
      <t>02215</t>
    </r>
    <r>
      <rPr>
        <sz val="11"/>
        <color theme="1"/>
        <rFont val="Calibri"/>
        <family val="2"/>
        <scheme val="minor"/>
      </rPr>
      <t xml:space="preserve"> - Reached maximum age
</t>
    </r>
    <r>
      <rPr>
        <b/>
        <sz val="11"/>
        <color theme="1"/>
        <rFont val="Calibri"/>
        <family val="2"/>
        <scheme val="minor"/>
      </rPr>
      <t>02213</t>
    </r>
    <r>
      <rPr>
        <sz val="11"/>
        <color theme="1"/>
        <rFont val="Calibri"/>
        <family val="2"/>
        <scheme val="minor"/>
      </rPr>
      <t xml:space="preserve"> - Received certificate of completion, modified diploma, or finished IEP requirements
</t>
    </r>
    <r>
      <rPr>
        <b/>
        <sz val="11"/>
        <color theme="1"/>
        <rFont val="Calibri"/>
        <family val="2"/>
        <scheme val="minor"/>
      </rPr>
      <t>02217</t>
    </r>
    <r>
      <rPr>
        <sz val="11"/>
        <color theme="1"/>
        <rFont val="Calibri"/>
        <family val="2"/>
        <scheme val="minor"/>
      </rPr>
      <t xml:space="preserve"> - Refused services
</t>
    </r>
    <r>
      <rPr>
        <b/>
        <sz val="11"/>
        <color theme="1"/>
        <rFont val="Calibri"/>
        <family val="2"/>
        <scheme val="minor"/>
      </rPr>
      <t>73076</t>
    </r>
    <r>
      <rPr>
        <sz val="11"/>
        <color theme="1"/>
        <rFont val="Calibri"/>
        <family val="2"/>
        <scheme val="minor"/>
      </rPr>
      <t xml:space="preserve"> - Student data claimed in error/never attended
</t>
    </r>
    <r>
      <rPr>
        <b/>
        <sz val="11"/>
        <color theme="1"/>
        <rFont val="Calibri"/>
        <family val="2"/>
        <scheme val="minor"/>
      </rPr>
      <t>73078</t>
    </r>
    <r>
      <rPr>
        <sz val="11"/>
        <color theme="1"/>
        <rFont val="Calibri"/>
        <family val="2"/>
        <scheme val="minor"/>
      </rPr>
      <t xml:space="preserve"> - Student moved to another country, may or may not be continuing
</t>
    </r>
    <r>
      <rPr>
        <b/>
        <sz val="11"/>
        <color theme="1"/>
        <rFont val="Calibri"/>
        <family val="2"/>
        <scheme val="minor"/>
      </rPr>
      <t>73079</t>
    </r>
    <r>
      <rPr>
        <sz val="11"/>
        <color theme="1"/>
        <rFont val="Calibri"/>
        <family val="2"/>
        <scheme val="minor"/>
      </rPr>
      <t xml:space="preserve"> - Student with disabilities remaining in school to receive transitional services
</t>
    </r>
    <r>
      <rPr>
        <b/>
        <sz val="11"/>
        <color theme="1"/>
        <rFont val="Calibri"/>
        <family val="2"/>
        <scheme val="minor"/>
      </rPr>
      <t>02220</t>
    </r>
    <r>
      <rPr>
        <sz val="11"/>
        <color theme="1"/>
        <rFont val="Calibri"/>
        <family val="2"/>
        <scheme val="minor"/>
      </rPr>
      <t xml:space="preserve"> - Suspended from school
</t>
    </r>
    <r>
      <rPr>
        <b/>
        <sz val="11"/>
        <color theme="1"/>
        <rFont val="Calibri"/>
        <family val="2"/>
        <scheme val="minor"/>
      </rPr>
      <t>02406</t>
    </r>
    <r>
      <rPr>
        <sz val="11"/>
        <color theme="1"/>
        <rFont val="Calibri"/>
        <family val="2"/>
        <scheme val="minor"/>
      </rPr>
      <t xml:space="preserve"> - Transferred to another district or school, known not to be continuing in program/service
</t>
    </r>
    <r>
      <rPr>
        <b/>
        <sz val="11"/>
        <color theme="1"/>
        <rFont val="Calibri"/>
        <family val="2"/>
        <scheme val="minor"/>
      </rPr>
      <t>02218</t>
    </r>
    <r>
      <rPr>
        <sz val="11"/>
        <color theme="1"/>
        <rFont val="Calibri"/>
        <family val="2"/>
        <scheme val="minor"/>
      </rPr>
      <t xml:space="preserve"> - Transferred to another district or school, known to be continuing in program/service
</t>
    </r>
    <r>
      <rPr>
        <b/>
        <sz val="11"/>
        <color theme="1"/>
        <rFont val="Calibri"/>
        <family val="2"/>
        <scheme val="minor"/>
      </rPr>
      <t>02219</t>
    </r>
    <r>
      <rPr>
        <sz val="11"/>
        <color theme="1"/>
        <rFont val="Calibri"/>
        <family val="2"/>
        <scheme val="minor"/>
      </rPr>
      <t xml:space="preserve"> - Transferred to another district or school, not known to be continuing in program/service
</t>
    </r>
    <r>
      <rPr>
        <b/>
        <sz val="11"/>
        <color theme="1"/>
        <rFont val="Calibri"/>
        <family val="2"/>
        <scheme val="minor"/>
      </rPr>
      <t>73077</t>
    </r>
    <r>
      <rPr>
        <sz val="11"/>
        <color theme="1"/>
        <rFont val="Calibri"/>
        <family val="2"/>
        <scheme val="minor"/>
      </rPr>
      <t xml:space="preserve"> - Transferred to a juvenile or adult correctional facility where educational services are not provided
</t>
    </r>
    <r>
      <rPr>
        <b/>
        <sz val="11"/>
        <color theme="1"/>
        <rFont val="Calibri"/>
        <family val="2"/>
        <scheme val="minor"/>
      </rPr>
      <t>02233</t>
    </r>
    <r>
      <rPr>
        <sz val="11"/>
        <color theme="1"/>
        <rFont val="Calibri"/>
        <family val="2"/>
        <scheme val="minor"/>
      </rPr>
      <t xml:space="preserve"> - Unknown reason
</t>
    </r>
    <r>
      <rPr>
        <b/>
        <sz val="11"/>
        <color theme="1"/>
        <rFont val="Calibri"/>
        <family val="2"/>
        <scheme val="minor"/>
      </rPr>
      <t>02232</t>
    </r>
    <r>
      <rPr>
        <sz val="11"/>
        <color theme="1"/>
        <rFont val="Calibri"/>
        <family val="2"/>
        <scheme val="minor"/>
      </rPr>
      <t xml:space="preserve"> - Withdrawal by a parent (or guardian)
</t>
    </r>
    <r>
      <rPr>
        <b/>
        <sz val="11"/>
        <color theme="1"/>
        <rFont val="Calibri"/>
        <family val="2"/>
        <scheme val="minor"/>
      </rPr>
      <t>09999</t>
    </r>
    <r>
      <rPr>
        <sz val="11"/>
        <color theme="1"/>
        <rFont val="Calibri"/>
        <family val="2"/>
        <scheme val="minor"/>
      </rPr>
      <t xml:space="preserve"> - Other
</t>
    </r>
  </si>
  <si>
    <r>
      <t>ForProfit</t>
    </r>
    <r>
      <rPr>
        <sz val="11"/>
        <color theme="1"/>
        <rFont val="Calibri"/>
        <family val="2"/>
        <scheme val="minor"/>
      </rPr>
      <t xml:space="preserve"> - For-profit facility
</t>
    </r>
    <r>
      <rPr>
        <b/>
        <sz val="11"/>
        <color theme="1"/>
        <rFont val="Calibri"/>
        <family val="2"/>
        <scheme val="minor"/>
      </rPr>
      <t>NonProfit</t>
    </r>
    <r>
      <rPr>
        <sz val="11"/>
        <color theme="1"/>
        <rFont val="Calibri"/>
        <family val="2"/>
        <scheme val="minor"/>
      </rPr>
      <t xml:space="preserve"> - Non-profit facility
</t>
    </r>
    <r>
      <rPr>
        <b/>
        <sz val="11"/>
        <color theme="1"/>
        <rFont val="Calibri"/>
        <family val="2"/>
        <scheme val="minor"/>
      </rPr>
      <t>GovernmentRun</t>
    </r>
    <r>
      <rPr>
        <sz val="11"/>
        <color theme="1"/>
        <rFont val="Calibri"/>
        <family val="2"/>
        <scheme val="minor"/>
      </rPr>
      <t xml:space="preserve"> - Government run facility
</t>
    </r>
  </si>
  <si>
    <r>
      <t>02633</t>
    </r>
    <r>
      <rPr>
        <sz val="11"/>
        <color theme="1"/>
        <rFont val="Calibri"/>
        <family val="2"/>
        <scheme val="minor"/>
      </rPr>
      <t xml:space="preserve"> - Administration
</t>
    </r>
    <r>
      <rPr>
        <b/>
        <sz val="11"/>
        <color theme="1"/>
        <rFont val="Calibri"/>
        <family val="2"/>
        <scheme val="minor"/>
      </rPr>
      <t>02634</t>
    </r>
    <r>
      <rPr>
        <sz val="11"/>
        <color theme="1"/>
        <rFont val="Calibri"/>
        <family val="2"/>
        <scheme val="minor"/>
      </rPr>
      <t xml:space="preserve"> - Assembly
</t>
    </r>
    <r>
      <rPr>
        <b/>
        <sz val="11"/>
        <color theme="1"/>
        <rFont val="Calibri"/>
        <family val="2"/>
        <scheme val="minor"/>
      </rPr>
      <t>02631</t>
    </r>
    <r>
      <rPr>
        <sz val="11"/>
        <color theme="1"/>
        <rFont val="Calibri"/>
        <family val="2"/>
        <scheme val="minor"/>
      </rPr>
      <t xml:space="preserve"> - Athletic
</t>
    </r>
    <r>
      <rPr>
        <b/>
        <sz val="11"/>
        <color theme="1"/>
        <rFont val="Calibri"/>
        <family val="2"/>
        <scheme val="minor"/>
      </rPr>
      <t>02628</t>
    </r>
    <r>
      <rPr>
        <sz val="11"/>
        <color theme="1"/>
        <rFont val="Calibri"/>
        <family val="2"/>
        <scheme val="minor"/>
      </rPr>
      <t xml:space="preserve"> - Basic classroom
</t>
    </r>
    <r>
      <rPr>
        <b/>
        <sz val="11"/>
        <color theme="1"/>
        <rFont val="Calibri"/>
        <family val="2"/>
        <scheme val="minor"/>
      </rPr>
      <t>02635</t>
    </r>
    <r>
      <rPr>
        <sz val="11"/>
        <color theme="1"/>
        <rFont val="Calibri"/>
        <family val="2"/>
        <scheme val="minor"/>
      </rPr>
      <t xml:space="preserve"> - Corridors
</t>
    </r>
    <r>
      <rPr>
        <b/>
        <sz val="11"/>
        <color theme="1"/>
        <rFont val="Calibri"/>
        <family val="2"/>
        <scheme val="minor"/>
      </rPr>
      <t>02639</t>
    </r>
    <r>
      <rPr>
        <sz val="11"/>
        <color theme="1"/>
        <rFont val="Calibri"/>
        <family val="2"/>
        <scheme val="minor"/>
      </rPr>
      <t xml:space="preserve"> - Dormitory room
</t>
    </r>
    <r>
      <rPr>
        <b/>
        <sz val="11"/>
        <color theme="1"/>
        <rFont val="Calibri"/>
        <family val="2"/>
        <scheme val="minor"/>
      </rPr>
      <t>02638</t>
    </r>
    <r>
      <rPr>
        <sz val="11"/>
        <color theme="1"/>
        <rFont val="Calibri"/>
        <family val="2"/>
        <scheme val="minor"/>
      </rPr>
      <t xml:space="preserve"> - Food service
</t>
    </r>
    <r>
      <rPr>
        <b/>
        <sz val="11"/>
        <color theme="1"/>
        <rFont val="Calibri"/>
        <family val="2"/>
        <scheme val="minor"/>
      </rPr>
      <t>02630</t>
    </r>
    <r>
      <rPr>
        <sz val="11"/>
        <color theme="1"/>
        <rFont val="Calibri"/>
        <family val="2"/>
        <scheme val="minor"/>
      </rPr>
      <t xml:space="preserve"> - Library/media
</t>
    </r>
    <r>
      <rPr>
        <b/>
        <sz val="11"/>
        <color theme="1"/>
        <rFont val="Calibri"/>
        <family val="2"/>
        <scheme val="minor"/>
      </rPr>
      <t>02773</t>
    </r>
    <r>
      <rPr>
        <sz val="11"/>
        <color theme="1"/>
        <rFont val="Calibri"/>
        <family val="2"/>
        <scheme val="minor"/>
      </rPr>
      <t xml:space="preserve"> - Multi-purpose room
</t>
    </r>
    <r>
      <rPr>
        <b/>
        <sz val="11"/>
        <color theme="1"/>
        <rFont val="Calibri"/>
        <family val="2"/>
        <scheme val="minor"/>
      </rPr>
      <t>02636</t>
    </r>
    <r>
      <rPr>
        <sz val="11"/>
        <color theme="1"/>
        <rFont val="Calibri"/>
        <family val="2"/>
        <scheme val="minor"/>
      </rPr>
      <t xml:space="preserve"> - Operational support
</t>
    </r>
    <r>
      <rPr>
        <b/>
        <sz val="11"/>
        <color theme="1"/>
        <rFont val="Calibri"/>
        <family val="2"/>
        <scheme val="minor"/>
      </rPr>
      <t>03017</t>
    </r>
    <r>
      <rPr>
        <sz val="11"/>
        <color theme="1"/>
        <rFont val="Calibri"/>
        <family val="2"/>
        <scheme val="minor"/>
      </rPr>
      <t xml:space="preserve"> - Restroom
</t>
    </r>
    <r>
      <rPr>
        <b/>
        <sz val="11"/>
        <color theme="1"/>
        <rFont val="Calibri"/>
        <family val="2"/>
        <scheme val="minor"/>
      </rPr>
      <t>02629</t>
    </r>
    <r>
      <rPr>
        <sz val="11"/>
        <color theme="1"/>
        <rFont val="Calibri"/>
        <family val="2"/>
        <scheme val="minor"/>
      </rPr>
      <t xml:space="preserve"> - Specialty classroom
</t>
    </r>
    <r>
      <rPr>
        <b/>
        <sz val="11"/>
        <color theme="1"/>
        <rFont val="Calibri"/>
        <family val="2"/>
        <scheme val="minor"/>
      </rPr>
      <t>02637</t>
    </r>
    <r>
      <rPr>
        <sz val="11"/>
        <color theme="1"/>
        <rFont val="Calibri"/>
        <family val="2"/>
        <scheme val="minor"/>
      </rPr>
      <t xml:space="preserve"> - Storage
</t>
    </r>
    <r>
      <rPr>
        <b/>
        <sz val="11"/>
        <color theme="1"/>
        <rFont val="Calibri"/>
        <family val="2"/>
        <scheme val="minor"/>
      </rPr>
      <t>02788</t>
    </r>
    <r>
      <rPr>
        <sz val="11"/>
        <color theme="1"/>
        <rFont val="Calibri"/>
        <family val="2"/>
        <scheme val="minor"/>
      </rPr>
      <t xml:space="preserve"> - Storage - hazardous materials
</t>
    </r>
    <r>
      <rPr>
        <b/>
        <sz val="11"/>
        <color theme="1"/>
        <rFont val="Calibri"/>
        <family val="2"/>
        <scheme val="minor"/>
      </rPr>
      <t>02632</t>
    </r>
    <r>
      <rPr>
        <sz val="11"/>
        <color theme="1"/>
        <rFont val="Calibri"/>
        <family val="2"/>
        <scheme val="minor"/>
      </rPr>
      <t xml:space="preserve"> - Student support
</t>
    </r>
    <r>
      <rPr>
        <b/>
        <sz val="11"/>
        <color theme="1"/>
        <rFont val="Calibri"/>
        <family val="2"/>
        <scheme val="minor"/>
      </rPr>
      <t>09999</t>
    </r>
    <r>
      <rPr>
        <sz val="11"/>
        <color theme="1"/>
        <rFont val="Calibri"/>
        <family val="2"/>
        <scheme val="minor"/>
      </rPr>
      <t xml:space="preserve"> - Other
</t>
    </r>
  </si>
  <si>
    <r>
      <t>FAL1</t>
    </r>
    <r>
      <rPr>
        <sz val="11"/>
        <color theme="1"/>
        <rFont val="Calibri"/>
        <family val="2"/>
        <scheme val="minor"/>
      </rPr>
      <t xml:space="preserve"> - Level 1 (lowest level)
</t>
    </r>
    <r>
      <rPr>
        <b/>
        <sz val="11"/>
        <color theme="1"/>
        <rFont val="Calibri"/>
        <family val="2"/>
        <scheme val="minor"/>
      </rPr>
      <t>FAL2</t>
    </r>
    <r>
      <rPr>
        <sz val="11"/>
        <color theme="1"/>
        <rFont val="Calibri"/>
        <family val="2"/>
        <scheme val="minor"/>
      </rPr>
      <t xml:space="preserve"> - Level 2
</t>
    </r>
    <r>
      <rPr>
        <b/>
        <sz val="11"/>
        <color theme="1"/>
        <rFont val="Calibri"/>
        <family val="2"/>
        <scheme val="minor"/>
      </rPr>
      <t>FAL3</t>
    </r>
    <r>
      <rPr>
        <sz val="11"/>
        <color theme="1"/>
        <rFont val="Calibri"/>
        <family val="2"/>
        <scheme val="minor"/>
      </rPr>
      <t xml:space="preserve"> - Level 3
</t>
    </r>
    <r>
      <rPr>
        <b/>
        <sz val="11"/>
        <color theme="1"/>
        <rFont val="Calibri"/>
        <family val="2"/>
        <scheme val="minor"/>
      </rPr>
      <t>FAL4</t>
    </r>
    <r>
      <rPr>
        <sz val="11"/>
        <color theme="1"/>
        <rFont val="Calibri"/>
        <family val="2"/>
        <scheme val="minor"/>
      </rPr>
      <t xml:space="preserve"> - Level 4
</t>
    </r>
    <r>
      <rPr>
        <b/>
        <sz val="11"/>
        <color theme="1"/>
        <rFont val="Calibri"/>
        <family val="2"/>
        <scheme val="minor"/>
      </rPr>
      <t>FAL5</t>
    </r>
    <r>
      <rPr>
        <sz val="11"/>
        <color theme="1"/>
        <rFont val="Calibri"/>
        <family val="2"/>
        <scheme val="minor"/>
      </rPr>
      <t xml:space="preserve"> - Level 5
</t>
    </r>
    <r>
      <rPr>
        <b/>
        <sz val="11"/>
        <color theme="1"/>
        <rFont val="Calibri"/>
        <family val="2"/>
        <scheme val="minor"/>
      </rPr>
      <t>FAL6</t>
    </r>
    <r>
      <rPr>
        <sz val="11"/>
        <color theme="1"/>
        <rFont val="Calibri"/>
        <family val="2"/>
        <scheme val="minor"/>
      </rPr>
      <t xml:space="preserve"> - Level 6 (highest level)
</t>
    </r>
    <r>
      <rPr>
        <b/>
        <sz val="11"/>
        <color theme="1"/>
        <rFont val="Calibri"/>
        <family val="2"/>
        <scheme val="minor"/>
      </rPr>
      <t>EVALNR</t>
    </r>
    <r>
      <rPr>
        <sz val="11"/>
        <color theme="1"/>
        <rFont val="Calibri"/>
        <family val="2"/>
        <scheme val="minor"/>
      </rPr>
      <t xml:space="preserve"> - Evaluated, not ranked
</t>
    </r>
  </si>
  <si>
    <r>
      <t>01</t>
    </r>
    <r>
      <rPr>
        <sz val="11"/>
        <color theme="1"/>
        <rFont val="Calibri"/>
        <family val="2"/>
        <scheme val="minor"/>
      </rPr>
      <t xml:space="preserve"> - Less than high school
</t>
    </r>
    <r>
      <rPr>
        <b/>
        <sz val="11"/>
        <color theme="1"/>
        <rFont val="Calibri"/>
        <family val="2"/>
        <scheme val="minor"/>
      </rPr>
      <t>02</t>
    </r>
    <r>
      <rPr>
        <sz val="11"/>
        <color theme="1"/>
        <rFont val="Calibri"/>
        <family val="2"/>
        <scheme val="minor"/>
      </rPr>
      <t xml:space="preserve"> - High school diploma or equivalent
</t>
    </r>
    <r>
      <rPr>
        <b/>
        <sz val="11"/>
        <color theme="1"/>
        <rFont val="Calibri"/>
        <family val="2"/>
        <scheme val="minor"/>
      </rPr>
      <t>03</t>
    </r>
    <r>
      <rPr>
        <sz val="11"/>
        <color theme="1"/>
        <rFont val="Calibri"/>
        <family val="2"/>
        <scheme val="minor"/>
      </rPr>
      <t xml:space="preserve"> - Some college but no formal award
</t>
    </r>
    <r>
      <rPr>
        <b/>
        <sz val="11"/>
        <color theme="1"/>
        <rFont val="Calibri"/>
        <family val="2"/>
        <scheme val="minor"/>
      </rPr>
      <t>04</t>
    </r>
    <r>
      <rPr>
        <sz val="11"/>
        <color theme="1"/>
        <rFont val="Calibri"/>
        <family val="2"/>
        <scheme val="minor"/>
      </rPr>
      <t xml:space="preserve"> - Certificate, less than an Associate's degree
</t>
    </r>
    <r>
      <rPr>
        <b/>
        <sz val="11"/>
        <color theme="1"/>
        <rFont val="Calibri"/>
        <family val="2"/>
        <scheme val="minor"/>
      </rPr>
      <t>05</t>
    </r>
    <r>
      <rPr>
        <sz val="11"/>
        <color theme="1"/>
        <rFont val="Calibri"/>
        <family val="2"/>
        <scheme val="minor"/>
      </rPr>
      <t xml:space="preserve"> - Associate's degree
</t>
    </r>
    <r>
      <rPr>
        <b/>
        <sz val="11"/>
        <color theme="1"/>
        <rFont val="Calibri"/>
        <family val="2"/>
        <scheme val="minor"/>
      </rPr>
      <t>06</t>
    </r>
    <r>
      <rPr>
        <sz val="11"/>
        <color theme="1"/>
        <rFont val="Calibri"/>
        <family val="2"/>
        <scheme val="minor"/>
      </rPr>
      <t xml:space="preserve"> - Baccalaureate degree
</t>
    </r>
    <r>
      <rPr>
        <b/>
        <sz val="11"/>
        <color theme="1"/>
        <rFont val="Calibri"/>
        <family val="2"/>
        <scheme val="minor"/>
      </rPr>
      <t>07</t>
    </r>
    <r>
      <rPr>
        <sz val="11"/>
        <color theme="1"/>
        <rFont val="Calibri"/>
        <family val="2"/>
        <scheme val="minor"/>
      </rPr>
      <t xml:space="preserve"> - Master's degree
</t>
    </r>
    <r>
      <rPr>
        <b/>
        <sz val="11"/>
        <color theme="1"/>
        <rFont val="Calibri"/>
        <family val="2"/>
        <scheme val="minor"/>
      </rPr>
      <t>08</t>
    </r>
    <r>
      <rPr>
        <sz val="11"/>
        <color theme="1"/>
        <rFont val="Calibri"/>
        <family val="2"/>
        <scheme val="minor"/>
      </rPr>
      <t xml:space="preserve"> - Doctoral/Professional degree
</t>
    </r>
    <r>
      <rPr>
        <b/>
        <sz val="11"/>
        <color theme="1"/>
        <rFont val="Calibri"/>
        <family val="2"/>
        <scheme val="minor"/>
      </rPr>
      <t>09</t>
    </r>
    <r>
      <rPr>
        <sz val="11"/>
        <color theme="1"/>
        <rFont val="Calibri"/>
        <family val="2"/>
        <scheme val="minor"/>
      </rPr>
      <t xml:space="preserve"> - Unknown
</t>
    </r>
  </si>
  <si>
    <r>
      <t>RETAINED</t>
    </r>
    <r>
      <rPr>
        <sz val="11"/>
        <color theme="1"/>
        <rFont val="Calibri"/>
        <family val="2"/>
        <scheme val="minor"/>
      </rPr>
      <t xml:space="preserve"> - Retained by SEA for program administration, etc.
</t>
    </r>
    <r>
      <rPr>
        <b/>
        <sz val="11"/>
        <color theme="1"/>
        <rFont val="Calibri"/>
        <family val="2"/>
        <scheme val="minor"/>
      </rPr>
      <t>TRANSFER</t>
    </r>
    <r>
      <rPr>
        <sz val="11"/>
        <color theme="1"/>
        <rFont val="Calibri"/>
        <family val="2"/>
        <scheme val="minor"/>
      </rPr>
      <t xml:space="preserve"> - Transferred to another state agency
</t>
    </r>
    <r>
      <rPr>
        <b/>
        <sz val="11"/>
        <color theme="1"/>
        <rFont val="Calibri"/>
        <family val="2"/>
        <scheme val="minor"/>
      </rPr>
      <t>DISTNONLEA</t>
    </r>
    <r>
      <rPr>
        <sz val="11"/>
        <color theme="1"/>
        <rFont val="Calibri"/>
        <family val="2"/>
        <scheme val="minor"/>
      </rPr>
      <t xml:space="preserve"> - Distributed to entities other than LEAs
</t>
    </r>
    <r>
      <rPr>
        <b/>
        <sz val="11"/>
        <color theme="1"/>
        <rFont val="Calibri"/>
        <family val="2"/>
        <scheme val="minor"/>
      </rPr>
      <t>UNALLOC</t>
    </r>
    <r>
      <rPr>
        <sz val="11"/>
        <color theme="1"/>
        <rFont val="Calibri"/>
        <family val="2"/>
        <scheme val="minor"/>
      </rPr>
      <t xml:space="preserve"> - Unallocated or returned funds
</t>
    </r>
  </si>
  <si>
    <r>
      <t>Assets</t>
    </r>
    <r>
      <rPr>
        <sz val="11"/>
        <color theme="1"/>
        <rFont val="Calibri"/>
        <family val="2"/>
        <scheme val="minor"/>
      </rPr>
      <t xml:space="preserve"> - Assets
</t>
    </r>
    <r>
      <rPr>
        <b/>
        <sz val="11"/>
        <color theme="1"/>
        <rFont val="Calibri"/>
        <family val="2"/>
        <scheme val="minor"/>
      </rPr>
      <t>Liabilities</t>
    </r>
    <r>
      <rPr>
        <sz val="11"/>
        <color theme="1"/>
        <rFont val="Calibri"/>
        <family val="2"/>
        <scheme val="minor"/>
      </rPr>
      <t xml:space="preserve"> - Liabilities
</t>
    </r>
    <r>
      <rPr>
        <b/>
        <sz val="11"/>
        <color theme="1"/>
        <rFont val="Calibri"/>
        <family val="2"/>
        <scheme val="minor"/>
      </rPr>
      <t>Equity</t>
    </r>
    <r>
      <rPr>
        <sz val="11"/>
        <color theme="1"/>
        <rFont val="Calibri"/>
        <family val="2"/>
        <scheme val="minor"/>
      </rPr>
      <t xml:space="preserve"> - Equity
</t>
    </r>
    <r>
      <rPr>
        <b/>
        <sz val="11"/>
        <color theme="1"/>
        <rFont val="Calibri"/>
        <family val="2"/>
        <scheme val="minor"/>
      </rPr>
      <t>Revenue</t>
    </r>
    <r>
      <rPr>
        <sz val="11"/>
        <color theme="1"/>
        <rFont val="Calibri"/>
        <family val="2"/>
        <scheme val="minor"/>
      </rPr>
      <t xml:space="preserve"> - Revenue and Other Financing Sources
</t>
    </r>
    <r>
      <rPr>
        <b/>
        <sz val="11"/>
        <color theme="1"/>
        <rFont val="Calibri"/>
        <family val="2"/>
        <scheme val="minor"/>
      </rPr>
      <t>Expenditures</t>
    </r>
    <r>
      <rPr>
        <sz val="11"/>
        <color theme="1"/>
        <rFont val="Calibri"/>
        <family val="2"/>
        <scheme val="minor"/>
      </rPr>
      <t xml:space="preserve"> - Expenditures
</t>
    </r>
  </si>
  <si>
    <r>
      <t>1</t>
    </r>
    <r>
      <rPr>
        <sz val="11"/>
        <color theme="1"/>
        <rFont val="Calibri"/>
        <family val="2"/>
        <scheme val="minor"/>
      </rPr>
      <t xml:space="preserve"> - General Fund
</t>
    </r>
    <r>
      <rPr>
        <b/>
        <sz val="11"/>
        <color theme="1"/>
        <rFont val="Calibri"/>
        <family val="2"/>
        <scheme val="minor"/>
      </rPr>
      <t>2</t>
    </r>
    <r>
      <rPr>
        <sz val="11"/>
        <color theme="1"/>
        <rFont val="Calibri"/>
        <family val="2"/>
        <scheme val="minor"/>
      </rPr>
      <t xml:space="preserve"> - Special Revenue Funds
</t>
    </r>
    <r>
      <rPr>
        <b/>
        <sz val="11"/>
        <color theme="1"/>
        <rFont val="Calibri"/>
        <family val="2"/>
        <scheme val="minor"/>
      </rPr>
      <t>3</t>
    </r>
    <r>
      <rPr>
        <sz val="11"/>
        <color theme="1"/>
        <rFont val="Calibri"/>
        <family val="2"/>
        <scheme val="minor"/>
      </rPr>
      <t xml:space="preserve"> - Capital Projects Funds
</t>
    </r>
    <r>
      <rPr>
        <b/>
        <sz val="11"/>
        <color theme="1"/>
        <rFont val="Calibri"/>
        <family val="2"/>
        <scheme val="minor"/>
      </rPr>
      <t>4</t>
    </r>
    <r>
      <rPr>
        <sz val="11"/>
        <color theme="1"/>
        <rFont val="Calibri"/>
        <family val="2"/>
        <scheme val="minor"/>
      </rPr>
      <t xml:space="preserve"> - Debt Service Funds
</t>
    </r>
    <r>
      <rPr>
        <b/>
        <sz val="11"/>
        <color theme="1"/>
        <rFont val="Calibri"/>
        <family val="2"/>
        <scheme val="minor"/>
      </rPr>
      <t>5</t>
    </r>
    <r>
      <rPr>
        <sz val="11"/>
        <color theme="1"/>
        <rFont val="Calibri"/>
        <family val="2"/>
        <scheme val="minor"/>
      </rPr>
      <t xml:space="preserve"> - Permanent Funds
</t>
    </r>
    <r>
      <rPr>
        <b/>
        <sz val="11"/>
        <color theme="1"/>
        <rFont val="Calibri"/>
        <family val="2"/>
        <scheme val="minor"/>
      </rPr>
      <t>6</t>
    </r>
    <r>
      <rPr>
        <sz val="11"/>
        <color theme="1"/>
        <rFont val="Calibri"/>
        <family val="2"/>
        <scheme val="minor"/>
      </rPr>
      <t xml:space="preserve"> - Enterprise Funds
</t>
    </r>
    <r>
      <rPr>
        <b/>
        <sz val="11"/>
        <color theme="1"/>
        <rFont val="Calibri"/>
        <family val="2"/>
        <scheme val="minor"/>
      </rPr>
      <t>7</t>
    </r>
    <r>
      <rPr>
        <sz val="11"/>
        <color theme="1"/>
        <rFont val="Calibri"/>
        <family val="2"/>
        <scheme val="minor"/>
      </rPr>
      <t xml:space="preserve"> - Internal Service Funds
</t>
    </r>
    <r>
      <rPr>
        <b/>
        <sz val="11"/>
        <color theme="1"/>
        <rFont val="Calibri"/>
        <family val="2"/>
        <scheme val="minor"/>
      </rPr>
      <t>8</t>
    </r>
    <r>
      <rPr>
        <sz val="11"/>
        <color theme="1"/>
        <rFont val="Calibri"/>
        <family val="2"/>
        <scheme val="minor"/>
      </rPr>
      <t xml:space="preserve"> - Trust Funds
</t>
    </r>
    <r>
      <rPr>
        <b/>
        <sz val="11"/>
        <color theme="1"/>
        <rFont val="Calibri"/>
        <family val="2"/>
        <scheme val="minor"/>
      </rPr>
      <t>9</t>
    </r>
    <r>
      <rPr>
        <sz val="11"/>
        <color theme="1"/>
        <rFont val="Calibri"/>
        <family val="2"/>
        <scheme val="minor"/>
      </rPr>
      <t xml:space="preserve"> - Agency Funds
</t>
    </r>
  </si>
  <si>
    <r>
      <t>100</t>
    </r>
    <r>
      <rPr>
        <sz val="11"/>
        <color theme="1"/>
        <rFont val="Calibri"/>
        <family val="2"/>
        <scheme val="minor"/>
      </rPr>
      <t xml:space="preserve"> - Regular Elementary/Secondary Education Programs
</t>
    </r>
    <r>
      <rPr>
        <b/>
        <sz val="11"/>
        <color theme="1"/>
        <rFont val="Calibri"/>
        <family val="2"/>
        <scheme val="minor"/>
      </rPr>
      <t>200</t>
    </r>
    <r>
      <rPr>
        <sz val="11"/>
        <color theme="1"/>
        <rFont val="Calibri"/>
        <family val="2"/>
        <scheme val="minor"/>
      </rPr>
      <t xml:space="preserve"> - Special Programs
</t>
    </r>
    <r>
      <rPr>
        <b/>
        <sz val="11"/>
        <color theme="1"/>
        <rFont val="Calibri"/>
        <family val="2"/>
        <scheme val="minor"/>
      </rPr>
      <t>300</t>
    </r>
    <r>
      <rPr>
        <sz val="11"/>
        <color theme="1"/>
        <rFont val="Calibri"/>
        <family val="2"/>
        <scheme val="minor"/>
      </rPr>
      <t xml:space="preserve"> - Vocational and Technical Programs
</t>
    </r>
    <r>
      <rPr>
        <b/>
        <sz val="11"/>
        <color theme="1"/>
        <rFont val="Calibri"/>
        <family val="2"/>
        <scheme val="minor"/>
      </rPr>
      <t>400</t>
    </r>
    <r>
      <rPr>
        <sz val="11"/>
        <color theme="1"/>
        <rFont val="Calibri"/>
        <family val="2"/>
        <scheme val="minor"/>
      </rPr>
      <t xml:space="preserve"> - Other Instructional Programs—Elementary/Secondary
</t>
    </r>
    <r>
      <rPr>
        <b/>
        <sz val="11"/>
        <color theme="1"/>
        <rFont val="Calibri"/>
        <family val="2"/>
        <scheme val="minor"/>
      </rPr>
      <t>500</t>
    </r>
    <r>
      <rPr>
        <sz val="11"/>
        <color theme="1"/>
        <rFont val="Calibri"/>
        <family val="2"/>
        <scheme val="minor"/>
      </rPr>
      <t xml:space="preserve"> - Nonpublic School Programs
</t>
    </r>
    <r>
      <rPr>
        <b/>
        <sz val="11"/>
        <color theme="1"/>
        <rFont val="Calibri"/>
        <family val="2"/>
        <scheme val="minor"/>
      </rPr>
      <t>600</t>
    </r>
    <r>
      <rPr>
        <sz val="11"/>
        <color theme="1"/>
        <rFont val="Calibri"/>
        <family val="2"/>
        <scheme val="minor"/>
      </rPr>
      <t xml:space="preserve"> - Adult/Continuing Education Programs
</t>
    </r>
    <r>
      <rPr>
        <b/>
        <sz val="11"/>
        <color theme="1"/>
        <rFont val="Calibri"/>
        <family val="2"/>
        <scheme val="minor"/>
      </rPr>
      <t>700</t>
    </r>
    <r>
      <rPr>
        <sz val="11"/>
        <color theme="1"/>
        <rFont val="Calibri"/>
        <family val="2"/>
        <scheme val="minor"/>
      </rPr>
      <t xml:space="preserve"> - Community/Junior College Education Programs
</t>
    </r>
    <r>
      <rPr>
        <b/>
        <sz val="11"/>
        <color theme="1"/>
        <rFont val="Calibri"/>
        <family val="2"/>
        <scheme val="minor"/>
      </rPr>
      <t>800</t>
    </r>
    <r>
      <rPr>
        <sz val="11"/>
        <color theme="1"/>
        <rFont val="Calibri"/>
        <family val="2"/>
        <scheme val="minor"/>
      </rPr>
      <t xml:space="preserve"> - Community Services Programs
</t>
    </r>
    <r>
      <rPr>
        <b/>
        <sz val="11"/>
        <color theme="1"/>
        <rFont val="Calibri"/>
        <family val="2"/>
        <scheme val="minor"/>
      </rPr>
      <t>900</t>
    </r>
    <r>
      <rPr>
        <sz val="11"/>
        <color theme="1"/>
        <rFont val="Calibri"/>
        <family val="2"/>
        <scheme val="minor"/>
      </rPr>
      <t xml:space="preserve"> - Cocurricular and Extracurricular Activities
</t>
    </r>
  </si>
  <si>
    <r>
      <t>FAFSA</t>
    </r>
    <r>
      <rPr>
        <sz val="11"/>
        <color theme="1"/>
        <rFont val="Calibri"/>
        <family val="2"/>
        <scheme val="minor"/>
      </rPr>
      <t xml:space="preserve"> - Free Application for Federal Student Aid (FAFSA)
</t>
    </r>
    <r>
      <rPr>
        <b/>
        <sz val="11"/>
        <color theme="1"/>
        <rFont val="Calibri"/>
        <family val="2"/>
        <scheme val="minor"/>
      </rPr>
      <t>StateApplication</t>
    </r>
    <r>
      <rPr>
        <sz val="11"/>
        <color theme="1"/>
        <rFont val="Calibri"/>
        <family val="2"/>
        <scheme val="minor"/>
      </rPr>
      <t xml:space="preserve"> - State Application
</t>
    </r>
    <r>
      <rPr>
        <b/>
        <sz val="11"/>
        <color theme="1"/>
        <rFont val="Calibri"/>
        <family val="2"/>
        <scheme val="minor"/>
      </rPr>
      <t>InstitutionApplication</t>
    </r>
    <r>
      <rPr>
        <sz val="11"/>
        <color theme="1"/>
        <rFont val="Calibri"/>
        <family val="2"/>
        <scheme val="minor"/>
      </rPr>
      <t xml:space="preserve"> - Institution Application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</si>
  <si>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r>
      <t>PellGrants</t>
    </r>
    <r>
      <rPr>
        <sz val="11"/>
        <color theme="1"/>
        <rFont val="Calibri"/>
        <family val="2"/>
        <scheme val="minor"/>
      </rPr>
      <t xml:space="preserve"> - Pell grants
</t>
    </r>
    <r>
      <rPr>
        <b/>
        <sz val="11"/>
        <color theme="1"/>
        <rFont val="Calibri"/>
        <family val="2"/>
        <scheme val="minor"/>
      </rPr>
      <t>OtherFederalGrants</t>
    </r>
    <r>
      <rPr>
        <sz val="11"/>
        <color theme="1"/>
        <rFont val="Calibri"/>
        <family val="2"/>
        <scheme val="minor"/>
      </rPr>
      <t xml:space="preserve"> - Other federal grants
</t>
    </r>
    <r>
      <rPr>
        <b/>
        <sz val="11"/>
        <color theme="1"/>
        <rFont val="Calibri"/>
        <family val="2"/>
        <scheme val="minor"/>
      </rPr>
      <t>StateAndLocalGrants</t>
    </r>
    <r>
      <rPr>
        <sz val="11"/>
        <color theme="1"/>
        <rFont val="Calibri"/>
        <family val="2"/>
        <scheme val="minor"/>
      </rPr>
      <t xml:space="preserve"> - State and local grants
</t>
    </r>
    <r>
      <rPr>
        <b/>
        <sz val="11"/>
        <color theme="1"/>
        <rFont val="Calibri"/>
        <family val="2"/>
        <scheme val="minor"/>
      </rPr>
      <t>InstitutionalGrants</t>
    </r>
    <r>
      <rPr>
        <sz val="11"/>
        <color theme="1"/>
        <rFont val="Calibri"/>
        <family val="2"/>
        <scheme val="minor"/>
      </rPr>
      <t xml:space="preserve"> - Institutional grants
</t>
    </r>
    <r>
      <rPr>
        <b/>
        <sz val="11"/>
        <color theme="1"/>
        <rFont val="Calibri"/>
        <family val="2"/>
        <scheme val="minor"/>
      </rPr>
      <t>PrivateGrants</t>
    </r>
    <r>
      <rPr>
        <sz val="11"/>
        <color theme="1"/>
        <rFont val="Calibri"/>
        <family val="2"/>
        <scheme val="minor"/>
      </rPr>
      <t xml:space="preserve"> - Private grants
</t>
    </r>
    <r>
      <rPr>
        <b/>
        <sz val="11"/>
        <color theme="1"/>
        <rFont val="Calibri"/>
        <family val="2"/>
        <scheme val="minor"/>
      </rPr>
      <t>OtherGrants</t>
    </r>
    <r>
      <rPr>
        <sz val="11"/>
        <color theme="1"/>
        <rFont val="Calibri"/>
        <family val="2"/>
        <scheme val="minor"/>
      </rPr>
      <t xml:space="preserve"> - Other grants
</t>
    </r>
    <r>
      <rPr>
        <b/>
        <sz val="11"/>
        <color theme="1"/>
        <rFont val="Calibri"/>
        <family val="2"/>
        <scheme val="minor"/>
      </rPr>
      <t>Assistantships</t>
    </r>
    <r>
      <rPr>
        <sz val="11"/>
        <color theme="1"/>
        <rFont val="Calibri"/>
        <family val="2"/>
        <scheme val="minor"/>
      </rPr>
      <t xml:space="preserve"> - Assistantships
</t>
    </r>
    <r>
      <rPr>
        <b/>
        <sz val="11"/>
        <color theme="1"/>
        <rFont val="Calibri"/>
        <family val="2"/>
        <scheme val="minor"/>
      </rPr>
      <t>FederalScholarships</t>
    </r>
    <r>
      <rPr>
        <sz val="11"/>
        <color theme="1"/>
        <rFont val="Calibri"/>
        <family val="2"/>
        <scheme val="minor"/>
      </rPr>
      <t xml:space="preserve"> - Federal scholarships
</t>
    </r>
    <r>
      <rPr>
        <b/>
        <sz val="11"/>
        <color theme="1"/>
        <rFont val="Calibri"/>
        <family val="2"/>
        <scheme val="minor"/>
      </rPr>
      <t>StateAndLocalScholarships</t>
    </r>
    <r>
      <rPr>
        <sz val="11"/>
        <color theme="1"/>
        <rFont val="Calibri"/>
        <family val="2"/>
        <scheme val="minor"/>
      </rPr>
      <t xml:space="preserve"> - State and local scholarships
</t>
    </r>
    <r>
      <rPr>
        <b/>
        <sz val="11"/>
        <color theme="1"/>
        <rFont val="Calibri"/>
        <family val="2"/>
        <scheme val="minor"/>
      </rPr>
      <t>InstitutionalScholarships</t>
    </r>
    <r>
      <rPr>
        <sz val="11"/>
        <color theme="1"/>
        <rFont val="Calibri"/>
        <family val="2"/>
        <scheme val="minor"/>
      </rPr>
      <t xml:space="preserve"> - Institutional scholarships
</t>
    </r>
    <r>
      <rPr>
        <b/>
        <sz val="11"/>
        <color theme="1"/>
        <rFont val="Calibri"/>
        <family val="2"/>
        <scheme val="minor"/>
      </rPr>
      <t>PrivateScholarships</t>
    </r>
    <r>
      <rPr>
        <sz val="11"/>
        <color theme="1"/>
        <rFont val="Calibri"/>
        <family val="2"/>
        <scheme val="minor"/>
      </rPr>
      <t xml:space="preserve"> - Private scholarships
</t>
    </r>
    <r>
      <rPr>
        <b/>
        <sz val="11"/>
        <color theme="1"/>
        <rFont val="Calibri"/>
        <family val="2"/>
        <scheme val="minor"/>
      </rPr>
      <t>OtherScholarships</t>
    </r>
    <r>
      <rPr>
        <sz val="11"/>
        <color theme="1"/>
        <rFont val="Calibri"/>
        <family val="2"/>
        <scheme val="minor"/>
      </rPr>
      <t xml:space="preserve"> - Other scholarships
</t>
    </r>
    <r>
      <rPr>
        <b/>
        <sz val="11"/>
        <color theme="1"/>
        <rFont val="Calibri"/>
        <family val="2"/>
        <scheme val="minor"/>
      </rPr>
      <t>FederalSubsidizedLoans</t>
    </r>
    <r>
      <rPr>
        <sz val="11"/>
        <color theme="1"/>
        <rFont val="Calibri"/>
        <family val="2"/>
        <scheme val="minor"/>
      </rPr>
      <t xml:space="preserve"> - Federal subsidized loans
</t>
    </r>
    <r>
      <rPr>
        <b/>
        <sz val="11"/>
        <color theme="1"/>
        <rFont val="Calibri"/>
        <family val="2"/>
        <scheme val="minor"/>
      </rPr>
      <t>FederalUnsubsidizedLoans</t>
    </r>
    <r>
      <rPr>
        <sz val="11"/>
        <color theme="1"/>
        <rFont val="Calibri"/>
        <family val="2"/>
        <scheme val="minor"/>
      </rPr>
      <t xml:space="preserve"> - Federal unsubsidized loans
</t>
    </r>
    <r>
      <rPr>
        <b/>
        <sz val="11"/>
        <color theme="1"/>
        <rFont val="Calibri"/>
        <family val="2"/>
        <scheme val="minor"/>
      </rPr>
      <t>PrivateLoans</t>
    </r>
    <r>
      <rPr>
        <sz val="11"/>
        <color theme="1"/>
        <rFont val="Calibri"/>
        <family val="2"/>
        <scheme val="minor"/>
      </rPr>
      <t xml:space="preserve"> - Private loans
</t>
    </r>
    <r>
      <rPr>
        <b/>
        <sz val="11"/>
        <color theme="1"/>
        <rFont val="Calibri"/>
        <family val="2"/>
        <scheme val="minor"/>
      </rPr>
      <t>StateLoans</t>
    </r>
    <r>
      <rPr>
        <sz val="11"/>
        <color theme="1"/>
        <rFont val="Calibri"/>
        <family val="2"/>
        <scheme val="minor"/>
      </rPr>
      <t xml:space="preserve"> - State loans
</t>
    </r>
    <r>
      <rPr>
        <b/>
        <sz val="11"/>
        <color theme="1"/>
        <rFont val="Calibri"/>
        <family val="2"/>
        <scheme val="minor"/>
      </rPr>
      <t>InstitutionalLoans</t>
    </r>
    <r>
      <rPr>
        <sz val="11"/>
        <color theme="1"/>
        <rFont val="Calibri"/>
        <family val="2"/>
        <scheme val="minor"/>
      </rPr>
      <t xml:space="preserve"> - Institutional loans
</t>
    </r>
    <r>
      <rPr>
        <b/>
        <sz val="11"/>
        <color theme="1"/>
        <rFont val="Calibri"/>
        <family val="2"/>
        <scheme val="minor"/>
      </rPr>
      <t>ParentPLUSLoans</t>
    </r>
    <r>
      <rPr>
        <sz val="11"/>
        <color theme="1"/>
        <rFont val="Calibri"/>
        <family val="2"/>
        <scheme val="minor"/>
      </rPr>
      <t xml:space="preserve"> - Parent PLUS loans
</t>
    </r>
    <r>
      <rPr>
        <b/>
        <sz val="11"/>
        <color theme="1"/>
        <rFont val="Calibri"/>
        <family val="2"/>
        <scheme val="minor"/>
      </rPr>
      <t>StateWork</t>
    </r>
    <r>
      <rPr>
        <sz val="11"/>
        <color theme="1"/>
        <rFont val="Calibri"/>
        <family val="2"/>
        <scheme val="minor"/>
      </rPr>
      <t xml:space="preserve"> - State work
</t>
    </r>
    <r>
      <rPr>
        <b/>
        <sz val="11"/>
        <color theme="1"/>
        <rFont val="Calibri"/>
        <family val="2"/>
        <scheme val="minor"/>
      </rPr>
      <t>OtherLoans</t>
    </r>
    <r>
      <rPr>
        <sz val="11"/>
        <color theme="1"/>
        <rFont val="Calibri"/>
        <family val="2"/>
        <scheme val="minor"/>
      </rPr>
      <t xml:space="preserve"> - Other loans
</t>
    </r>
    <r>
      <rPr>
        <b/>
        <sz val="11"/>
        <color theme="1"/>
        <rFont val="Calibri"/>
        <family val="2"/>
        <scheme val="minor"/>
      </rPr>
      <t>FederalWorkStudy</t>
    </r>
    <r>
      <rPr>
        <sz val="11"/>
        <color theme="1"/>
        <rFont val="Calibri"/>
        <family val="2"/>
        <scheme val="minor"/>
      </rPr>
      <t xml:space="preserve"> - Federal work study
</t>
    </r>
    <r>
      <rPr>
        <b/>
        <sz val="11"/>
        <color theme="1"/>
        <rFont val="Calibri"/>
        <family val="2"/>
        <scheme val="minor"/>
      </rPr>
      <t>OtherOnCampusWork</t>
    </r>
    <r>
      <rPr>
        <sz val="11"/>
        <color theme="1"/>
        <rFont val="Calibri"/>
        <family val="2"/>
        <scheme val="minor"/>
      </rPr>
      <t xml:space="preserve"> - Other on-campus work
</t>
    </r>
  </si>
  <si>
    <r>
      <t>102</t>
    </r>
    <r>
      <rPr>
        <sz val="11"/>
        <color theme="1"/>
        <rFont val="Calibri"/>
        <family val="2"/>
        <scheme val="minor"/>
      </rPr>
      <t xml:space="preserve"> - Cash on Hand. 
</t>
    </r>
    <r>
      <rPr>
        <b/>
        <sz val="11"/>
        <color theme="1"/>
        <rFont val="Calibri"/>
        <family val="2"/>
        <scheme val="minor"/>
      </rPr>
      <t>103</t>
    </r>
    <r>
      <rPr>
        <sz val="11"/>
        <color theme="1"/>
        <rFont val="Calibri"/>
        <family val="2"/>
        <scheme val="minor"/>
      </rPr>
      <t xml:space="preserve"> - Petty Cash. 
</t>
    </r>
    <r>
      <rPr>
        <b/>
        <sz val="11"/>
        <color theme="1"/>
        <rFont val="Calibri"/>
        <family val="2"/>
        <scheme val="minor"/>
      </rPr>
      <t>104</t>
    </r>
    <r>
      <rPr>
        <sz val="11"/>
        <color theme="1"/>
        <rFont val="Calibri"/>
        <family val="2"/>
        <scheme val="minor"/>
      </rPr>
      <t xml:space="preserve"> - Change Cash. 
</t>
    </r>
    <r>
      <rPr>
        <b/>
        <sz val="11"/>
        <color theme="1"/>
        <rFont val="Calibri"/>
        <family val="2"/>
        <scheme val="minor"/>
      </rPr>
      <t>105</t>
    </r>
    <r>
      <rPr>
        <sz val="11"/>
        <color theme="1"/>
        <rFont val="Calibri"/>
        <family val="2"/>
        <scheme val="minor"/>
      </rPr>
      <t xml:space="preserve"> - Cash With Fiscal Agents. 
</t>
    </r>
    <r>
      <rPr>
        <b/>
        <sz val="11"/>
        <color theme="1"/>
        <rFont val="Calibri"/>
        <family val="2"/>
        <scheme val="minor"/>
      </rPr>
      <t>111</t>
    </r>
    <r>
      <rPr>
        <sz val="11"/>
        <color theme="1"/>
        <rFont val="Calibri"/>
        <family val="2"/>
        <scheme val="minor"/>
      </rPr>
      <t xml:space="preserve"> - Investments. 
</t>
    </r>
    <r>
      <rPr>
        <b/>
        <sz val="11"/>
        <color theme="1"/>
        <rFont val="Calibri"/>
        <family val="2"/>
        <scheme val="minor"/>
      </rPr>
      <t>112</t>
    </r>
    <r>
      <rPr>
        <sz val="11"/>
        <color theme="1"/>
        <rFont val="Calibri"/>
        <family val="2"/>
        <scheme val="minor"/>
      </rPr>
      <t xml:space="preserve"> - Unamortized Premiums on Investments. 
</t>
    </r>
    <r>
      <rPr>
        <b/>
        <sz val="11"/>
        <color theme="1"/>
        <rFont val="Calibri"/>
        <family val="2"/>
        <scheme val="minor"/>
      </rPr>
      <t>113</t>
    </r>
    <r>
      <rPr>
        <sz val="11"/>
        <color theme="1"/>
        <rFont val="Calibri"/>
        <family val="2"/>
        <scheme val="minor"/>
      </rPr>
      <t xml:space="preserve"> - Unamortized Discounts on Investments (Credit). 
</t>
    </r>
    <r>
      <rPr>
        <b/>
        <sz val="11"/>
        <color theme="1"/>
        <rFont val="Calibri"/>
        <family val="2"/>
        <scheme val="minor"/>
      </rPr>
      <t>114</t>
    </r>
    <r>
      <rPr>
        <sz val="11"/>
        <color theme="1"/>
        <rFont val="Calibri"/>
        <family val="2"/>
        <scheme val="minor"/>
      </rPr>
      <t xml:space="preserve"> - Interest Receivable on Investments. 
</t>
    </r>
    <r>
      <rPr>
        <b/>
        <sz val="11"/>
        <color theme="1"/>
        <rFont val="Calibri"/>
        <family val="2"/>
        <scheme val="minor"/>
      </rPr>
      <t>115</t>
    </r>
    <r>
      <rPr>
        <sz val="11"/>
        <color theme="1"/>
        <rFont val="Calibri"/>
        <family val="2"/>
        <scheme val="minor"/>
      </rPr>
      <t xml:space="preserve"> - Accrued Interest on Investments Purchased.
</t>
    </r>
    <r>
      <rPr>
        <b/>
        <sz val="11"/>
        <color theme="1"/>
        <rFont val="Calibri"/>
        <family val="2"/>
        <scheme val="minor"/>
      </rPr>
      <t>121</t>
    </r>
    <r>
      <rPr>
        <sz val="11"/>
        <color theme="1"/>
        <rFont val="Calibri"/>
        <family val="2"/>
        <scheme val="minor"/>
      </rPr>
      <t xml:space="preserve"> - Taxes Receivable. 
</t>
    </r>
    <r>
      <rPr>
        <b/>
        <sz val="11"/>
        <color theme="1"/>
        <rFont val="Calibri"/>
        <family val="2"/>
        <scheme val="minor"/>
      </rPr>
      <t>122</t>
    </r>
    <r>
      <rPr>
        <sz val="11"/>
        <color theme="1"/>
        <rFont val="Calibri"/>
        <family val="2"/>
        <scheme val="minor"/>
      </rPr>
      <t xml:space="preserve"> - Allowance for Uncollectible Taxes (Credit). 
</t>
    </r>
    <r>
      <rPr>
        <b/>
        <sz val="11"/>
        <color theme="1"/>
        <rFont val="Calibri"/>
        <family val="2"/>
        <scheme val="minor"/>
      </rPr>
      <t>131</t>
    </r>
    <r>
      <rPr>
        <sz val="11"/>
        <color theme="1"/>
        <rFont val="Calibri"/>
        <family val="2"/>
        <scheme val="minor"/>
      </rPr>
      <t xml:space="preserve"> - Interfund Loans Receivable. 
</t>
    </r>
    <r>
      <rPr>
        <b/>
        <sz val="11"/>
        <color theme="1"/>
        <rFont val="Calibri"/>
        <family val="2"/>
        <scheme val="minor"/>
      </rPr>
      <t>132</t>
    </r>
    <r>
      <rPr>
        <sz val="11"/>
        <color theme="1"/>
        <rFont val="Calibri"/>
        <family val="2"/>
        <scheme val="minor"/>
      </rPr>
      <t xml:space="preserve"> - Interfund Accounts Receivable.
</t>
    </r>
    <r>
      <rPr>
        <b/>
        <sz val="11"/>
        <color theme="1"/>
        <rFont val="Calibri"/>
        <family val="2"/>
        <scheme val="minor"/>
      </rPr>
      <t>141</t>
    </r>
    <r>
      <rPr>
        <sz val="11"/>
        <color theme="1"/>
        <rFont val="Calibri"/>
        <family val="2"/>
        <scheme val="minor"/>
      </rPr>
      <t xml:space="preserve"> - Intergovernmental Accounts Receivable. 
</t>
    </r>
    <r>
      <rPr>
        <b/>
        <sz val="11"/>
        <color theme="1"/>
        <rFont val="Calibri"/>
        <family val="2"/>
        <scheme val="minor"/>
      </rPr>
      <t>151</t>
    </r>
    <r>
      <rPr>
        <sz val="11"/>
        <color theme="1"/>
        <rFont val="Calibri"/>
        <family val="2"/>
        <scheme val="minor"/>
      </rPr>
      <t xml:space="preserve"> - Loans Receivable. 
</t>
    </r>
    <r>
      <rPr>
        <b/>
        <sz val="11"/>
        <color theme="1"/>
        <rFont val="Calibri"/>
        <family val="2"/>
        <scheme val="minor"/>
      </rPr>
      <t>152</t>
    </r>
    <r>
      <rPr>
        <sz val="11"/>
        <color theme="1"/>
        <rFont val="Calibri"/>
        <family val="2"/>
        <scheme val="minor"/>
      </rPr>
      <t xml:space="preserve"> - Allowance for Uncollectible Loans (Credit). 
</t>
    </r>
    <r>
      <rPr>
        <b/>
        <sz val="11"/>
        <color theme="1"/>
        <rFont val="Calibri"/>
        <family val="2"/>
        <scheme val="minor"/>
      </rPr>
      <t>153</t>
    </r>
    <r>
      <rPr>
        <sz val="11"/>
        <color theme="1"/>
        <rFont val="Calibri"/>
        <family val="2"/>
        <scheme val="minor"/>
      </rPr>
      <t xml:space="preserve"> - Other Accounts Receivable. 
</t>
    </r>
    <r>
      <rPr>
        <b/>
        <sz val="11"/>
        <color theme="1"/>
        <rFont val="Calibri"/>
        <family val="2"/>
        <scheme val="minor"/>
      </rPr>
      <t>154</t>
    </r>
    <r>
      <rPr>
        <sz val="11"/>
        <color theme="1"/>
        <rFont val="Calibri"/>
        <family val="2"/>
        <scheme val="minor"/>
      </rPr>
      <t xml:space="preserve"> - Allowance for Uncollectible Accounts Receivable (Credit). 
</t>
    </r>
    <r>
      <rPr>
        <b/>
        <sz val="11"/>
        <color theme="1"/>
        <rFont val="Calibri"/>
        <family val="2"/>
        <scheme val="minor"/>
      </rPr>
      <t>171</t>
    </r>
    <r>
      <rPr>
        <sz val="11"/>
        <color theme="1"/>
        <rFont val="Calibri"/>
        <family val="2"/>
        <scheme val="minor"/>
      </rPr>
      <t xml:space="preserve"> - Inventories for Consumption.
</t>
    </r>
    <r>
      <rPr>
        <b/>
        <sz val="11"/>
        <color theme="1"/>
        <rFont val="Calibri"/>
        <family val="2"/>
        <scheme val="minor"/>
      </rPr>
      <t>172</t>
    </r>
    <r>
      <rPr>
        <sz val="11"/>
        <color theme="1"/>
        <rFont val="Calibri"/>
        <family val="2"/>
        <scheme val="minor"/>
      </rPr>
      <t xml:space="preserve"> - Inventories for Resale. 
</t>
    </r>
    <r>
      <rPr>
        <b/>
        <sz val="11"/>
        <color theme="1"/>
        <rFont val="Calibri"/>
        <family val="2"/>
        <scheme val="minor"/>
      </rPr>
      <t>181</t>
    </r>
    <r>
      <rPr>
        <sz val="11"/>
        <color theme="1"/>
        <rFont val="Calibri"/>
        <family val="2"/>
        <scheme val="minor"/>
      </rPr>
      <t xml:space="preserve"> - Prepaid Items. Expenditures/expenses paid for benefits not yet received. 
</t>
    </r>
    <r>
      <rPr>
        <b/>
        <sz val="11"/>
        <color theme="1"/>
        <rFont val="Calibri"/>
        <family val="2"/>
        <scheme val="minor"/>
      </rPr>
      <t>191</t>
    </r>
    <r>
      <rPr>
        <sz val="11"/>
        <color theme="1"/>
        <rFont val="Calibri"/>
        <family val="2"/>
        <scheme val="minor"/>
      </rPr>
      <t xml:space="preserve"> - Deposits. 
</t>
    </r>
    <r>
      <rPr>
        <b/>
        <sz val="11"/>
        <color theme="1"/>
        <rFont val="Calibri"/>
        <family val="2"/>
        <scheme val="minor"/>
      </rPr>
      <t>192</t>
    </r>
    <r>
      <rPr>
        <sz val="11"/>
        <color theme="1"/>
        <rFont val="Calibri"/>
        <family val="2"/>
        <scheme val="minor"/>
      </rPr>
      <t xml:space="preserve"> - Deferred Expenditures/Expenses. 
</t>
    </r>
    <r>
      <rPr>
        <b/>
        <sz val="11"/>
        <color theme="1"/>
        <rFont val="Calibri"/>
        <family val="2"/>
        <scheme val="minor"/>
      </rPr>
      <t>193</t>
    </r>
    <r>
      <rPr>
        <sz val="11"/>
        <color theme="1"/>
        <rFont val="Calibri"/>
        <family val="2"/>
        <scheme val="minor"/>
      </rPr>
      <t xml:space="preserve"> - Capitalized Bond and Other Debt Issuance Costs. 
</t>
    </r>
    <r>
      <rPr>
        <b/>
        <sz val="11"/>
        <color theme="1"/>
        <rFont val="Calibri"/>
        <family val="2"/>
        <scheme val="minor"/>
      </rPr>
      <t>194</t>
    </r>
    <r>
      <rPr>
        <sz val="11"/>
        <color theme="1"/>
        <rFont val="Calibri"/>
        <family val="2"/>
        <scheme val="minor"/>
      </rPr>
      <t xml:space="preserve"> - Premium and Discount on Issuance of Bonds. 
</t>
    </r>
    <r>
      <rPr>
        <b/>
        <sz val="11"/>
        <color theme="1"/>
        <rFont val="Calibri"/>
        <family val="2"/>
        <scheme val="minor"/>
      </rPr>
      <t>199</t>
    </r>
    <r>
      <rPr>
        <sz val="11"/>
        <color theme="1"/>
        <rFont val="Calibri"/>
        <family val="2"/>
        <scheme val="minor"/>
      </rPr>
      <t xml:space="preserve"> - Other Current Assets. 
</t>
    </r>
    <r>
      <rPr>
        <b/>
        <sz val="11"/>
        <color theme="1"/>
        <rFont val="Calibri"/>
        <family val="2"/>
        <scheme val="minor"/>
      </rPr>
      <t>200</t>
    </r>
    <r>
      <rPr>
        <sz val="11"/>
        <color theme="1"/>
        <rFont val="Calibri"/>
        <family val="2"/>
        <scheme val="minor"/>
      </rPr>
      <t xml:space="preserve"> - Capital Assets. 
</t>
    </r>
    <r>
      <rPr>
        <b/>
        <sz val="11"/>
        <color theme="1"/>
        <rFont val="Calibri"/>
        <family val="2"/>
        <scheme val="minor"/>
      </rPr>
      <t>211</t>
    </r>
    <r>
      <rPr>
        <sz val="11"/>
        <color theme="1"/>
        <rFont val="Calibri"/>
        <family val="2"/>
        <scheme val="minor"/>
      </rPr>
      <t xml:space="preserve"> - Land and Land Improvements.
</t>
    </r>
    <r>
      <rPr>
        <b/>
        <sz val="11"/>
        <color theme="1"/>
        <rFont val="Calibri"/>
        <family val="2"/>
        <scheme val="minor"/>
      </rPr>
      <t>221</t>
    </r>
    <r>
      <rPr>
        <sz val="11"/>
        <color theme="1"/>
        <rFont val="Calibri"/>
        <family val="2"/>
        <scheme val="minor"/>
      </rPr>
      <t xml:space="preserve"> - Site Improvements.
</t>
    </r>
    <r>
      <rPr>
        <b/>
        <sz val="11"/>
        <color theme="1"/>
        <rFont val="Calibri"/>
        <family val="2"/>
        <scheme val="minor"/>
      </rPr>
      <t>222</t>
    </r>
    <r>
      <rPr>
        <sz val="11"/>
        <color theme="1"/>
        <rFont val="Calibri"/>
        <family val="2"/>
        <scheme val="minor"/>
      </rPr>
      <t xml:space="preserve"> - Accumulated Depreciation on Site Improvements. 
</t>
    </r>
    <r>
      <rPr>
        <b/>
        <sz val="11"/>
        <color theme="1"/>
        <rFont val="Calibri"/>
        <family val="2"/>
        <scheme val="minor"/>
      </rPr>
      <t>231</t>
    </r>
    <r>
      <rPr>
        <sz val="11"/>
        <color theme="1"/>
        <rFont val="Calibri"/>
        <family val="2"/>
        <scheme val="minor"/>
      </rPr>
      <t xml:space="preserve"> - Buildings and Building Improvements. 
</t>
    </r>
    <r>
      <rPr>
        <b/>
        <sz val="11"/>
        <color theme="1"/>
        <rFont val="Calibri"/>
        <family val="2"/>
        <scheme val="minor"/>
      </rPr>
      <t>232</t>
    </r>
    <r>
      <rPr>
        <sz val="11"/>
        <color theme="1"/>
        <rFont val="Calibri"/>
        <family val="2"/>
        <scheme val="minor"/>
      </rPr>
      <t xml:space="preserve"> - Accumulated Depreciation on Buildings and Building Improvements. 
</t>
    </r>
    <r>
      <rPr>
        <b/>
        <sz val="11"/>
        <color theme="1"/>
        <rFont val="Calibri"/>
        <family val="2"/>
        <scheme val="minor"/>
      </rPr>
      <t>241</t>
    </r>
    <r>
      <rPr>
        <sz val="11"/>
        <color theme="1"/>
        <rFont val="Calibri"/>
        <family val="2"/>
        <scheme val="minor"/>
      </rPr>
      <t xml:space="preserve"> - Machinery and Equipment.
</t>
    </r>
    <r>
      <rPr>
        <b/>
        <sz val="11"/>
        <color theme="1"/>
        <rFont val="Calibri"/>
        <family val="2"/>
        <scheme val="minor"/>
      </rPr>
      <t>242</t>
    </r>
    <r>
      <rPr>
        <sz val="11"/>
        <color theme="1"/>
        <rFont val="Calibri"/>
        <family val="2"/>
        <scheme val="minor"/>
      </rPr>
      <t xml:space="preserve"> - Accumulated Depreciation on Machinery and Equipment. 
</t>
    </r>
    <r>
      <rPr>
        <b/>
        <sz val="11"/>
        <color theme="1"/>
        <rFont val="Calibri"/>
        <family val="2"/>
        <scheme val="minor"/>
      </rPr>
      <t>251</t>
    </r>
    <r>
      <rPr>
        <sz val="11"/>
        <color theme="1"/>
        <rFont val="Calibri"/>
        <family val="2"/>
        <scheme val="minor"/>
      </rPr>
      <t xml:space="preserve"> - Works of Art and Historical Treasures. 
</t>
    </r>
    <r>
      <rPr>
        <b/>
        <sz val="11"/>
        <color theme="1"/>
        <rFont val="Calibri"/>
        <family val="2"/>
        <scheme val="minor"/>
      </rPr>
      <t>252</t>
    </r>
    <r>
      <rPr>
        <sz val="11"/>
        <color theme="1"/>
        <rFont val="Calibri"/>
        <family val="2"/>
        <scheme val="minor"/>
      </rPr>
      <t xml:space="preserve"> - Accumulated Depreciation on Works of Art and Historical Collections. 
</t>
    </r>
    <r>
      <rPr>
        <b/>
        <sz val="11"/>
        <color theme="1"/>
        <rFont val="Calibri"/>
        <family val="2"/>
        <scheme val="minor"/>
      </rPr>
      <t>261</t>
    </r>
    <r>
      <rPr>
        <sz val="11"/>
        <color theme="1"/>
        <rFont val="Calibri"/>
        <family val="2"/>
        <scheme val="minor"/>
      </rPr>
      <t xml:space="preserve"> - Infrastructure.
</t>
    </r>
    <r>
      <rPr>
        <b/>
        <sz val="11"/>
        <color theme="1"/>
        <rFont val="Calibri"/>
        <family val="2"/>
        <scheme val="minor"/>
      </rPr>
      <t>262</t>
    </r>
    <r>
      <rPr>
        <sz val="11"/>
        <color theme="1"/>
        <rFont val="Calibri"/>
        <family val="2"/>
        <scheme val="minor"/>
      </rPr>
      <t xml:space="preserve"> - Accumulated Depreciation on Infrastructure (accumulated depreciation of infrastructure assets)
</t>
    </r>
    <r>
      <rPr>
        <b/>
        <sz val="11"/>
        <color theme="1"/>
        <rFont val="Calibri"/>
        <family val="2"/>
        <scheme val="minor"/>
      </rPr>
      <t>271</t>
    </r>
    <r>
      <rPr>
        <sz val="11"/>
        <color theme="1"/>
        <rFont val="Calibri"/>
        <family val="2"/>
        <scheme val="minor"/>
      </rPr>
      <t xml:space="preserve"> - Construction in Progress. 
</t>
    </r>
    <r>
      <rPr>
        <b/>
        <sz val="11"/>
        <color theme="1"/>
        <rFont val="Calibri"/>
        <family val="2"/>
        <scheme val="minor"/>
      </rPr>
      <t>401</t>
    </r>
    <r>
      <rPr>
        <sz val="11"/>
        <color theme="1"/>
        <rFont val="Calibri"/>
        <family val="2"/>
        <scheme val="minor"/>
      </rPr>
      <t xml:space="preserve"> - Interfund Loans Payable. 
</t>
    </r>
    <r>
      <rPr>
        <b/>
        <sz val="11"/>
        <color theme="1"/>
        <rFont val="Calibri"/>
        <family val="2"/>
        <scheme val="minor"/>
      </rPr>
      <t>402</t>
    </r>
    <r>
      <rPr>
        <sz val="11"/>
        <color theme="1"/>
        <rFont val="Calibri"/>
        <family val="2"/>
        <scheme val="minor"/>
      </rPr>
      <t xml:space="preserve"> - Interfund Accounts Payable. 
</t>
    </r>
    <r>
      <rPr>
        <b/>
        <sz val="11"/>
        <color theme="1"/>
        <rFont val="Calibri"/>
        <family val="2"/>
        <scheme val="minor"/>
      </rPr>
      <t>411</t>
    </r>
    <r>
      <rPr>
        <sz val="11"/>
        <color theme="1"/>
        <rFont val="Calibri"/>
        <family val="2"/>
        <scheme val="minor"/>
      </rPr>
      <t xml:space="preserve"> - Intergovernmental Accounts Payable. 
</t>
    </r>
    <r>
      <rPr>
        <b/>
        <sz val="11"/>
        <color theme="1"/>
        <rFont val="Calibri"/>
        <family val="2"/>
        <scheme val="minor"/>
      </rPr>
      <t>421</t>
    </r>
    <r>
      <rPr>
        <sz val="11"/>
        <color theme="1"/>
        <rFont val="Calibri"/>
        <family val="2"/>
        <scheme val="minor"/>
      </rPr>
      <t xml:space="preserve"> - Accounts Payable. 
</t>
    </r>
    <r>
      <rPr>
        <b/>
        <sz val="11"/>
        <color theme="1"/>
        <rFont val="Calibri"/>
        <family val="2"/>
        <scheme val="minor"/>
      </rPr>
      <t>422</t>
    </r>
    <r>
      <rPr>
        <sz val="11"/>
        <color theme="1"/>
        <rFont val="Calibri"/>
        <family val="2"/>
        <scheme val="minor"/>
      </rPr>
      <t xml:space="preserve"> - Judgments Payable. 
</t>
    </r>
    <r>
      <rPr>
        <b/>
        <sz val="11"/>
        <color theme="1"/>
        <rFont val="Calibri"/>
        <family val="2"/>
        <scheme val="minor"/>
      </rPr>
      <t>423</t>
    </r>
    <r>
      <rPr>
        <sz val="11"/>
        <color theme="1"/>
        <rFont val="Calibri"/>
        <family val="2"/>
        <scheme val="minor"/>
      </rPr>
      <t xml:space="preserve"> - Warrants Payable. 
</t>
    </r>
    <r>
      <rPr>
        <b/>
        <sz val="11"/>
        <color theme="1"/>
        <rFont val="Calibri"/>
        <family val="2"/>
        <scheme val="minor"/>
      </rPr>
      <t>431</t>
    </r>
    <r>
      <rPr>
        <sz val="11"/>
        <color theme="1"/>
        <rFont val="Calibri"/>
        <family val="2"/>
        <scheme val="minor"/>
      </rPr>
      <t xml:space="preserve"> - Contracts Payable. 
</t>
    </r>
    <r>
      <rPr>
        <b/>
        <sz val="11"/>
        <color theme="1"/>
        <rFont val="Calibri"/>
        <family val="2"/>
        <scheme val="minor"/>
      </rPr>
      <t>432</t>
    </r>
    <r>
      <rPr>
        <sz val="11"/>
        <color theme="1"/>
        <rFont val="Calibri"/>
        <family val="2"/>
        <scheme val="minor"/>
      </rPr>
      <t xml:space="preserve"> - Construction Contracts Payable—Retainage. 
</t>
    </r>
    <r>
      <rPr>
        <b/>
        <sz val="11"/>
        <color theme="1"/>
        <rFont val="Calibri"/>
        <family val="2"/>
        <scheme val="minor"/>
      </rPr>
      <t>433</t>
    </r>
    <r>
      <rPr>
        <sz val="11"/>
        <color theme="1"/>
        <rFont val="Calibri"/>
        <family val="2"/>
        <scheme val="minor"/>
      </rPr>
      <t xml:space="preserve"> - Construction Contracts Payable. 
</t>
    </r>
    <r>
      <rPr>
        <b/>
        <sz val="11"/>
        <color theme="1"/>
        <rFont val="Calibri"/>
        <family val="2"/>
        <scheme val="minor"/>
      </rPr>
      <t>441</t>
    </r>
    <r>
      <rPr>
        <sz val="11"/>
        <color theme="1"/>
        <rFont val="Calibri"/>
        <family val="2"/>
        <scheme val="minor"/>
      </rPr>
      <t xml:space="preserve"> - Matured Bonds Payable. 
</t>
    </r>
    <r>
      <rPr>
        <b/>
        <sz val="11"/>
        <color theme="1"/>
        <rFont val="Calibri"/>
        <family val="2"/>
        <scheme val="minor"/>
      </rPr>
      <t>442</t>
    </r>
    <r>
      <rPr>
        <sz val="11"/>
        <color theme="1"/>
        <rFont val="Calibri"/>
        <family val="2"/>
        <scheme val="minor"/>
      </rPr>
      <t xml:space="preserve"> - Bonds Payable—Current.
</t>
    </r>
    <r>
      <rPr>
        <b/>
        <sz val="11"/>
        <color theme="1"/>
        <rFont val="Calibri"/>
        <family val="2"/>
        <scheme val="minor"/>
      </rPr>
      <t>443</t>
    </r>
    <r>
      <rPr>
        <sz val="11"/>
        <color theme="1"/>
        <rFont val="Calibri"/>
        <family val="2"/>
        <scheme val="minor"/>
      </rPr>
      <t xml:space="preserve"> - Unamortized Premiums on Issuance of Bonds. 
</t>
    </r>
    <r>
      <rPr>
        <b/>
        <sz val="11"/>
        <color theme="1"/>
        <rFont val="Calibri"/>
        <family val="2"/>
        <scheme val="minor"/>
      </rPr>
      <t>451</t>
    </r>
    <r>
      <rPr>
        <sz val="11"/>
        <color theme="1"/>
        <rFont val="Calibri"/>
        <family val="2"/>
        <scheme val="minor"/>
      </rPr>
      <t xml:space="preserve"> - Loans Payable. 
</t>
    </r>
    <r>
      <rPr>
        <b/>
        <sz val="11"/>
        <color theme="1"/>
        <rFont val="Calibri"/>
        <family val="2"/>
        <scheme val="minor"/>
      </rPr>
      <t>452</t>
    </r>
    <r>
      <rPr>
        <sz val="11"/>
        <color theme="1"/>
        <rFont val="Calibri"/>
        <family val="2"/>
        <scheme val="minor"/>
      </rPr>
      <t xml:space="preserve"> - Lease Obligations—Current. 
</t>
    </r>
    <r>
      <rPr>
        <b/>
        <sz val="11"/>
        <color theme="1"/>
        <rFont val="Calibri"/>
        <family val="2"/>
        <scheme val="minor"/>
      </rPr>
      <t>461</t>
    </r>
    <r>
      <rPr>
        <sz val="11"/>
        <color theme="1"/>
        <rFont val="Calibri"/>
        <family val="2"/>
        <scheme val="minor"/>
      </rPr>
      <t xml:space="preserve"> - Accrued Salaries and Benefits. 
</t>
    </r>
    <r>
      <rPr>
        <b/>
        <sz val="11"/>
        <color theme="1"/>
        <rFont val="Calibri"/>
        <family val="2"/>
        <scheme val="minor"/>
      </rPr>
      <t>471</t>
    </r>
    <r>
      <rPr>
        <sz val="11"/>
        <color theme="1"/>
        <rFont val="Calibri"/>
        <family val="2"/>
        <scheme val="minor"/>
      </rPr>
      <t xml:space="preserve"> - Payroll Deductions and Withholdings. 
</t>
    </r>
    <r>
      <rPr>
        <b/>
        <sz val="11"/>
        <color theme="1"/>
        <rFont val="Calibri"/>
        <family val="2"/>
        <scheme val="minor"/>
      </rPr>
      <t>472</t>
    </r>
    <r>
      <rPr>
        <sz val="11"/>
        <color theme="1"/>
        <rFont val="Calibri"/>
        <family val="2"/>
        <scheme val="minor"/>
      </rPr>
      <t xml:space="preserve"> - Compensated Absences—Current. 
</t>
    </r>
    <r>
      <rPr>
        <b/>
        <sz val="11"/>
        <color theme="1"/>
        <rFont val="Calibri"/>
        <family val="2"/>
        <scheme val="minor"/>
      </rPr>
      <t>473</t>
    </r>
    <r>
      <rPr>
        <sz val="11"/>
        <color theme="1"/>
        <rFont val="Calibri"/>
        <family val="2"/>
        <scheme val="minor"/>
      </rPr>
      <t xml:space="preserve"> - Accrued Annual Requirement Contribution Liability. 
</t>
    </r>
    <r>
      <rPr>
        <b/>
        <sz val="11"/>
        <color theme="1"/>
        <rFont val="Calibri"/>
        <family val="2"/>
        <scheme val="minor"/>
      </rPr>
      <t>481</t>
    </r>
    <r>
      <rPr>
        <sz val="11"/>
        <color theme="1"/>
        <rFont val="Calibri"/>
        <family val="2"/>
        <scheme val="minor"/>
      </rPr>
      <t xml:space="preserve"> - Deferred Revenues. 
</t>
    </r>
    <r>
      <rPr>
        <b/>
        <sz val="11"/>
        <color theme="1"/>
        <rFont val="Calibri"/>
        <family val="2"/>
        <scheme val="minor"/>
      </rPr>
      <t>491</t>
    </r>
    <r>
      <rPr>
        <sz val="11"/>
        <color theme="1"/>
        <rFont val="Calibri"/>
        <family val="2"/>
        <scheme val="minor"/>
      </rPr>
      <t xml:space="preserve"> - Deposits Payable. 
</t>
    </r>
    <r>
      <rPr>
        <b/>
        <sz val="11"/>
        <color theme="1"/>
        <rFont val="Calibri"/>
        <family val="2"/>
        <scheme val="minor"/>
      </rPr>
      <t>499</t>
    </r>
    <r>
      <rPr>
        <sz val="11"/>
        <color theme="1"/>
        <rFont val="Calibri"/>
        <family val="2"/>
        <scheme val="minor"/>
      </rPr>
      <t xml:space="preserve"> - Other Current Liabilities. 
</t>
    </r>
    <r>
      <rPr>
        <b/>
        <sz val="11"/>
        <color theme="1"/>
        <rFont val="Calibri"/>
        <family val="2"/>
        <scheme val="minor"/>
      </rPr>
      <t>500</t>
    </r>
    <r>
      <rPr>
        <sz val="11"/>
        <color theme="1"/>
        <rFont val="Calibri"/>
        <family val="2"/>
        <scheme val="minor"/>
      </rPr>
      <t xml:space="preserve"> - Long-Term Liabilities. 
</t>
    </r>
    <r>
      <rPr>
        <b/>
        <sz val="11"/>
        <color theme="1"/>
        <rFont val="Calibri"/>
        <family val="2"/>
        <scheme val="minor"/>
      </rPr>
      <t>511</t>
    </r>
    <r>
      <rPr>
        <sz val="11"/>
        <color theme="1"/>
        <rFont val="Calibri"/>
        <family val="2"/>
        <scheme val="minor"/>
      </rPr>
      <t xml:space="preserve"> - Bonds Payable. 
</t>
    </r>
    <r>
      <rPr>
        <b/>
        <sz val="11"/>
        <color theme="1"/>
        <rFont val="Calibri"/>
        <family val="2"/>
        <scheme val="minor"/>
      </rPr>
      <t>512</t>
    </r>
    <r>
      <rPr>
        <sz val="11"/>
        <color theme="1"/>
        <rFont val="Calibri"/>
        <family val="2"/>
        <scheme val="minor"/>
      </rPr>
      <t xml:space="preserve"> - Accreted Interest.
</t>
    </r>
    <r>
      <rPr>
        <b/>
        <sz val="11"/>
        <color theme="1"/>
        <rFont val="Calibri"/>
        <family val="2"/>
        <scheme val="minor"/>
      </rPr>
      <t>513</t>
    </r>
    <r>
      <rPr>
        <sz val="11"/>
        <color theme="1"/>
        <rFont val="Calibri"/>
        <family val="2"/>
        <scheme val="minor"/>
      </rPr>
      <t xml:space="preserve"> - Unamortized Gains/Losses on Debt Refundings. 
</t>
    </r>
    <r>
      <rPr>
        <b/>
        <sz val="11"/>
        <color theme="1"/>
        <rFont val="Calibri"/>
        <family val="2"/>
        <scheme val="minor"/>
      </rPr>
      <t>521</t>
    </r>
    <r>
      <rPr>
        <sz val="11"/>
        <color theme="1"/>
        <rFont val="Calibri"/>
        <family val="2"/>
        <scheme val="minor"/>
      </rPr>
      <t xml:space="preserve"> - Loans Payable. 
</t>
    </r>
    <r>
      <rPr>
        <b/>
        <sz val="11"/>
        <color theme="1"/>
        <rFont val="Calibri"/>
        <family val="2"/>
        <scheme val="minor"/>
      </rPr>
      <t>531</t>
    </r>
    <r>
      <rPr>
        <sz val="11"/>
        <color theme="1"/>
        <rFont val="Calibri"/>
        <family val="2"/>
        <scheme val="minor"/>
      </rPr>
      <t xml:space="preserve"> - Capital Lease Obligations. 
</t>
    </r>
    <r>
      <rPr>
        <b/>
        <sz val="11"/>
        <color theme="1"/>
        <rFont val="Calibri"/>
        <family val="2"/>
        <scheme val="minor"/>
      </rPr>
      <t>551</t>
    </r>
    <r>
      <rPr>
        <sz val="11"/>
        <color theme="1"/>
        <rFont val="Calibri"/>
        <family val="2"/>
        <scheme val="minor"/>
      </rPr>
      <t xml:space="preserve"> - Compensated Absences. 
</t>
    </r>
    <r>
      <rPr>
        <b/>
        <sz val="11"/>
        <color theme="1"/>
        <rFont val="Calibri"/>
        <family val="2"/>
        <scheme val="minor"/>
      </rPr>
      <t>561</t>
    </r>
    <r>
      <rPr>
        <sz val="11"/>
        <color theme="1"/>
        <rFont val="Calibri"/>
        <family val="2"/>
        <scheme val="minor"/>
      </rPr>
      <t xml:space="preserve"> - Arbitrage Rebate Liability. 
</t>
    </r>
    <r>
      <rPr>
        <b/>
        <sz val="11"/>
        <color theme="1"/>
        <rFont val="Calibri"/>
        <family val="2"/>
        <scheme val="minor"/>
      </rPr>
      <t>590</t>
    </r>
    <r>
      <rPr>
        <sz val="11"/>
        <color theme="1"/>
        <rFont val="Calibri"/>
        <family val="2"/>
        <scheme val="minor"/>
      </rPr>
      <t xml:space="preserve"> - Other Long-Term Liabilities. 
</t>
    </r>
    <r>
      <rPr>
        <b/>
        <sz val="11"/>
        <color theme="1"/>
        <rFont val="Calibri"/>
        <family val="2"/>
        <scheme val="minor"/>
      </rPr>
      <t>711</t>
    </r>
    <r>
      <rPr>
        <sz val="11"/>
        <color theme="1"/>
        <rFont val="Calibri"/>
        <family val="2"/>
        <scheme val="minor"/>
      </rPr>
      <t xml:space="preserve"> - Reserve for Inventories. 
</t>
    </r>
    <r>
      <rPr>
        <b/>
        <sz val="11"/>
        <color theme="1"/>
        <rFont val="Calibri"/>
        <family val="2"/>
        <scheme val="minor"/>
      </rPr>
      <t>712</t>
    </r>
    <r>
      <rPr>
        <sz val="11"/>
        <color theme="1"/>
        <rFont val="Calibri"/>
        <family val="2"/>
        <scheme val="minor"/>
      </rPr>
      <t xml:space="preserve"> - Reserve for Prepaid Items. 
</t>
    </r>
    <r>
      <rPr>
        <b/>
        <sz val="11"/>
        <color theme="1"/>
        <rFont val="Calibri"/>
        <family val="2"/>
        <scheme val="minor"/>
      </rPr>
      <t>713</t>
    </r>
    <r>
      <rPr>
        <sz val="11"/>
        <color theme="1"/>
        <rFont val="Calibri"/>
        <family val="2"/>
        <scheme val="minor"/>
      </rPr>
      <t xml:space="preserve"> - Reserve for Encumbrances.
</t>
    </r>
    <r>
      <rPr>
        <b/>
        <sz val="11"/>
        <color theme="1"/>
        <rFont val="Calibri"/>
        <family val="2"/>
        <scheme val="minor"/>
      </rPr>
      <t>714</t>
    </r>
    <r>
      <rPr>
        <sz val="11"/>
        <color theme="1"/>
        <rFont val="Calibri"/>
        <family val="2"/>
        <scheme val="minor"/>
      </rPr>
      <t xml:space="preserve"> - Other Reserved Fund Balance. 
</t>
    </r>
    <r>
      <rPr>
        <b/>
        <sz val="11"/>
        <color theme="1"/>
        <rFont val="Calibri"/>
        <family val="2"/>
        <scheme val="minor"/>
      </rPr>
      <t>720</t>
    </r>
    <r>
      <rPr>
        <sz val="11"/>
        <color theme="1"/>
        <rFont val="Calibri"/>
        <family val="2"/>
        <scheme val="minor"/>
      </rPr>
      <t xml:space="preserve"> - Designated Fund Balance. 
</t>
    </r>
    <r>
      <rPr>
        <b/>
        <sz val="11"/>
        <color theme="1"/>
        <rFont val="Calibri"/>
        <family val="2"/>
        <scheme val="minor"/>
      </rPr>
      <t>730</t>
    </r>
    <r>
      <rPr>
        <sz val="11"/>
        <color theme="1"/>
        <rFont val="Calibri"/>
        <family val="2"/>
        <scheme val="minor"/>
      </rPr>
      <t xml:space="preserve"> - Unreserved Fund Balance. 
</t>
    </r>
    <r>
      <rPr>
        <b/>
        <sz val="11"/>
        <color theme="1"/>
        <rFont val="Calibri"/>
        <family val="2"/>
        <scheme val="minor"/>
      </rPr>
      <t>740</t>
    </r>
    <r>
      <rPr>
        <sz val="11"/>
        <color theme="1"/>
        <rFont val="Calibri"/>
        <family val="2"/>
        <scheme val="minor"/>
      </rPr>
      <t xml:space="preserve"> - Invested in Capital Assets, Net of Related Debt. 
</t>
    </r>
    <r>
      <rPr>
        <b/>
        <sz val="11"/>
        <color theme="1"/>
        <rFont val="Calibri"/>
        <family val="2"/>
        <scheme val="minor"/>
      </rPr>
      <t>750</t>
    </r>
    <r>
      <rPr>
        <sz val="11"/>
        <color theme="1"/>
        <rFont val="Calibri"/>
        <family val="2"/>
        <scheme val="minor"/>
      </rPr>
      <t xml:space="preserve"> - Restricted Net Assets. 
</t>
    </r>
    <r>
      <rPr>
        <b/>
        <sz val="11"/>
        <color theme="1"/>
        <rFont val="Calibri"/>
        <family val="2"/>
        <scheme val="minor"/>
      </rPr>
      <t>760</t>
    </r>
    <r>
      <rPr>
        <sz val="11"/>
        <color theme="1"/>
        <rFont val="Calibri"/>
        <family val="2"/>
        <scheme val="minor"/>
      </rPr>
      <t xml:space="preserve"> - Unrestricted Net Assets.
</t>
    </r>
  </si>
  <si>
    <r>
      <t>1000</t>
    </r>
    <r>
      <rPr>
        <sz val="11"/>
        <color theme="1"/>
        <rFont val="Calibri"/>
        <family val="2"/>
        <scheme val="minor"/>
      </rPr>
      <t xml:space="preserve"> - Instruction
</t>
    </r>
    <r>
      <rPr>
        <b/>
        <sz val="11"/>
        <color theme="1"/>
        <rFont val="Calibri"/>
        <family val="2"/>
        <scheme val="minor"/>
      </rPr>
      <t>2000</t>
    </r>
    <r>
      <rPr>
        <sz val="11"/>
        <color theme="1"/>
        <rFont val="Calibri"/>
        <family val="2"/>
        <scheme val="minor"/>
      </rPr>
      <t xml:space="preserve"> - Support Services
</t>
    </r>
    <r>
      <rPr>
        <b/>
        <sz val="11"/>
        <color theme="1"/>
        <rFont val="Calibri"/>
        <family val="2"/>
        <scheme val="minor"/>
      </rPr>
      <t>2100</t>
    </r>
    <r>
      <rPr>
        <sz val="11"/>
        <color theme="1"/>
        <rFont val="Calibri"/>
        <family val="2"/>
        <scheme val="minor"/>
      </rPr>
      <t xml:space="preserve"> - Support Services—Students
</t>
    </r>
    <r>
      <rPr>
        <b/>
        <sz val="11"/>
        <color theme="1"/>
        <rFont val="Calibri"/>
        <family val="2"/>
        <scheme val="minor"/>
      </rPr>
      <t>2110</t>
    </r>
    <r>
      <rPr>
        <sz val="11"/>
        <color theme="1"/>
        <rFont val="Calibri"/>
        <family val="2"/>
        <scheme val="minor"/>
      </rPr>
      <t xml:space="preserve"> - Attendance and Social Work Services
</t>
    </r>
    <r>
      <rPr>
        <b/>
        <sz val="11"/>
        <color theme="1"/>
        <rFont val="Calibri"/>
        <family val="2"/>
        <scheme val="minor"/>
      </rPr>
      <t>2120</t>
    </r>
    <r>
      <rPr>
        <sz val="11"/>
        <color theme="1"/>
        <rFont val="Calibri"/>
        <family val="2"/>
        <scheme val="minor"/>
      </rPr>
      <t xml:space="preserve"> - Guidance Services
</t>
    </r>
    <r>
      <rPr>
        <b/>
        <sz val="11"/>
        <color theme="1"/>
        <rFont val="Calibri"/>
        <family val="2"/>
        <scheme val="minor"/>
      </rPr>
      <t>2130</t>
    </r>
    <r>
      <rPr>
        <sz val="11"/>
        <color theme="1"/>
        <rFont val="Calibri"/>
        <family val="2"/>
        <scheme val="minor"/>
      </rPr>
      <t xml:space="preserve"> - Health Services
</t>
    </r>
    <r>
      <rPr>
        <b/>
        <sz val="11"/>
        <color theme="1"/>
        <rFont val="Calibri"/>
        <family val="2"/>
        <scheme val="minor"/>
      </rPr>
      <t>2140</t>
    </r>
    <r>
      <rPr>
        <sz val="11"/>
        <color theme="1"/>
        <rFont val="Calibri"/>
        <family val="2"/>
        <scheme val="minor"/>
      </rPr>
      <t xml:space="preserve"> - Psychological Services
</t>
    </r>
    <r>
      <rPr>
        <b/>
        <sz val="11"/>
        <color theme="1"/>
        <rFont val="Calibri"/>
        <family val="2"/>
        <scheme val="minor"/>
      </rPr>
      <t>2150</t>
    </r>
    <r>
      <rPr>
        <sz val="11"/>
        <color theme="1"/>
        <rFont val="Calibri"/>
        <family val="2"/>
        <scheme val="minor"/>
      </rPr>
      <t xml:space="preserve"> - Speech Pathology and Audiology Services
</t>
    </r>
    <r>
      <rPr>
        <b/>
        <sz val="11"/>
        <color theme="1"/>
        <rFont val="Calibri"/>
        <family val="2"/>
        <scheme val="minor"/>
      </rPr>
      <t>2160</t>
    </r>
    <r>
      <rPr>
        <sz val="11"/>
        <color theme="1"/>
        <rFont val="Calibri"/>
        <family val="2"/>
        <scheme val="minor"/>
      </rPr>
      <t xml:space="preserve"> - Occupational Therapy-Related Services
</t>
    </r>
    <r>
      <rPr>
        <b/>
        <sz val="11"/>
        <color theme="1"/>
        <rFont val="Calibri"/>
        <family val="2"/>
        <scheme val="minor"/>
      </rPr>
      <t>2190</t>
    </r>
    <r>
      <rPr>
        <sz val="11"/>
        <color theme="1"/>
        <rFont val="Calibri"/>
        <family val="2"/>
        <scheme val="minor"/>
      </rPr>
      <t xml:space="preserve"> - Other Support Services—Student
</t>
    </r>
    <r>
      <rPr>
        <b/>
        <sz val="11"/>
        <color theme="1"/>
        <rFont val="Calibri"/>
        <family val="2"/>
        <scheme val="minor"/>
      </rPr>
      <t>2200</t>
    </r>
    <r>
      <rPr>
        <sz val="11"/>
        <color theme="1"/>
        <rFont val="Calibri"/>
        <family val="2"/>
        <scheme val="minor"/>
      </rPr>
      <t xml:space="preserve"> - Support Services—Instruction
</t>
    </r>
    <r>
      <rPr>
        <b/>
        <sz val="11"/>
        <color theme="1"/>
        <rFont val="Calibri"/>
        <family val="2"/>
        <scheme val="minor"/>
      </rPr>
      <t>2210</t>
    </r>
    <r>
      <rPr>
        <sz val="11"/>
        <color theme="1"/>
        <rFont val="Calibri"/>
        <family val="2"/>
        <scheme val="minor"/>
      </rPr>
      <t xml:space="preserve"> - Improvement of Instruction
</t>
    </r>
    <r>
      <rPr>
        <b/>
        <sz val="11"/>
        <color theme="1"/>
        <rFont val="Calibri"/>
        <family val="2"/>
        <scheme val="minor"/>
      </rPr>
      <t>2212</t>
    </r>
    <r>
      <rPr>
        <sz val="11"/>
        <color theme="1"/>
        <rFont val="Calibri"/>
        <family val="2"/>
        <scheme val="minor"/>
      </rPr>
      <t xml:space="preserve"> - Instruction and Curriculum Development
</t>
    </r>
    <r>
      <rPr>
        <b/>
        <sz val="11"/>
        <color theme="1"/>
        <rFont val="Calibri"/>
        <family val="2"/>
        <scheme val="minor"/>
      </rPr>
      <t>2213</t>
    </r>
    <r>
      <rPr>
        <sz val="11"/>
        <color theme="1"/>
        <rFont val="Calibri"/>
        <family val="2"/>
        <scheme val="minor"/>
      </rPr>
      <t xml:space="preserve"> - Instructional Staff Training
</t>
    </r>
    <r>
      <rPr>
        <b/>
        <sz val="11"/>
        <color theme="1"/>
        <rFont val="Calibri"/>
        <family val="2"/>
        <scheme val="minor"/>
      </rPr>
      <t>2219</t>
    </r>
    <r>
      <rPr>
        <sz val="11"/>
        <color theme="1"/>
        <rFont val="Calibri"/>
        <family val="2"/>
        <scheme val="minor"/>
      </rPr>
      <t xml:space="preserve"> - Other Improvement of Instruction Services
</t>
    </r>
    <r>
      <rPr>
        <b/>
        <sz val="11"/>
        <color theme="1"/>
        <rFont val="Calibri"/>
        <family val="2"/>
        <scheme val="minor"/>
      </rPr>
      <t>2220</t>
    </r>
    <r>
      <rPr>
        <sz val="11"/>
        <color theme="1"/>
        <rFont val="Calibri"/>
        <family val="2"/>
        <scheme val="minor"/>
      </rPr>
      <t xml:space="preserve"> - Library/Media Services
</t>
    </r>
    <r>
      <rPr>
        <b/>
        <sz val="11"/>
        <color theme="1"/>
        <rFont val="Calibri"/>
        <family val="2"/>
        <scheme val="minor"/>
      </rPr>
      <t>2230</t>
    </r>
    <r>
      <rPr>
        <sz val="11"/>
        <color theme="1"/>
        <rFont val="Calibri"/>
        <family val="2"/>
        <scheme val="minor"/>
      </rPr>
      <t xml:space="preserve"> - Instruction-Related Technology
</t>
    </r>
    <r>
      <rPr>
        <b/>
        <sz val="11"/>
        <color theme="1"/>
        <rFont val="Calibri"/>
        <family val="2"/>
        <scheme val="minor"/>
      </rPr>
      <t>2240</t>
    </r>
    <r>
      <rPr>
        <sz val="11"/>
        <color theme="1"/>
        <rFont val="Calibri"/>
        <family val="2"/>
        <scheme val="minor"/>
      </rPr>
      <t xml:space="preserve"> - Academic Student Assessment
</t>
    </r>
    <r>
      <rPr>
        <b/>
        <sz val="11"/>
        <color theme="1"/>
        <rFont val="Calibri"/>
        <family val="2"/>
        <scheme val="minor"/>
      </rPr>
      <t>2290</t>
    </r>
    <r>
      <rPr>
        <sz val="11"/>
        <color theme="1"/>
        <rFont val="Calibri"/>
        <family val="2"/>
        <scheme val="minor"/>
      </rPr>
      <t xml:space="preserve"> - Other Support Services—Instructional Staff
</t>
    </r>
    <r>
      <rPr>
        <b/>
        <sz val="11"/>
        <color theme="1"/>
        <rFont val="Calibri"/>
        <family val="2"/>
        <scheme val="minor"/>
      </rPr>
      <t>2300</t>
    </r>
    <r>
      <rPr>
        <sz val="11"/>
        <color theme="1"/>
        <rFont val="Calibri"/>
        <family val="2"/>
        <scheme val="minor"/>
      </rPr>
      <t xml:space="preserve"> - Support Services—General Administration
</t>
    </r>
    <r>
      <rPr>
        <b/>
        <sz val="11"/>
        <color theme="1"/>
        <rFont val="Calibri"/>
        <family val="2"/>
        <scheme val="minor"/>
      </rPr>
      <t>2310</t>
    </r>
    <r>
      <rPr>
        <sz val="11"/>
        <color theme="1"/>
        <rFont val="Calibri"/>
        <family val="2"/>
        <scheme val="minor"/>
      </rPr>
      <t xml:space="preserve"> - Board of Education
</t>
    </r>
    <r>
      <rPr>
        <b/>
        <sz val="11"/>
        <color theme="1"/>
        <rFont val="Calibri"/>
        <family val="2"/>
        <scheme val="minor"/>
      </rPr>
      <t>2320</t>
    </r>
    <r>
      <rPr>
        <sz val="11"/>
        <color theme="1"/>
        <rFont val="Calibri"/>
        <family val="2"/>
        <scheme val="minor"/>
      </rPr>
      <t xml:space="preserve"> - Executive Administration
</t>
    </r>
    <r>
      <rPr>
        <b/>
        <sz val="11"/>
        <color theme="1"/>
        <rFont val="Calibri"/>
        <family val="2"/>
        <scheme val="minor"/>
      </rPr>
      <t>2400</t>
    </r>
    <r>
      <rPr>
        <sz val="11"/>
        <color theme="1"/>
        <rFont val="Calibri"/>
        <family val="2"/>
        <scheme val="minor"/>
      </rPr>
      <t xml:space="preserve"> - Support Services—School Administration
</t>
    </r>
    <r>
      <rPr>
        <b/>
        <sz val="11"/>
        <color theme="1"/>
        <rFont val="Calibri"/>
        <family val="2"/>
        <scheme val="minor"/>
      </rPr>
      <t>2410</t>
    </r>
    <r>
      <rPr>
        <sz val="11"/>
        <color theme="1"/>
        <rFont val="Calibri"/>
        <family val="2"/>
        <scheme val="minor"/>
      </rPr>
      <t xml:space="preserve"> - Office of the Principal
</t>
    </r>
    <r>
      <rPr>
        <b/>
        <sz val="11"/>
        <color theme="1"/>
        <rFont val="Calibri"/>
        <family val="2"/>
        <scheme val="minor"/>
      </rPr>
      <t>2490</t>
    </r>
    <r>
      <rPr>
        <sz val="11"/>
        <color theme="1"/>
        <rFont val="Calibri"/>
        <family val="2"/>
        <scheme val="minor"/>
      </rPr>
      <t xml:space="preserve"> - Other Support Services—School Administration
</t>
    </r>
    <r>
      <rPr>
        <b/>
        <sz val="11"/>
        <color theme="1"/>
        <rFont val="Calibri"/>
        <family val="2"/>
        <scheme val="minor"/>
      </rPr>
      <t>2500</t>
    </r>
    <r>
      <rPr>
        <sz val="11"/>
        <color theme="1"/>
        <rFont val="Calibri"/>
        <family val="2"/>
        <scheme val="minor"/>
      </rPr>
      <t xml:space="preserve"> - Central Services
</t>
    </r>
    <r>
      <rPr>
        <b/>
        <sz val="11"/>
        <color theme="1"/>
        <rFont val="Calibri"/>
        <family val="2"/>
        <scheme val="minor"/>
      </rPr>
      <t>2510</t>
    </r>
    <r>
      <rPr>
        <sz val="11"/>
        <color theme="1"/>
        <rFont val="Calibri"/>
        <family val="2"/>
        <scheme val="minor"/>
      </rPr>
      <t xml:space="preserve"> - Fiscal Services
</t>
    </r>
    <r>
      <rPr>
        <b/>
        <sz val="11"/>
        <color theme="1"/>
        <rFont val="Calibri"/>
        <family val="2"/>
        <scheme val="minor"/>
      </rPr>
      <t>2520</t>
    </r>
    <r>
      <rPr>
        <sz val="11"/>
        <color theme="1"/>
        <rFont val="Calibri"/>
        <family val="2"/>
        <scheme val="minor"/>
      </rPr>
      <t xml:space="preserve"> - Purchasing, Warehousing, and Distributing Services
</t>
    </r>
    <r>
      <rPr>
        <b/>
        <sz val="11"/>
        <color theme="1"/>
        <rFont val="Calibri"/>
        <family val="2"/>
        <scheme val="minor"/>
      </rPr>
      <t>2530</t>
    </r>
    <r>
      <rPr>
        <sz val="11"/>
        <color theme="1"/>
        <rFont val="Calibri"/>
        <family val="2"/>
        <scheme val="minor"/>
      </rPr>
      <t xml:space="preserve"> - Printing, Publishing, and Duplicating Services
</t>
    </r>
    <r>
      <rPr>
        <b/>
        <sz val="11"/>
        <color theme="1"/>
        <rFont val="Calibri"/>
        <family val="2"/>
        <scheme val="minor"/>
      </rPr>
      <t>2540</t>
    </r>
    <r>
      <rPr>
        <sz val="11"/>
        <color theme="1"/>
        <rFont val="Calibri"/>
        <family val="2"/>
        <scheme val="minor"/>
      </rPr>
      <t xml:space="preserve"> - Planning, Research, Development, and Evaluation Services
</t>
    </r>
    <r>
      <rPr>
        <b/>
        <sz val="11"/>
        <color theme="1"/>
        <rFont val="Calibri"/>
        <family val="2"/>
        <scheme val="minor"/>
      </rPr>
      <t>2560</t>
    </r>
    <r>
      <rPr>
        <sz val="11"/>
        <color theme="1"/>
        <rFont val="Calibri"/>
        <family val="2"/>
        <scheme val="minor"/>
      </rPr>
      <t xml:space="preserve"> - Public Information Services
</t>
    </r>
    <r>
      <rPr>
        <b/>
        <sz val="11"/>
        <color theme="1"/>
        <rFont val="Calibri"/>
        <family val="2"/>
        <scheme val="minor"/>
      </rPr>
      <t>2570</t>
    </r>
    <r>
      <rPr>
        <sz val="11"/>
        <color theme="1"/>
        <rFont val="Calibri"/>
        <family val="2"/>
        <scheme val="minor"/>
      </rPr>
      <t xml:space="preserve"> - Personnel Services
</t>
    </r>
    <r>
      <rPr>
        <b/>
        <sz val="11"/>
        <color theme="1"/>
        <rFont val="Calibri"/>
        <family val="2"/>
        <scheme val="minor"/>
      </rPr>
      <t>2580</t>
    </r>
    <r>
      <rPr>
        <sz val="11"/>
        <color theme="1"/>
        <rFont val="Calibri"/>
        <family val="2"/>
        <scheme val="minor"/>
      </rPr>
      <t xml:space="preserve"> - Administrative Technology Services
</t>
    </r>
    <r>
      <rPr>
        <b/>
        <sz val="11"/>
        <color theme="1"/>
        <rFont val="Calibri"/>
        <family val="2"/>
        <scheme val="minor"/>
      </rPr>
      <t>2590</t>
    </r>
    <r>
      <rPr>
        <sz val="11"/>
        <color theme="1"/>
        <rFont val="Calibri"/>
        <family val="2"/>
        <scheme val="minor"/>
      </rPr>
      <t xml:space="preserve"> - Other Support Services—Central Services
</t>
    </r>
    <r>
      <rPr>
        <b/>
        <sz val="11"/>
        <color theme="1"/>
        <rFont val="Calibri"/>
        <family val="2"/>
        <scheme val="minor"/>
      </rPr>
      <t>2600</t>
    </r>
    <r>
      <rPr>
        <sz val="11"/>
        <color theme="1"/>
        <rFont val="Calibri"/>
        <family val="2"/>
        <scheme val="minor"/>
      </rPr>
      <t xml:space="preserve"> - Operation and Maintenance of Plant
</t>
    </r>
    <r>
      <rPr>
        <b/>
        <sz val="11"/>
        <color theme="1"/>
        <rFont val="Calibri"/>
        <family val="2"/>
        <scheme val="minor"/>
      </rPr>
      <t>2610</t>
    </r>
    <r>
      <rPr>
        <sz val="11"/>
        <color theme="1"/>
        <rFont val="Calibri"/>
        <family val="2"/>
        <scheme val="minor"/>
      </rPr>
      <t xml:space="preserve"> - Operation of Buildings
</t>
    </r>
    <r>
      <rPr>
        <b/>
        <sz val="11"/>
        <color theme="1"/>
        <rFont val="Calibri"/>
        <family val="2"/>
        <scheme val="minor"/>
      </rPr>
      <t>2620</t>
    </r>
    <r>
      <rPr>
        <sz val="11"/>
        <color theme="1"/>
        <rFont val="Calibri"/>
        <family val="2"/>
        <scheme val="minor"/>
      </rPr>
      <t xml:space="preserve"> - Maintenance of Buildings
</t>
    </r>
    <r>
      <rPr>
        <b/>
        <sz val="11"/>
        <color theme="1"/>
        <rFont val="Calibri"/>
        <family val="2"/>
        <scheme val="minor"/>
      </rPr>
      <t>2630</t>
    </r>
    <r>
      <rPr>
        <sz val="11"/>
        <color theme="1"/>
        <rFont val="Calibri"/>
        <family val="2"/>
        <scheme val="minor"/>
      </rPr>
      <t xml:space="preserve"> - Care and Upkeep of Grounds
</t>
    </r>
    <r>
      <rPr>
        <b/>
        <sz val="11"/>
        <color theme="1"/>
        <rFont val="Calibri"/>
        <family val="2"/>
        <scheme val="minor"/>
      </rPr>
      <t>2640</t>
    </r>
    <r>
      <rPr>
        <sz val="11"/>
        <color theme="1"/>
        <rFont val="Calibri"/>
        <family val="2"/>
        <scheme val="minor"/>
      </rPr>
      <t xml:space="preserve"> - Care and Upkeep of Equipment
</t>
    </r>
    <r>
      <rPr>
        <b/>
        <sz val="11"/>
        <color theme="1"/>
        <rFont val="Calibri"/>
        <family val="2"/>
        <scheme val="minor"/>
      </rPr>
      <t>2650</t>
    </r>
    <r>
      <rPr>
        <sz val="11"/>
        <color theme="1"/>
        <rFont val="Calibri"/>
        <family val="2"/>
        <scheme val="minor"/>
      </rPr>
      <t xml:space="preserve"> - Vehicle Operation and Maintenance (Other Than Student Transportation Vehicles)
</t>
    </r>
    <r>
      <rPr>
        <b/>
        <sz val="11"/>
        <color theme="1"/>
        <rFont val="Calibri"/>
        <family val="2"/>
        <scheme val="minor"/>
      </rPr>
      <t>2660</t>
    </r>
    <r>
      <rPr>
        <sz val="11"/>
        <color theme="1"/>
        <rFont val="Calibri"/>
        <family val="2"/>
        <scheme val="minor"/>
      </rPr>
      <t xml:space="preserve"> - Security
</t>
    </r>
    <r>
      <rPr>
        <b/>
        <sz val="11"/>
        <color theme="1"/>
        <rFont val="Calibri"/>
        <family val="2"/>
        <scheme val="minor"/>
      </rPr>
      <t>2670</t>
    </r>
    <r>
      <rPr>
        <sz val="11"/>
        <color theme="1"/>
        <rFont val="Calibri"/>
        <family val="2"/>
        <scheme val="minor"/>
      </rPr>
      <t xml:space="preserve"> - Safety
</t>
    </r>
    <r>
      <rPr>
        <b/>
        <sz val="11"/>
        <color theme="1"/>
        <rFont val="Calibri"/>
        <family val="2"/>
        <scheme val="minor"/>
      </rPr>
      <t>2680</t>
    </r>
    <r>
      <rPr>
        <sz val="11"/>
        <color theme="1"/>
        <rFont val="Calibri"/>
        <family val="2"/>
        <scheme val="minor"/>
      </rPr>
      <t xml:space="preserve"> - Other Operation and Maintenance of Plant
</t>
    </r>
    <r>
      <rPr>
        <b/>
        <sz val="11"/>
        <color theme="1"/>
        <rFont val="Calibri"/>
        <family val="2"/>
        <scheme val="minor"/>
      </rPr>
      <t>2700</t>
    </r>
    <r>
      <rPr>
        <sz val="11"/>
        <color theme="1"/>
        <rFont val="Calibri"/>
        <family val="2"/>
        <scheme val="minor"/>
      </rPr>
      <t xml:space="preserve"> - Student Transportation
</t>
    </r>
    <r>
      <rPr>
        <b/>
        <sz val="11"/>
        <color theme="1"/>
        <rFont val="Calibri"/>
        <family val="2"/>
        <scheme val="minor"/>
      </rPr>
      <t>2710</t>
    </r>
    <r>
      <rPr>
        <sz val="11"/>
        <color theme="1"/>
        <rFont val="Calibri"/>
        <family val="2"/>
        <scheme val="minor"/>
      </rPr>
      <t xml:space="preserve"> - Vehicle Operation
</t>
    </r>
    <r>
      <rPr>
        <b/>
        <sz val="11"/>
        <color theme="1"/>
        <rFont val="Calibri"/>
        <family val="2"/>
        <scheme val="minor"/>
      </rPr>
      <t>2720</t>
    </r>
    <r>
      <rPr>
        <sz val="11"/>
        <color theme="1"/>
        <rFont val="Calibri"/>
        <family val="2"/>
        <scheme val="minor"/>
      </rPr>
      <t xml:space="preserve"> - Monitoring Services
</t>
    </r>
    <r>
      <rPr>
        <b/>
        <sz val="11"/>
        <color theme="1"/>
        <rFont val="Calibri"/>
        <family val="2"/>
        <scheme val="minor"/>
      </rPr>
      <t>2730</t>
    </r>
    <r>
      <rPr>
        <sz val="11"/>
        <color theme="1"/>
        <rFont val="Calibri"/>
        <family val="2"/>
        <scheme val="minor"/>
      </rPr>
      <t xml:space="preserve"> - Vehicle Servicing and Maintenance
</t>
    </r>
    <r>
      <rPr>
        <b/>
        <sz val="11"/>
        <color theme="1"/>
        <rFont val="Calibri"/>
        <family val="2"/>
        <scheme val="minor"/>
      </rPr>
      <t>2790</t>
    </r>
    <r>
      <rPr>
        <sz val="11"/>
        <color theme="1"/>
        <rFont val="Calibri"/>
        <family val="2"/>
        <scheme val="minor"/>
      </rPr>
      <t xml:space="preserve"> - Other Student Transportation Services
</t>
    </r>
    <r>
      <rPr>
        <b/>
        <sz val="11"/>
        <color theme="1"/>
        <rFont val="Calibri"/>
        <family val="2"/>
        <scheme val="minor"/>
      </rPr>
      <t>3000</t>
    </r>
    <r>
      <rPr>
        <sz val="11"/>
        <color theme="1"/>
        <rFont val="Calibri"/>
        <family val="2"/>
        <scheme val="minor"/>
      </rPr>
      <t xml:space="preserve"> - Operation of Noninstructional Services
</t>
    </r>
    <r>
      <rPr>
        <b/>
        <sz val="11"/>
        <color theme="1"/>
        <rFont val="Calibri"/>
        <family val="2"/>
        <scheme val="minor"/>
      </rPr>
      <t>3100</t>
    </r>
    <r>
      <rPr>
        <sz val="11"/>
        <color theme="1"/>
        <rFont val="Calibri"/>
        <family val="2"/>
        <scheme val="minor"/>
      </rPr>
      <t xml:space="preserve"> - Food Services Operations
</t>
    </r>
    <r>
      <rPr>
        <b/>
        <sz val="11"/>
        <color theme="1"/>
        <rFont val="Calibri"/>
        <family val="2"/>
        <scheme val="minor"/>
      </rPr>
      <t>3200</t>
    </r>
    <r>
      <rPr>
        <sz val="11"/>
        <color theme="1"/>
        <rFont val="Calibri"/>
        <family val="2"/>
        <scheme val="minor"/>
      </rPr>
      <t xml:space="preserve"> - Enterprise Operations
</t>
    </r>
    <r>
      <rPr>
        <b/>
        <sz val="11"/>
        <color theme="1"/>
        <rFont val="Calibri"/>
        <family val="2"/>
        <scheme val="minor"/>
      </rPr>
      <t>3300</t>
    </r>
    <r>
      <rPr>
        <sz val="11"/>
        <color theme="1"/>
        <rFont val="Calibri"/>
        <family val="2"/>
        <scheme val="minor"/>
      </rPr>
      <t xml:space="preserve"> - Community Services Operations
</t>
    </r>
    <r>
      <rPr>
        <b/>
        <sz val="11"/>
        <color theme="1"/>
        <rFont val="Calibri"/>
        <family val="2"/>
        <scheme val="minor"/>
      </rPr>
      <t>4100</t>
    </r>
    <r>
      <rPr>
        <sz val="11"/>
        <color theme="1"/>
        <rFont val="Calibri"/>
        <family val="2"/>
        <scheme val="minor"/>
      </rPr>
      <t xml:space="preserve"> - Land Acquisition. Activities concerned with initially acquiring and improving land
</t>
    </r>
    <r>
      <rPr>
        <b/>
        <sz val="11"/>
        <color theme="1"/>
        <rFont val="Calibri"/>
        <family val="2"/>
        <scheme val="minor"/>
      </rPr>
      <t>4200</t>
    </r>
    <r>
      <rPr>
        <sz val="11"/>
        <color theme="1"/>
        <rFont val="Calibri"/>
        <family val="2"/>
        <scheme val="minor"/>
      </rPr>
      <t xml:space="preserve"> - Land Improvement
</t>
    </r>
    <r>
      <rPr>
        <b/>
        <sz val="11"/>
        <color theme="1"/>
        <rFont val="Calibri"/>
        <family val="2"/>
        <scheme val="minor"/>
      </rPr>
      <t>4300</t>
    </r>
    <r>
      <rPr>
        <sz val="11"/>
        <color theme="1"/>
        <rFont val="Calibri"/>
        <family val="2"/>
        <scheme val="minor"/>
      </rPr>
      <t xml:space="preserve"> - Architecture and Engineering
</t>
    </r>
    <r>
      <rPr>
        <b/>
        <sz val="11"/>
        <color theme="1"/>
        <rFont val="Calibri"/>
        <family val="2"/>
        <scheme val="minor"/>
      </rPr>
      <t>4400</t>
    </r>
    <r>
      <rPr>
        <sz val="11"/>
        <color theme="1"/>
        <rFont val="Calibri"/>
        <family val="2"/>
        <scheme val="minor"/>
      </rPr>
      <t xml:space="preserve"> - Educational Specifications Development
</t>
    </r>
    <r>
      <rPr>
        <b/>
        <sz val="11"/>
        <color theme="1"/>
        <rFont val="Calibri"/>
        <family val="2"/>
        <scheme val="minor"/>
      </rPr>
      <t>4500</t>
    </r>
    <r>
      <rPr>
        <sz val="11"/>
        <color theme="1"/>
        <rFont val="Calibri"/>
        <family val="2"/>
        <scheme val="minor"/>
      </rPr>
      <t xml:space="preserve"> - Building Acquisition and Construction
</t>
    </r>
    <r>
      <rPr>
        <b/>
        <sz val="11"/>
        <color theme="1"/>
        <rFont val="Calibri"/>
        <family val="2"/>
        <scheme val="minor"/>
      </rPr>
      <t>4600</t>
    </r>
    <r>
      <rPr>
        <sz val="11"/>
        <color theme="1"/>
        <rFont val="Calibri"/>
        <family val="2"/>
        <scheme val="minor"/>
      </rPr>
      <t xml:space="preserve"> - Site Improvement
</t>
    </r>
    <r>
      <rPr>
        <b/>
        <sz val="11"/>
        <color theme="1"/>
        <rFont val="Calibri"/>
        <family val="2"/>
        <scheme val="minor"/>
      </rPr>
      <t>4700</t>
    </r>
    <r>
      <rPr>
        <sz val="11"/>
        <color theme="1"/>
        <rFont val="Calibri"/>
        <family val="2"/>
        <scheme val="minor"/>
      </rPr>
      <t xml:space="preserve"> - Building Improvements
</t>
    </r>
    <r>
      <rPr>
        <b/>
        <sz val="11"/>
        <color theme="1"/>
        <rFont val="Calibri"/>
        <family val="2"/>
        <scheme val="minor"/>
      </rPr>
      <t>4900</t>
    </r>
    <r>
      <rPr>
        <sz val="11"/>
        <color theme="1"/>
        <rFont val="Calibri"/>
        <family val="2"/>
        <scheme val="minor"/>
      </rPr>
      <t xml:space="preserve"> - Other Facilities Acquisition and Construction
</t>
    </r>
    <r>
      <rPr>
        <b/>
        <sz val="11"/>
        <color theme="1"/>
        <rFont val="Calibri"/>
        <family val="2"/>
        <scheme val="minor"/>
      </rPr>
      <t>5000</t>
    </r>
    <r>
      <rPr>
        <sz val="11"/>
        <color theme="1"/>
        <rFont val="Calibri"/>
        <family val="2"/>
        <scheme val="minor"/>
      </rPr>
      <t xml:space="preserve"> - Debt Service
</t>
    </r>
  </si>
  <si>
    <r>
      <t>100</t>
    </r>
    <r>
      <rPr>
        <sz val="11"/>
        <color theme="1"/>
        <rFont val="Calibri"/>
        <family val="2"/>
        <scheme val="minor"/>
      </rPr>
      <t xml:space="preserve"> - Personal Services—Salaries
</t>
    </r>
    <r>
      <rPr>
        <b/>
        <sz val="11"/>
        <color theme="1"/>
        <rFont val="Calibri"/>
        <family val="2"/>
        <scheme val="minor"/>
      </rPr>
      <t>101</t>
    </r>
    <r>
      <rPr>
        <sz val="11"/>
        <color theme="1"/>
        <rFont val="Calibri"/>
        <family val="2"/>
        <scheme val="minor"/>
      </rPr>
      <t xml:space="preserve"> - Salaries Paid to Teachers
</t>
    </r>
    <r>
      <rPr>
        <b/>
        <sz val="11"/>
        <color theme="1"/>
        <rFont val="Calibri"/>
        <family val="2"/>
        <scheme val="minor"/>
      </rPr>
      <t>102</t>
    </r>
    <r>
      <rPr>
        <sz val="11"/>
        <color theme="1"/>
        <rFont val="Calibri"/>
        <family val="2"/>
        <scheme val="minor"/>
      </rPr>
      <t xml:space="preserve"> - Salaries Paid to Instructional Aides or Assistants
</t>
    </r>
    <r>
      <rPr>
        <b/>
        <sz val="11"/>
        <color theme="1"/>
        <rFont val="Calibri"/>
        <family val="2"/>
        <scheme val="minor"/>
      </rPr>
      <t>103</t>
    </r>
    <r>
      <rPr>
        <sz val="11"/>
        <color theme="1"/>
        <rFont val="Calibri"/>
        <family val="2"/>
        <scheme val="minor"/>
      </rPr>
      <t xml:space="preserve"> - Salaries Paid to Substitute Teachers
</t>
    </r>
    <r>
      <rPr>
        <b/>
        <sz val="11"/>
        <color theme="1"/>
        <rFont val="Calibri"/>
        <family val="2"/>
        <scheme val="minor"/>
      </rPr>
      <t>110</t>
    </r>
    <r>
      <rPr>
        <sz val="11"/>
        <color theme="1"/>
        <rFont val="Calibri"/>
        <family val="2"/>
        <scheme val="minor"/>
      </rPr>
      <t xml:space="preserve"> - Salaries of Regular Employees
</t>
    </r>
    <r>
      <rPr>
        <b/>
        <sz val="11"/>
        <color theme="1"/>
        <rFont val="Calibri"/>
        <family val="2"/>
        <scheme val="minor"/>
      </rPr>
      <t>111</t>
    </r>
    <r>
      <rPr>
        <sz val="11"/>
        <color theme="1"/>
        <rFont val="Calibri"/>
        <family val="2"/>
        <scheme val="minor"/>
      </rPr>
      <t xml:space="preserve"> - Salaries of Regular Employees Paid to Teachers
</t>
    </r>
    <r>
      <rPr>
        <b/>
        <sz val="11"/>
        <color theme="1"/>
        <rFont val="Calibri"/>
        <family val="2"/>
        <scheme val="minor"/>
      </rPr>
      <t>112</t>
    </r>
    <r>
      <rPr>
        <sz val="11"/>
        <color theme="1"/>
        <rFont val="Calibri"/>
        <family val="2"/>
        <scheme val="minor"/>
      </rPr>
      <t xml:space="preserve"> - Salaries of Regular Employees Paid to Instructional Aides and Assistants
</t>
    </r>
    <r>
      <rPr>
        <b/>
        <sz val="11"/>
        <color theme="1"/>
        <rFont val="Calibri"/>
        <family val="2"/>
        <scheme val="minor"/>
      </rPr>
      <t>113</t>
    </r>
    <r>
      <rPr>
        <sz val="11"/>
        <color theme="1"/>
        <rFont val="Calibri"/>
        <family val="2"/>
        <scheme val="minor"/>
      </rPr>
      <t xml:space="preserve"> - Salaries of Regular Employees Paid to Substitute Teachers
</t>
    </r>
    <r>
      <rPr>
        <b/>
        <sz val="11"/>
        <color theme="1"/>
        <rFont val="Calibri"/>
        <family val="2"/>
        <scheme val="minor"/>
      </rPr>
      <t>120</t>
    </r>
    <r>
      <rPr>
        <sz val="11"/>
        <color theme="1"/>
        <rFont val="Calibri"/>
        <family val="2"/>
        <scheme val="minor"/>
      </rPr>
      <t xml:space="preserve"> - Salaries of Temporary Employees
</t>
    </r>
    <r>
      <rPr>
        <b/>
        <sz val="11"/>
        <color theme="1"/>
        <rFont val="Calibri"/>
        <family val="2"/>
        <scheme val="minor"/>
      </rPr>
      <t>121</t>
    </r>
    <r>
      <rPr>
        <sz val="11"/>
        <color theme="1"/>
        <rFont val="Calibri"/>
        <family val="2"/>
        <scheme val="minor"/>
      </rPr>
      <t xml:space="preserve"> - Salaries of Temporary Employees Paid to Teachers
</t>
    </r>
    <r>
      <rPr>
        <b/>
        <sz val="11"/>
        <color theme="1"/>
        <rFont val="Calibri"/>
        <family val="2"/>
        <scheme val="minor"/>
      </rPr>
      <t>122</t>
    </r>
    <r>
      <rPr>
        <sz val="11"/>
        <color theme="1"/>
        <rFont val="Calibri"/>
        <family val="2"/>
        <scheme val="minor"/>
      </rPr>
      <t xml:space="preserve"> - Salaries of Temporary Employees Paid to Instructional Aides and Assistants
</t>
    </r>
    <r>
      <rPr>
        <b/>
        <sz val="11"/>
        <color theme="1"/>
        <rFont val="Calibri"/>
        <family val="2"/>
        <scheme val="minor"/>
      </rPr>
      <t>123</t>
    </r>
    <r>
      <rPr>
        <sz val="11"/>
        <color theme="1"/>
        <rFont val="Calibri"/>
        <family val="2"/>
        <scheme val="minor"/>
      </rPr>
      <t xml:space="preserve"> - Salaries of Temporary Employees Paid to Substitute Teachers
</t>
    </r>
    <r>
      <rPr>
        <b/>
        <sz val="11"/>
        <color theme="1"/>
        <rFont val="Calibri"/>
        <family val="2"/>
        <scheme val="minor"/>
      </rPr>
      <t>130</t>
    </r>
    <r>
      <rPr>
        <sz val="11"/>
        <color theme="1"/>
        <rFont val="Calibri"/>
        <family val="2"/>
        <scheme val="minor"/>
      </rPr>
      <t xml:space="preserve"> - Salaries for Overtime
</t>
    </r>
    <r>
      <rPr>
        <b/>
        <sz val="11"/>
        <color theme="1"/>
        <rFont val="Calibri"/>
        <family val="2"/>
        <scheme val="minor"/>
      </rPr>
      <t>131</t>
    </r>
    <r>
      <rPr>
        <sz val="11"/>
        <color theme="1"/>
        <rFont val="Calibri"/>
        <family val="2"/>
        <scheme val="minor"/>
      </rPr>
      <t xml:space="preserve"> - Salaries for Overtime Employees Paid to Teachers
</t>
    </r>
    <r>
      <rPr>
        <b/>
        <sz val="11"/>
        <color theme="1"/>
        <rFont val="Calibri"/>
        <family val="2"/>
        <scheme val="minor"/>
      </rPr>
      <t>132</t>
    </r>
    <r>
      <rPr>
        <sz val="11"/>
        <color theme="1"/>
        <rFont val="Calibri"/>
        <family val="2"/>
        <scheme val="minor"/>
      </rPr>
      <t xml:space="preserve"> - Salaries for Overtime Employees Paid to Instructional Aides and Assistants
</t>
    </r>
    <r>
      <rPr>
        <b/>
        <sz val="11"/>
        <color theme="1"/>
        <rFont val="Calibri"/>
        <family val="2"/>
        <scheme val="minor"/>
      </rPr>
      <t>133</t>
    </r>
    <r>
      <rPr>
        <sz val="11"/>
        <color theme="1"/>
        <rFont val="Calibri"/>
        <family val="2"/>
        <scheme val="minor"/>
      </rPr>
      <t xml:space="preserve"> - Salaries for Overtime Employees Paid to Substitute Teachers
</t>
    </r>
    <r>
      <rPr>
        <b/>
        <sz val="11"/>
        <color theme="1"/>
        <rFont val="Calibri"/>
        <family val="2"/>
        <scheme val="minor"/>
      </rPr>
      <t>140</t>
    </r>
    <r>
      <rPr>
        <sz val="11"/>
        <color theme="1"/>
        <rFont val="Calibri"/>
        <family val="2"/>
        <scheme val="minor"/>
      </rPr>
      <t xml:space="preserve"> - Salaries for Sabbatical Leave
</t>
    </r>
    <r>
      <rPr>
        <b/>
        <sz val="11"/>
        <color theme="1"/>
        <rFont val="Calibri"/>
        <family val="2"/>
        <scheme val="minor"/>
      </rPr>
      <t>141</t>
    </r>
    <r>
      <rPr>
        <sz val="11"/>
        <color theme="1"/>
        <rFont val="Calibri"/>
        <family val="2"/>
        <scheme val="minor"/>
      </rPr>
      <t xml:space="preserve"> - Salaries for Sabbatical Leave Paid to Teachers
</t>
    </r>
    <r>
      <rPr>
        <b/>
        <sz val="11"/>
        <color theme="1"/>
        <rFont val="Calibri"/>
        <family val="2"/>
        <scheme val="minor"/>
      </rPr>
      <t>142</t>
    </r>
    <r>
      <rPr>
        <sz val="11"/>
        <color theme="1"/>
        <rFont val="Calibri"/>
        <family val="2"/>
        <scheme val="minor"/>
      </rPr>
      <t xml:space="preserve"> - Salaries for Sabbatical Leave Paid to Instructional Aides and Assistants
</t>
    </r>
    <r>
      <rPr>
        <b/>
        <sz val="11"/>
        <color theme="1"/>
        <rFont val="Calibri"/>
        <family val="2"/>
        <scheme val="minor"/>
      </rPr>
      <t>143</t>
    </r>
    <r>
      <rPr>
        <sz val="11"/>
        <color theme="1"/>
        <rFont val="Calibri"/>
        <family val="2"/>
        <scheme val="minor"/>
      </rPr>
      <t xml:space="preserve"> - Salaries for Sabbatical Leave Paid to Substitute Teachers
</t>
    </r>
    <r>
      <rPr>
        <b/>
        <sz val="11"/>
        <color theme="1"/>
        <rFont val="Calibri"/>
        <family val="2"/>
        <scheme val="minor"/>
      </rPr>
      <t>150</t>
    </r>
    <r>
      <rPr>
        <sz val="11"/>
        <color theme="1"/>
        <rFont val="Calibri"/>
        <family val="2"/>
        <scheme val="minor"/>
      </rPr>
      <t xml:space="preserve"> - Additional Compensation Such as Bonuses or Incentives
</t>
    </r>
    <r>
      <rPr>
        <b/>
        <sz val="11"/>
        <color theme="1"/>
        <rFont val="Calibri"/>
        <family val="2"/>
        <scheme val="minor"/>
      </rPr>
      <t>151</t>
    </r>
    <r>
      <rPr>
        <sz val="11"/>
        <color theme="1"/>
        <rFont val="Calibri"/>
        <family val="2"/>
        <scheme val="minor"/>
      </rPr>
      <t xml:space="preserve"> - Additional Compensation Paid to Teachers
</t>
    </r>
    <r>
      <rPr>
        <b/>
        <sz val="11"/>
        <color theme="1"/>
        <rFont val="Calibri"/>
        <family val="2"/>
        <scheme val="minor"/>
      </rPr>
      <t>152</t>
    </r>
    <r>
      <rPr>
        <sz val="11"/>
        <color theme="1"/>
        <rFont val="Calibri"/>
        <family val="2"/>
        <scheme val="minor"/>
      </rPr>
      <t xml:space="preserve"> - Additional Compensation Paid to Instructional Aides and Assistants
</t>
    </r>
    <r>
      <rPr>
        <b/>
        <sz val="11"/>
        <color theme="1"/>
        <rFont val="Calibri"/>
        <family val="2"/>
        <scheme val="minor"/>
      </rPr>
      <t>153</t>
    </r>
    <r>
      <rPr>
        <sz val="11"/>
        <color theme="1"/>
        <rFont val="Calibri"/>
        <family val="2"/>
        <scheme val="minor"/>
      </rPr>
      <t xml:space="preserve"> - Additional Compensation Paid to Substitute Teachers
</t>
    </r>
    <r>
      <rPr>
        <b/>
        <sz val="11"/>
        <color theme="1"/>
        <rFont val="Calibri"/>
        <family val="2"/>
        <scheme val="minor"/>
      </rPr>
      <t>200</t>
    </r>
    <r>
      <rPr>
        <sz val="11"/>
        <color theme="1"/>
        <rFont val="Calibri"/>
        <family val="2"/>
        <scheme val="minor"/>
      </rPr>
      <t xml:space="preserve"> - Personal Services—Employee Benefits
</t>
    </r>
    <r>
      <rPr>
        <b/>
        <sz val="11"/>
        <color theme="1"/>
        <rFont val="Calibri"/>
        <family val="2"/>
        <scheme val="minor"/>
      </rPr>
      <t>201</t>
    </r>
    <r>
      <rPr>
        <sz val="11"/>
        <color theme="1"/>
        <rFont val="Calibri"/>
        <family val="2"/>
        <scheme val="minor"/>
      </rPr>
      <t xml:space="preserve"> - Employee Benefits for Teachers
</t>
    </r>
    <r>
      <rPr>
        <b/>
        <sz val="11"/>
        <color theme="1"/>
        <rFont val="Calibri"/>
        <family val="2"/>
        <scheme val="minor"/>
      </rPr>
      <t>202</t>
    </r>
    <r>
      <rPr>
        <sz val="11"/>
        <color theme="1"/>
        <rFont val="Calibri"/>
        <family val="2"/>
        <scheme val="minor"/>
      </rPr>
      <t xml:space="preserve"> - Employee Benefits for Instructional Aides or Assistants
</t>
    </r>
    <r>
      <rPr>
        <b/>
        <sz val="11"/>
        <color theme="1"/>
        <rFont val="Calibri"/>
        <family val="2"/>
        <scheme val="minor"/>
      </rPr>
      <t>203</t>
    </r>
    <r>
      <rPr>
        <sz val="11"/>
        <color theme="1"/>
        <rFont val="Calibri"/>
        <family val="2"/>
        <scheme val="minor"/>
      </rPr>
      <t xml:space="preserve"> - Employee Benefits for Substitute Teachers
</t>
    </r>
    <r>
      <rPr>
        <b/>
        <sz val="11"/>
        <color theme="1"/>
        <rFont val="Calibri"/>
        <family val="2"/>
        <scheme val="minor"/>
      </rPr>
      <t>210</t>
    </r>
    <r>
      <rPr>
        <sz val="11"/>
        <color theme="1"/>
        <rFont val="Calibri"/>
        <family val="2"/>
        <scheme val="minor"/>
      </rPr>
      <t xml:space="preserve"> - Group InsuranceEmployer’s share of any insurance plan
</t>
    </r>
    <r>
      <rPr>
        <b/>
        <sz val="11"/>
        <color theme="1"/>
        <rFont val="Calibri"/>
        <family val="2"/>
        <scheme val="minor"/>
      </rPr>
      <t>211</t>
    </r>
    <r>
      <rPr>
        <sz val="11"/>
        <color theme="1"/>
        <rFont val="Calibri"/>
        <family val="2"/>
        <scheme val="minor"/>
      </rPr>
      <t xml:space="preserve"> - Group Insurance for Teachers
</t>
    </r>
    <r>
      <rPr>
        <b/>
        <sz val="11"/>
        <color theme="1"/>
        <rFont val="Calibri"/>
        <family val="2"/>
        <scheme val="minor"/>
      </rPr>
      <t>212</t>
    </r>
    <r>
      <rPr>
        <sz val="11"/>
        <color theme="1"/>
        <rFont val="Calibri"/>
        <family val="2"/>
        <scheme val="minor"/>
      </rPr>
      <t xml:space="preserve"> - Group Insurance for Instructional Aides or Assistants
</t>
    </r>
    <r>
      <rPr>
        <b/>
        <sz val="11"/>
        <color theme="1"/>
        <rFont val="Calibri"/>
        <family val="2"/>
        <scheme val="minor"/>
      </rPr>
      <t>213</t>
    </r>
    <r>
      <rPr>
        <sz val="11"/>
        <color theme="1"/>
        <rFont val="Calibri"/>
        <family val="2"/>
        <scheme val="minor"/>
      </rPr>
      <t xml:space="preserve"> - Group Insurance for Substitute Teachers
</t>
    </r>
    <r>
      <rPr>
        <b/>
        <sz val="11"/>
        <color theme="1"/>
        <rFont val="Calibri"/>
        <family val="2"/>
        <scheme val="minor"/>
      </rPr>
      <t>220</t>
    </r>
    <r>
      <rPr>
        <sz val="11"/>
        <color theme="1"/>
        <rFont val="Calibri"/>
        <family val="2"/>
        <scheme val="minor"/>
      </rPr>
      <t xml:space="preserve"> - Social Security Contributions
</t>
    </r>
    <r>
      <rPr>
        <b/>
        <sz val="11"/>
        <color theme="1"/>
        <rFont val="Calibri"/>
        <family val="2"/>
        <scheme val="minor"/>
      </rPr>
      <t>221</t>
    </r>
    <r>
      <rPr>
        <sz val="11"/>
        <color theme="1"/>
        <rFont val="Calibri"/>
        <family val="2"/>
        <scheme val="minor"/>
      </rPr>
      <t xml:space="preserve"> - Social Security Payments for Teachers
</t>
    </r>
    <r>
      <rPr>
        <b/>
        <sz val="11"/>
        <color theme="1"/>
        <rFont val="Calibri"/>
        <family val="2"/>
        <scheme val="minor"/>
      </rPr>
      <t>222</t>
    </r>
    <r>
      <rPr>
        <sz val="11"/>
        <color theme="1"/>
        <rFont val="Calibri"/>
        <family val="2"/>
        <scheme val="minor"/>
      </rPr>
      <t xml:space="preserve"> - Social Security Payments for Instructional Aides or Assistants
</t>
    </r>
    <r>
      <rPr>
        <b/>
        <sz val="11"/>
        <color theme="1"/>
        <rFont val="Calibri"/>
        <family val="2"/>
        <scheme val="minor"/>
      </rPr>
      <t>223</t>
    </r>
    <r>
      <rPr>
        <sz val="11"/>
        <color theme="1"/>
        <rFont val="Calibri"/>
        <family val="2"/>
        <scheme val="minor"/>
      </rPr>
      <t xml:space="preserve"> - Social Security Payments for Substitute Teachers
</t>
    </r>
    <r>
      <rPr>
        <b/>
        <sz val="11"/>
        <color theme="1"/>
        <rFont val="Calibri"/>
        <family val="2"/>
        <scheme val="minor"/>
      </rPr>
      <t>230</t>
    </r>
    <r>
      <rPr>
        <sz val="11"/>
        <color theme="1"/>
        <rFont val="Calibri"/>
        <family val="2"/>
        <scheme val="minor"/>
      </rPr>
      <t xml:space="preserve"> - Retirement Contributions
</t>
    </r>
    <r>
      <rPr>
        <b/>
        <sz val="11"/>
        <color theme="1"/>
        <rFont val="Calibri"/>
        <family val="2"/>
        <scheme val="minor"/>
      </rPr>
      <t>231</t>
    </r>
    <r>
      <rPr>
        <sz val="11"/>
        <color theme="1"/>
        <rFont val="Calibri"/>
        <family val="2"/>
        <scheme val="minor"/>
      </rPr>
      <t xml:space="preserve"> - Retirement Contributions for Teachers
</t>
    </r>
    <r>
      <rPr>
        <b/>
        <sz val="11"/>
        <color theme="1"/>
        <rFont val="Calibri"/>
        <family val="2"/>
        <scheme val="minor"/>
      </rPr>
      <t>232</t>
    </r>
    <r>
      <rPr>
        <sz val="11"/>
        <color theme="1"/>
        <rFont val="Calibri"/>
        <family val="2"/>
        <scheme val="minor"/>
      </rPr>
      <t xml:space="preserve"> - Retirement Contributions for Instructional Aides or Assistants
</t>
    </r>
    <r>
      <rPr>
        <b/>
        <sz val="11"/>
        <color theme="1"/>
        <rFont val="Calibri"/>
        <family val="2"/>
        <scheme val="minor"/>
      </rPr>
      <t>233</t>
    </r>
    <r>
      <rPr>
        <sz val="11"/>
        <color theme="1"/>
        <rFont val="Calibri"/>
        <family val="2"/>
        <scheme val="minor"/>
      </rPr>
      <t xml:space="preserve"> - Retirement Contributions for Substitute Teachers
</t>
    </r>
    <r>
      <rPr>
        <b/>
        <sz val="11"/>
        <color theme="1"/>
        <rFont val="Calibri"/>
        <family val="2"/>
        <scheme val="minor"/>
      </rPr>
      <t>240</t>
    </r>
    <r>
      <rPr>
        <sz val="11"/>
        <color theme="1"/>
        <rFont val="Calibri"/>
        <family val="2"/>
        <scheme val="minor"/>
      </rPr>
      <t xml:space="preserve"> - On-Behalf Payments
</t>
    </r>
    <r>
      <rPr>
        <b/>
        <sz val="11"/>
        <color theme="1"/>
        <rFont val="Calibri"/>
        <family val="2"/>
        <scheme val="minor"/>
      </rPr>
      <t>241</t>
    </r>
    <r>
      <rPr>
        <sz val="11"/>
        <color theme="1"/>
        <rFont val="Calibri"/>
        <family val="2"/>
        <scheme val="minor"/>
      </rPr>
      <t xml:space="preserve"> - On-Behalf Payments for Teachers
</t>
    </r>
    <r>
      <rPr>
        <b/>
        <sz val="11"/>
        <color theme="1"/>
        <rFont val="Calibri"/>
        <family val="2"/>
        <scheme val="minor"/>
      </rPr>
      <t>242</t>
    </r>
    <r>
      <rPr>
        <sz val="11"/>
        <color theme="1"/>
        <rFont val="Calibri"/>
        <family val="2"/>
        <scheme val="minor"/>
      </rPr>
      <t xml:space="preserve"> - On-Behalf Payments for Instructional Aides or Assistants
</t>
    </r>
    <r>
      <rPr>
        <b/>
        <sz val="11"/>
        <color theme="1"/>
        <rFont val="Calibri"/>
        <family val="2"/>
        <scheme val="minor"/>
      </rPr>
      <t>243</t>
    </r>
    <r>
      <rPr>
        <sz val="11"/>
        <color theme="1"/>
        <rFont val="Calibri"/>
        <family val="2"/>
        <scheme val="minor"/>
      </rPr>
      <t xml:space="preserve"> - On-Behalf Payments for Substitute Teachers
</t>
    </r>
    <r>
      <rPr>
        <b/>
        <sz val="11"/>
        <color theme="1"/>
        <rFont val="Calibri"/>
        <family val="2"/>
        <scheme val="minor"/>
      </rPr>
      <t>250</t>
    </r>
    <r>
      <rPr>
        <sz val="11"/>
        <color theme="1"/>
        <rFont val="Calibri"/>
        <family val="2"/>
        <scheme val="minor"/>
      </rPr>
      <t xml:space="preserve"> - Tuition Reimbursement
</t>
    </r>
    <r>
      <rPr>
        <b/>
        <sz val="11"/>
        <color theme="1"/>
        <rFont val="Calibri"/>
        <family val="2"/>
        <scheme val="minor"/>
      </rPr>
      <t>251</t>
    </r>
    <r>
      <rPr>
        <sz val="11"/>
        <color theme="1"/>
        <rFont val="Calibri"/>
        <family val="2"/>
        <scheme val="minor"/>
      </rPr>
      <t xml:space="preserve"> - Tuition Reimbursement for Teachers
</t>
    </r>
    <r>
      <rPr>
        <b/>
        <sz val="11"/>
        <color theme="1"/>
        <rFont val="Calibri"/>
        <family val="2"/>
        <scheme val="minor"/>
      </rPr>
      <t>252</t>
    </r>
    <r>
      <rPr>
        <sz val="11"/>
        <color theme="1"/>
        <rFont val="Calibri"/>
        <family val="2"/>
        <scheme val="minor"/>
      </rPr>
      <t xml:space="preserve"> - Tuition Reimbursement for Instructional Aides or Assistants
</t>
    </r>
    <r>
      <rPr>
        <b/>
        <sz val="11"/>
        <color theme="1"/>
        <rFont val="Calibri"/>
        <family val="2"/>
        <scheme val="minor"/>
      </rPr>
      <t>253</t>
    </r>
    <r>
      <rPr>
        <sz val="11"/>
        <color theme="1"/>
        <rFont val="Calibri"/>
        <family val="2"/>
        <scheme val="minor"/>
      </rPr>
      <t xml:space="preserve"> - Tuition Reimbursement for Substitute Teachers
</t>
    </r>
    <r>
      <rPr>
        <b/>
        <sz val="11"/>
        <color theme="1"/>
        <rFont val="Calibri"/>
        <family val="2"/>
        <scheme val="minor"/>
      </rPr>
      <t>260</t>
    </r>
    <r>
      <rPr>
        <sz val="11"/>
        <color theme="1"/>
        <rFont val="Calibri"/>
        <family val="2"/>
        <scheme val="minor"/>
      </rPr>
      <t xml:space="preserve"> - Unemployment Compensation
</t>
    </r>
    <r>
      <rPr>
        <b/>
        <sz val="11"/>
        <color theme="1"/>
        <rFont val="Calibri"/>
        <family val="2"/>
        <scheme val="minor"/>
      </rPr>
      <t>261</t>
    </r>
    <r>
      <rPr>
        <sz val="11"/>
        <color theme="1"/>
        <rFont val="Calibri"/>
        <family val="2"/>
        <scheme val="minor"/>
      </rPr>
      <t xml:space="preserve"> - Unemployment Compensation Paid for Teachers
</t>
    </r>
    <r>
      <rPr>
        <b/>
        <sz val="11"/>
        <color theme="1"/>
        <rFont val="Calibri"/>
        <family val="2"/>
        <scheme val="minor"/>
      </rPr>
      <t>262</t>
    </r>
    <r>
      <rPr>
        <sz val="11"/>
        <color theme="1"/>
        <rFont val="Calibri"/>
        <family val="2"/>
        <scheme val="minor"/>
      </rPr>
      <t xml:space="preserve"> - Unemployment Compensation Paid for Instructional Aides or Assistants
</t>
    </r>
    <r>
      <rPr>
        <b/>
        <sz val="11"/>
        <color theme="1"/>
        <rFont val="Calibri"/>
        <family val="2"/>
        <scheme val="minor"/>
      </rPr>
      <t>263</t>
    </r>
    <r>
      <rPr>
        <sz val="11"/>
        <color theme="1"/>
        <rFont val="Calibri"/>
        <family val="2"/>
        <scheme val="minor"/>
      </rPr>
      <t xml:space="preserve"> - Unemployment Compensation Paid for Substitute Teachers
</t>
    </r>
    <r>
      <rPr>
        <b/>
        <sz val="11"/>
        <color theme="1"/>
        <rFont val="Calibri"/>
        <family val="2"/>
        <scheme val="minor"/>
      </rPr>
      <t>270</t>
    </r>
    <r>
      <rPr>
        <sz val="11"/>
        <color theme="1"/>
        <rFont val="Calibri"/>
        <family val="2"/>
        <scheme val="minor"/>
      </rPr>
      <t xml:space="preserve"> - Workers’ Compensation
</t>
    </r>
    <r>
      <rPr>
        <b/>
        <sz val="11"/>
        <color theme="1"/>
        <rFont val="Calibri"/>
        <family val="2"/>
        <scheme val="minor"/>
      </rPr>
      <t>271</t>
    </r>
    <r>
      <rPr>
        <sz val="11"/>
        <color theme="1"/>
        <rFont val="Calibri"/>
        <family val="2"/>
        <scheme val="minor"/>
      </rPr>
      <t xml:space="preserve"> - Worker’s Compensation Paid for Teachers
</t>
    </r>
    <r>
      <rPr>
        <b/>
        <sz val="11"/>
        <color theme="1"/>
        <rFont val="Calibri"/>
        <family val="2"/>
        <scheme val="minor"/>
      </rPr>
      <t>272</t>
    </r>
    <r>
      <rPr>
        <sz val="11"/>
        <color theme="1"/>
        <rFont val="Calibri"/>
        <family val="2"/>
        <scheme val="minor"/>
      </rPr>
      <t xml:space="preserve"> - Worker’s Compensation Paid for Instructional Aides or Assistants
</t>
    </r>
    <r>
      <rPr>
        <b/>
        <sz val="11"/>
        <color theme="1"/>
        <rFont val="Calibri"/>
        <family val="2"/>
        <scheme val="minor"/>
      </rPr>
      <t>273</t>
    </r>
    <r>
      <rPr>
        <sz val="11"/>
        <color theme="1"/>
        <rFont val="Calibri"/>
        <family val="2"/>
        <scheme val="minor"/>
      </rPr>
      <t xml:space="preserve"> - Worker’s Compensation for Substitute Teachers
</t>
    </r>
    <r>
      <rPr>
        <b/>
        <sz val="11"/>
        <color theme="1"/>
        <rFont val="Calibri"/>
        <family val="2"/>
        <scheme val="minor"/>
      </rPr>
      <t>280</t>
    </r>
    <r>
      <rPr>
        <sz val="11"/>
        <color theme="1"/>
        <rFont val="Calibri"/>
        <family val="2"/>
        <scheme val="minor"/>
      </rPr>
      <t xml:space="preserve"> - Health Benefits
</t>
    </r>
    <r>
      <rPr>
        <b/>
        <sz val="11"/>
        <color theme="1"/>
        <rFont val="Calibri"/>
        <family val="2"/>
        <scheme val="minor"/>
      </rPr>
      <t>281</t>
    </r>
    <r>
      <rPr>
        <sz val="11"/>
        <color theme="1"/>
        <rFont val="Calibri"/>
        <family val="2"/>
        <scheme val="minor"/>
      </rPr>
      <t xml:space="preserve"> - Health Benefits Paid for Teachers
</t>
    </r>
    <r>
      <rPr>
        <b/>
        <sz val="11"/>
        <color theme="1"/>
        <rFont val="Calibri"/>
        <family val="2"/>
        <scheme val="minor"/>
      </rPr>
      <t>282</t>
    </r>
    <r>
      <rPr>
        <sz val="11"/>
        <color theme="1"/>
        <rFont val="Calibri"/>
        <family val="2"/>
        <scheme val="minor"/>
      </rPr>
      <t xml:space="preserve"> - Health Benefits Paid for Instructional Aides or Assistants
</t>
    </r>
    <r>
      <rPr>
        <b/>
        <sz val="11"/>
        <color theme="1"/>
        <rFont val="Calibri"/>
        <family val="2"/>
        <scheme val="minor"/>
      </rPr>
      <t>283</t>
    </r>
    <r>
      <rPr>
        <sz val="11"/>
        <color theme="1"/>
        <rFont val="Calibri"/>
        <family val="2"/>
        <scheme val="minor"/>
      </rPr>
      <t xml:space="preserve"> - Health Benefits Paid for Substitute Teachers
</t>
    </r>
    <r>
      <rPr>
        <b/>
        <sz val="11"/>
        <color theme="1"/>
        <rFont val="Calibri"/>
        <family val="2"/>
        <scheme val="minor"/>
      </rPr>
      <t>290</t>
    </r>
    <r>
      <rPr>
        <sz val="11"/>
        <color theme="1"/>
        <rFont val="Calibri"/>
        <family val="2"/>
        <scheme val="minor"/>
      </rPr>
      <t xml:space="preserve"> - Other Employee Benefits
</t>
    </r>
    <r>
      <rPr>
        <b/>
        <sz val="11"/>
        <color theme="1"/>
        <rFont val="Calibri"/>
        <family val="2"/>
        <scheme val="minor"/>
      </rPr>
      <t>291</t>
    </r>
    <r>
      <rPr>
        <sz val="11"/>
        <color theme="1"/>
        <rFont val="Calibri"/>
        <family val="2"/>
        <scheme val="minor"/>
      </rPr>
      <t xml:space="preserve"> - Other Employee Benefits Paid for Teachers
</t>
    </r>
    <r>
      <rPr>
        <b/>
        <sz val="11"/>
        <color theme="1"/>
        <rFont val="Calibri"/>
        <family val="2"/>
        <scheme val="minor"/>
      </rPr>
      <t>292</t>
    </r>
    <r>
      <rPr>
        <sz val="11"/>
        <color theme="1"/>
        <rFont val="Calibri"/>
        <family val="2"/>
        <scheme val="minor"/>
      </rPr>
      <t xml:space="preserve"> - Other Employee Benefits Paid for Instructional Aides or Assistants
</t>
    </r>
    <r>
      <rPr>
        <b/>
        <sz val="11"/>
        <color theme="1"/>
        <rFont val="Calibri"/>
        <family val="2"/>
        <scheme val="minor"/>
      </rPr>
      <t>293</t>
    </r>
    <r>
      <rPr>
        <sz val="11"/>
        <color theme="1"/>
        <rFont val="Calibri"/>
        <family val="2"/>
        <scheme val="minor"/>
      </rPr>
      <t xml:space="preserve"> - Other Employee Benefits for Substitute Teachers
</t>
    </r>
    <r>
      <rPr>
        <b/>
        <sz val="11"/>
        <color theme="1"/>
        <rFont val="Calibri"/>
        <family val="2"/>
        <scheme val="minor"/>
      </rPr>
      <t>300</t>
    </r>
    <r>
      <rPr>
        <sz val="11"/>
        <color theme="1"/>
        <rFont val="Calibri"/>
        <family val="2"/>
        <scheme val="minor"/>
      </rPr>
      <t xml:space="preserve"> - Purchased Professional and Technical Services
</t>
    </r>
    <r>
      <rPr>
        <b/>
        <sz val="11"/>
        <color theme="1"/>
        <rFont val="Calibri"/>
        <family val="2"/>
        <scheme val="minor"/>
      </rPr>
      <t>310</t>
    </r>
    <r>
      <rPr>
        <sz val="11"/>
        <color theme="1"/>
        <rFont val="Calibri"/>
        <family val="2"/>
        <scheme val="minor"/>
      </rPr>
      <t xml:space="preserve"> - Official/Administrative Services
</t>
    </r>
    <r>
      <rPr>
        <b/>
        <sz val="11"/>
        <color theme="1"/>
        <rFont val="Calibri"/>
        <family val="2"/>
        <scheme val="minor"/>
      </rPr>
      <t>320</t>
    </r>
    <r>
      <rPr>
        <sz val="11"/>
        <color theme="1"/>
        <rFont val="Calibri"/>
        <family val="2"/>
        <scheme val="minor"/>
      </rPr>
      <t xml:space="preserve"> - Professional Educational Services
</t>
    </r>
    <r>
      <rPr>
        <b/>
        <sz val="11"/>
        <color theme="1"/>
        <rFont val="Calibri"/>
        <family val="2"/>
        <scheme val="minor"/>
      </rPr>
      <t>330</t>
    </r>
    <r>
      <rPr>
        <sz val="11"/>
        <color theme="1"/>
        <rFont val="Calibri"/>
        <family val="2"/>
        <scheme val="minor"/>
      </rPr>
      <t xml:space="preserve"> - Employee Training and Development Services
</t>
    </r>
    <r>
      <rPr>
        <b/>
        <sz val="11"/>
        <color theme="1"/>
        <rFont val="Calibri"/>
        <family val="2"/>
        <scheme val="minor"/>
      </rPr>
      <t>340</t>
    </r>
    <r>
      <rPr>
        <sz val="11"/>
        <color theme="1"/>
        <rFont val="Calibri"/>
        <family val="2"/>
        <scheme val="minor"/>
      </rPr>
      <t xml:space="preserve"> - Other Professional Services
</t>
    </r>
    <r>
      <rPr>
        <b/>
        <sz val="11"/>
        <color theme="1"/>
        <rFont val="Calibri"/>
        <family val="2"/>
        <scheme val="minor"/>
      </rPr>
      <t>350</t>
    </r>
    <r>
      <rPr>
        <sz val="11"/>
        <color theme="1"/>
        <rFont val="Calibri"/>
        <family val="2"/>
        <scheme val="minor"/>
      </rPr>
      <t xml:space="preserve"> - Technical Services
</t>
    </r>
    <r>
      <rPr>
        <b/>
        <sz val="11"/>
        <color theme="1"/>
        <rFont val="Calibri"/>
        <family val="2"/>
        <scheme val="minor"/>
      </rPr>
      <t>351</t>
    </r>
    <r>
      <rPr>
        <sz val="11"/>
        <color theme="1"/>
        <rFont val="Calibri"/>
        <family val="2"/>
        <scheme val="minor"/>
      </rPr>
      <t xml:space="preserve"> - Data-processing and Coding Services
</t>
    </r>
    <r>
      <rPr>
        <b/>
        <sz val="11"/>
        <color theme="1"/>
        <rFont val="Calibri"/>
        <family val="2"/>
        <scheme val="minor"/>
      </rPr>
      <t>352</t>
    </r>
    <r>
      <rPr>
        <sz val="11"/>
        <color theme="1"/>
        <rFont val="Calibri"/>
        <family val="2"/>
        <scheme val="minor"/>
      </rPr>
      <t xml:space="preserve"> - Other Technical Services
</t>
    </r>
    <r>
      <rPr>
        <b/>
        <sz val="11"/>
        <color theme="1"/>
        <rFont val="Calibri"/>
        <family val="2"/>
        <scheme val="minor"/>
      </rPr>
      <t>400</t>
    </r>
    <r>
      <rPr>
        <sz val="11"/>
        <color theme="1"/>
        <rFont val="Calibri"/>
        <family val="2"/>
        <scheme val="minor"/>
      </rPr>
      <t xml:space="preserve"> - Purchased Property Services
</t>
    </r>
    <r>
      <rPr>
        <b/>
        <sz val="11"/>
        <color theme="1"/>
        <rFont val="Calibri"/>
        <family val="2"/>
        <scheme val="minor"/>
      </rPr>
      <t>410</t>
    </r>
    <r>
      <rPr>
        <sz val="11"/>
        <color theme="1"/>
        <rFont val="Calibri"/>
        <family val="2"/>
        <scheme val="minor"/>
      </rPr>
      <t xml:space="preserve"> - Utility Services
</t>
    </r>
    <r>
      <rPr>
        <b/>
        <sz val="11"/>
        <color theme="1"/>
        <rFont val="Calibri"/>
        <family val="2"/>
        <scheme val="minor"/>
      </rPr>
      <t>420</t>
    </r>
    <r>
      <rPr>
        <sz val="11"/>
        <color theme="1"/>
        <rFont val="Calibri"/>
        <family val="2"/>
        <scheme val="minor"/>
      </rPr>
      <t xml:space="preserve"> - Cleaning Services
</t>
    </r>
    <r>
      <rPr>
        <b/>
        <sz val="11"/>
        <color theme="1"/>
        <rFont val="Calibri"/>
        <family val="2"/>
        <scheme val="minor"/>
      </rPr>
      <t>430</t>
    </r>
    <r>
      <rPr>
        <sz val="11"/>
        <color theme="1"/>
        <rFont val="Calibri"/>
        <family val="2"/>
        <scheme val="minor"/>
      </rPr>
      <t xml:space="preserve"> - Repairs and Maintenance Services
</t>
    </r>
    <r>
      <rPr>
        <b/>
        <sz val="11"/>
        <color theme="1"/>
        <rFont val="Calibri"/>
        <family val="2"/>
        <scheme val="minor"/>
      </rPr>
      <t>431</t>
    </r>
    <r>
      <rPr>
        <sz val="11"/>
        <color theme="1"/>
        <rFont val="Calibri"/>
        <family val="2"/>
        <scheme val="minor"/>
      </rPr>
      <t xml:space="preserve"> - Non-Technology-Related Repairs and Maintenance
</t>
    </r>
    <r>
      <rPr>
        <b/>
        <sz val="11"/>
        <color theme="1"/>
        <rFont val="Calibri"/>
        <family val="2"/>
        <scheme val="minor"/>
      </rPr>
      <t>432</t>
    </r>
    <r>
      <rPr>
        <sz val="11"/>
        <color theme="1"/>
        <rFont val="Calibri"/>
        <family val="2"/>
        <scheme val="minor"/>
      </rPr>
      <t xml:space="preserve"> - Technology-Related Repairs and Maintenance
</t>
    </r>
    <r>
      <rPr>
        <b/>
        <sz val="11"/>
        <color theme="1"/>
        <rFont val="Calibri"/>
        <family val="2"/>
        <scheme val="minor"/>
      </rPr>
      <t>440</t>
    </r>
    <r>
      <rPr>
        <sz val="11"/>
        <color theme="1"/>
        <rFont val="Calibri"/>
        <family val="2"/>
        <scheme val="minor"/>
      </rPr>
      <t xml:space="preserve"> - Rentals
</t>
    </r>
    <r>
      <rPr>
        <b/>
        <sz val="11"/>
        <color theme="1"/>
        <rFont val="Calibri"/>
        <family val="2"/>
        <scheme val="minor"/>
      </rPr>
      <t>441</t>
    </r>
    <r>
      <rPr>
        <sz val="11"/>
        <color theme="1"/>
        <rFont val="Calibri"/>
        <family val="2"/>
        <scheme val="minor"/>
      </rPr>
      <t xml:space="preserve"> - Rentals of Land and Buildings
</t>
    </r>
    <r>
      <rPr>
        <b/>
        <sz val="11"/>
        <color theme="1"/>
        <rFont val="Calibri"/>
        <family val="2"/>
        <scheme val="minor"/>
      </rPr>
      <t>442</t>
    </r>
    <r>
      <rPr>
        <sz val="11"/>
        <color theme="1"/>
        <rFont val="Calibri"/>
        <family val="2"/>
        <scheme val="minor"/>
      </rPr>
      <t xml:space="preserve"> - Rentals of Equipment and Vehicles
</t>
    </r>
    <r>
      <rPr>
        <b/>
        <sz val="11"/>
        <color theme="1"/>
        <rFont val="Calibri"/>
        <family val="2"/>
        <scheme val="minor"/>
      </rPr>
      <t>443</t>
    </r>
    <r>
      <rPr>
        <sz val="11"/>
        <color theme="1"/>
        <rFont val="Calibri"/>
        <family val="2"/>
        <scheme val="minor"/>
      </rPr>
      <t xml:space="preserve"> - Rentals of Computers and Related Equipment
</t>
    </r>
    <r>
      <rPr>
        <b/>
        <sz val="11"/>
        <color theme="1"/>
        <rFont val="Calibri"/>
        <family val="2"/>
        <scheme val="minor"/>
      </rPr>
      <t>450</t>
    </r>
    <r>
      <rPr>
        <sz val="11"/>
        <color theme="1"/>
        <rFont val="Calibri"/>
        <family val="2"/>
        <scheme val="minor"/>
      </rPr>
      <t xml:space="preserve"> - Construction Services
</t>
    </r>
    <r>
      <rPr>
        <b/>
        <sz val="11"/>
        <color theme="1"/>
        <rFont val="Calibri"/>
        <family val="2"/>
        <scheme val="minor"/>
      </rPr>
      <t>490</t>
    </r>
    <r>
      <rPr>
        <sz val="11"/>
        <color theme="1"/>
        <rFont val="Calibri"/>
        <family val="2"/>
        <scheme val="minor"/>
      </rPr>
      <t xml:space="preserve"> - Other Purchased Property Services
</t>
    </r>
    <r>
      <rPr>
        <b/>
        <sz val="11"/>
        <color theme="1"/>
        <rFont val="Calibri"/>
        <family val="2"/>
        <scheme val="minor"/>
      </rPr>
      <t>500</t>
    </r>
    <r>
      <rPr>
        <sz val="11"/>
        <color theme="1"/>
        <rFont val="Calibri"/>
        <family val="2"/>
        <scheme val="minor"/>
      </rPr>
      <t xml:space="preserve"> - Other Purchased Services
</t>
    </r>
    <r>
      <rPr>
        <b/>
        <sz val="11"/>
        <color theme="1"/>
        <rFont val="Calibri"/>
        <family val="2"/>
        <scheme val="minor"/>
      </rPr>
      <t>510</t>
    </r>
    <r>
      <rPr>
        <sz val="11"/>
        <color theme="1"/>
        <rFont val="Calibri"/>
        <family val="2"/>
        <scheme val="minor"/>
      </rPr>
      <t xml:space="preserve"> - Student Transportation Services
</t>
    </r>
    <r>
      <rPr>
        <b/>
        <sz val="11"/>
        <color theme="1"/>
        <rFont val="Calibri"/>
        <family val="2"/>
        <scheme val="minor"/>
      </rPr>
      <t>511</t>
    </r>
    <r>
      <rPr>
        <sz val="11"/>
        <color theme="1"/>
        <rFont val="Calibri"/>
        <family val="2"/>
        <scheme val="minor"/>
      </rPr>
      <t xml:space="preserve"> - Student Transportation Purchased From Another School District Within the State
</t>
    </r>
    <r>
      <rPr>
        <b/>
        <sz val="11"/>
        <color theme="1"/>
        <rFont val="Calibri"/>
        <family val="2"/>
        <scheme val="minor"/>
      </rPr>
      <t>512</t>
    </r>
    <r>
      <rPr>
        <sz val="11"/>
        <color theme="1"/>
        <rFont val="Calibri"/>
        <family val="2"/>
        <scheme val="minor"/>
      </rPr>
      <t xml:space="preserve"> - Student Transportation Purchased From Another School District Outside the State
</t>
    </r>
    <r>
      <rPr>
        <b/>
        <sz val="11"/>
        <color theme="1"/>
        <rFont val="Calibri"/>
        <family val="2"/>
        <scheme val="minor"/>
      </rPr>
      <t>519</t>
    </r>
    <r>
      <rPr>
        <sz val="11"/>
        <color theme="1"/>
        <rFont val="Calibri"/>
        <family val="2"/>
        <scheme val="minor"/>
      </rPr>
      <t xml:space="preserve"> - Student Transportation Purchased From Other Sources
</t>
    </r>
    <r>
      <rPr>
        <b/>
        <sz val="11"/>
        <color theme="1"/>
        <rFont val="Calibri"/>
        <family val="2"/>
        <scheme val="minor"/>
      </rPr>
      <t>520</t>
    </r>
    <r>
      <rPr>
        <sz val="11"/>
        <color theme="1"/>
        <rFont val="Calibri"/>
        <family val="2"/>
        <scheme val="minor"/>
      </rPr>
      <t xml:space="preserve"> - Insurance (Other Than Employee Benefits)
</t>
    </r>
    <r>
      <rPr>
        <b/>
        <sz val="11"/>
        <color theme="1"/>
        <rFont val="Calibri"/>
        <family val="2"/>
        <scheme val="minor"/>
      </rPr>
      <t>530</t>
    </r>
    <r>
      <rPr>
        <sz val="11"/>
        <color theme="1"/>
        <rFont val="Calibri"/>
        <family val="2"/>
        <scheme val="minor"/>
      </rPr>
      <t xml:space="preserve"> - Communications
</t>
    </r>
    <r>
      <rPr>
        <b/>
        <sz val="11"/>
        <color theme="1"/>
        <rFont val="Calibri"/>
        <family val="2"/>
        <scheme val="minor"/>
      </rPr>
      <t>540</t>
    </r>
    <r>
      <rPr>
        <sz val="11"/>
        <color theme="1"/>
        <rFont val="Calibri"/>
        <family val="2"/>
        <scheme val="minor"/>
      </rPr>
      <t xml:space="preserve"> - Advertising
</t>
    </r>
    <r>
      <rPr>
        <b/>
        <sz val="11"/>
        <color theme="1"/>
        <rFont val="Calibri"/>
        <family val="2"/>
        <scheme val="minor"/>
      </rPr>
      <t>550</t>
    </r>
    <r>
      <rPr>
        <sz val="11"/>
        <color theme="1"/>
        <rFont val="Calibri"/>
        <family val="2"/>
        <scheme val="minor"/>
      </rPr>
      <t xml:space="preserve"> - Printing and Binding
</t>
    </r>
    <r>
      <rPr>
        <b/>
        <sz val="11"/>
        <color theme="1"/>
        <rFont val="Calibri"/>
        <family val="2"/>
        <scheme val="minor"/>
      </rPr>
      <t>560</t>
    </r>
    <r>
      <rPr>
        <sz val="11"/>
        <color theme="1"/>
        <rFont val="Calibri"/>
        <family val="2"/>
        <scheme val="minor"/>
      </rPr>
      <t xml:space="preserve"> - Tuition
</t>
    </r>
    <r>
      <rPr>
        <b/>
        <sz val="11"/>
        <color theme="1"/>
        <rFont val="Calibri"/>
        <family val="2"/>
        <scheme val="minor"/>
      </rPr>
      <t>561</t>
    </r>
    <r>
      <rPr>
        <sz val="11"/>
        <color theme="1"/>
        <rFont val="Calibri"/>
        <family val="2"/>
        <scheme val="minor"/>
      </rPr>
      <t xml:space="preserve"> - Tuition to Other School Districts Within the State
</t>
    </r>
    <r>
      <rPr>
        <b/>
        <sz val="11"/>
        <color theme="1"/>
        <rFont val="Calibri"/>
        <family val="2"/>
        <scheme val="minor"/>
      </rPr>
      <t>562</t>
    </r>
    <r>
      <rPr>
        <sz val="11"/>
        <color theme="1"/>
        <rFont val="Calibri"/>
        <family val="2"/>
        <scheme val="minor"/>
      </rPr>
      <t xml:space="preserve"> - Tuition to Other School Districts Outside the State
</t>
    </r>
    <r>
      <rPr>
        <b/>
        <sz val="11"/>
        <color theme="1"/>
        <rFont val="Calibri"/>
        <family val="2"/>
        <scheme val="minor"/>
      </rPr>
      <t>563</t>
    </r>
    <r>
      <rPr>
        <sz val="11"/>
        <color theme="1"/>
        <rFont val="Calibri"/>
        <family val="2"/>
        <scheme val="minor"/>
      </rPr>
      <t xml:space="preserve"> - Tuition to Private SourcesTuition paid to private schools
</t>
    </r>
    <r>
      <rPr>
        <b/>
        <sz val="11"/>
        <color theme="1"/>
        <rFont val="Calibri"/>
        <family val="2"/>
        <scheme val="minor"/>
      </rPr>
      <t>564</t>
    </r>
    <r>
      <rPr>
        <sz val="11"/>
        <color theme="1"/>
        <rFont val="Calibri"/>
        <family val="2"/>
        <scheme val="minor"/>
      </rPr>
      <t xml:space="preserve"> - Tuition to Educational Service Agencies Within the State
</t>
    </r>
    <r>
      <rPr>
        <b/>
        <sz val="11"/>
        <color theme="1"/>
        <rFont val="Calibri"/>
        <family val="2"/>
        <scheme val="minor"/>
      </rPr>
      <t>565</t>
    </r>
    <r>
      <rPr>
        <sz val="11"/>
        <color theme="1"/>
        <rFont val="Calibri"/>
        <family val="2"/>
        <scheme val="minor"/>
      </rPr>
      <t xml:space="preserve"> - Tuition to Educational Service Agencies Outside the State
</t>
    </r>
    <r>
      <rPr>
        <b/>
        <sz val="11"/>
        <color theme="1"/>
        <rFont val="Calibri"/>
        <family val="2"/>
        <scheme val="minor"/>
      </rPr>
      <t>566</t>
    </r>
    <r>
      <rPr>
        <sz val="11"/>
        <color theme="1"/>
        <rFont val="Calibri"/>
        <family val="2"/>
        <scheme val="minor"/>
      </rPr>
      <t xml:space="preserve"> - Tuition to Charter Schools
</t>
    </r>
    <r>
      <rPr>
        <b/>
        <sz val="11"/>
        <color theme="1"/>
        <rFont val="Calibri"/>
        <family val="2"/>
        <scheme val="minor"/>
      </rPr>
      <t>567</t>
    </r>
    <r>
      <rPr>
        <sz val="11"/>
        <color theme="1"/>
        <rFont val="Calibri"/>
        <family val="2"/>
        <scheme val="minor"/>
      </rPr>
      <t xml:space="preserve"> - Tuition to School Districts for Voucher Payments
</t>
    </r>
    <r>
      <rPr>
        <b/>
        <sz val="11"/>
        <color theme="1"/>
        <rFont val="Calibri"/>
        <family val="2"/>
        <scheme val="minor"/>
      </rPr>
      <t>569</t>
    </r>
    <r>
      <rPr>
        <sz val="11"/>
        <color theme="1"/>
        <rFont val="Calibri"/>
        <family val="2"/>
        <scheme val="minor"/>
      </rPr>
      <t xml:space="preserve"> - Tuition—Other
</t>
    </r>
    <r>
      <rPr>
        <b/>
        <sz val="11"/>
        <color theme="1"/>
        <rFont val="Calibri"/>
        <family val="2"/>
        <scheme val="minor"/>
      </rPr>
      <t>570</t>
    </r>
    <r>
      <rPr>
        <sz val="11"/>
        <color theme="1"/>
        <rFont val="Calibri"/>
        <family val="2"/>
        <scheme val="minor"/>
      </rPr>
      <t xml:space="preserve"> - Food Service Management
</t>
    </r>
    <r>
      <rPr>
        <b/>
        <sz val="11"/>
        <color theme="1"/>
        <rFont val="Calibri"/>
        <family val="2"/>
        <scheme val="minor"/>
      </rPr>
      <t>580</t>
    </r>
    <r>
      <rPr>
        <sz val="11"/>
        <color theme="1"/>
        <rFont val="Calibri"/>
        <family val="2"/>
        <scheme val="minor"/>
      </rPr>
      <t xml:space="preserve"> - Travel
</t>
    </r>
    <r>
      <rPr>
        <b/>
        <sz val="11"/>
        <color theme="1"/>
        <rFont val="Calibri"/>
        <family val="2"/>
        <scheme val="minor"/>
      </rPr>
      <t>590</t>
    </r>
    <r>
      <rPr>
        <sz val="11"/>
        <color theme="1"/>
        <rFont val="Calibri"/>
        <family val="2"/>
        <scheme val="minor"/>
      </rPr>
      <t xml:space="preserve"> - Interagency Purchased Services
</t>
    </r>
    <r>
      <rPr>
        <b/>
        <sz val="11"/>
        <color theme="1"/>
        <rFont val="Calibri"/>
        <family val="2"/>
        <scheme val="minor"/>
      </rPr>
      <t>591</t>
    </r>
    <r>
      <rPr>
        <sz val="11"/>
        <color theme="1"/>
        <rFont val="Calibri"/>
        <family val="2"/>
        <scheme val="minor"/>
      </rPr>
      <t xml:space="preserve"> - Services Purchased From Another School District or Educational Services Agency Within the State
</t>
    </r>
    <r>
      <rPr>
        <b/>
        <sz val="11"/>
        <color theme="1"/>
        <rFont val="Calibri"/>
        <family val="2"/>
        <scheme val="minor"/>
      </rPr>
      <t>592</t>
    </r>
    <r>
      <rPr>
        <sz val="11"/>
        <color theme="1"/>
        <rFont val="Calibri"/>
        <family val="2"/>
        <scheme val="minor"/>
      </rPr>
      <t xml:space="preserve"> - Services Purchased From Another School District or Educational Service Agency Outside the State
</t>
    </r>
    <r>
      <rPr>
        <b/>
        <sz val="11"/>
        <color theme="1"/>
        <rFont val="Calibri"/>
        <family val="2"/>
        <scheme val="minor"/>
      </rPr>
      <t>600</t>
    </r>
    <r>
      <rPr>
        <sz val="11"/>
        <color theme="1"/>
        <rFont val="Calibri"/>
        <family val="2"/>
        <scheme val="minor"/>
      </rPr>
      <t xml:space="preserve"> - Supplies
</t>
    </r>
    <r>
      <rPr>
        <b/>
        <sz val="11"/>
        <color theme="1"/>
        <rFont val="Calibri"/>
        <family val="2"/>
        <scheme val="minor"/>
      </rPr>
      <t>610</t>
    </r>
    <r>
      <rPr>
        <sz val="11"/>
        <color theme="1"/>
        <rFont val="Calibri"/>
        <family val="2"/>
        <scheme val="minor"/>
      </rPr>
      <t xml:space="preserve"> - General Supplies
</t>
    </r>
    <r>
      <rPr>
        <b/>
        <sz val="11"/>
        <color theme="1"/>
        <rFont val="Calibri"/>
        <family val="2"/>
        <scheme val="minor"/>
      </rPr>
      <t>620</t>
    </r>
    <r>
      <rPr>
        <sz val="11"/>
        <color theme="1"/>
        <rFont val="Calibri"/>
        <family val="2"/>
        <scheme val="minor"/>
      </rPr>
      <t xml:space="preserve"> - Energy
</t>
    </r>
    <r>
      <rPr>
        <b/>
        <sz val="11"/>
        <color theme="1"/>
        <rFont val="Calibri"/>
        <family val="2"/>
        <scheme val="minor"/>
      </rPr>
      <t>621</t>
    </r>
    <r>
      <rPr>
        <sz val="11"/>
        <color theme="1"/>
        <rFont val="Calibri"/>
        <family val="2"/>
        <scheme val="minor"/>
      </rPr>
      <t xml:space="preserve"> - Natural Gas
</t>
    </r>
    <r>
      <rPr>
        <b/>
        <sz val="11"/>
        <color theme="1"/>
        <rFont val="Calibri"/>
        <family val="2"/>
        <scheme val="minor"/>
      </rPr>
      <t>622</t>
    </r>
    <r>
      <rPr>
        <sz val="11"/>
        <color theme="1"/>
        <rFont val="Calibri"/>
        <family val="2"/>
        <scheme val="minor"/>
      </rPr>
      <t xml:space="preserve"> - Electricity
</t>
    </r>
    <r>
      <rPr>
        <b/>
        <sz val="11"/>
        <color theme="1"/>
        <rFont val="Calibri"/>
        <family val="2"/>
        <scheme val="minor"/>
      </rPr>
      <t>623</t>
    </r>
    <r>
      <rPr>
        <sz val="11"/>
        <color theme="1"/>
        <rFont val="Calibri"/>
        <family val="2"/>
        <scheme val="minor"/>
      </rPr>
      <t xml:space="preserve"> - Bottled Gas
</t>
    </r>
    <r>
      <rPr>
        <b/>
        <sz val="11"/>
        <color theme="1"/>
        <rFont val="Calibri"/>
        <family val="2"/>
        <scheme val="minor"/>
      </rPr>
      <t>624</t>
    </r>
    <r>
      <rPr>
        <sz val="11"/>
        <color theme="1"/>
        <rFont val="Calibri"/>
        <family val="2"/>
        <scheme val="minor"/>
      </rPr>
      <t xml:space="preserve"> - Oil
</t>
    </r>
    <r>
      <rPr>
        <b/>
        <sz val="11"/>
        <color theme="1"/>
        <rFont val="Calibri"/>
        <family val="2"/>
        <scheme val="minor"/>
      </rPr>
      <t>625</t>
    </r>
    <r>
      <rPr>
        <sz val="11"/>
        <color theme="1"/>
        <rFont val="Calibri"/>
        <family val="2"/>
        <scheme val="minor"/>
      </rPr>
      <t xml:space="preserve"> - Coal
</t>
    </r>
    <r>
      <rPr>
        <b/>
        <sz val="11"/>
        <color theme="1"/>
        <rFont val="Calibri"/>
        <family val="2"/>
        <scheme val="minor"/>
      </rPr>
      <t>626</t>
    </r>
    <r>
      <rPr>
        <sz val="11"/>
        <color theme="1"/>
        <rFont val="Calibri"/>
        <family val="2"/>
        <scheme val="minor"/>
      </rPr>
      <t xml:space="preserve"> - Gasoline
</t>
    </r>
    <r>
      <rPr>
        <b/>
        <sz val="11"/>
        <color theme="1"/>
        <rFont val="Calibri"/>
        <family val="2"/>
        <scheme val="minor"/>
      </rPr>
      <t>629</t>
    </r>
    <r>
      <rPr>
        <sz val="11"/>
        <color theme="1"/>
        <rFont val="Calibri"/>
        <family val="2"/>
        <scheme val="minor"/>
      </rPr>
      <t xml:space="preserve"> - Other (Energy)
</t>
    </r>
    <r>
      <rPr>
        <b/>
        <sz val="11"/>
        <color theme="1"/>
        <rFont val="Calibri"/>
        <family val="2"/>
        <scheme val="minor"/>
      </rPr>
      <t>630</t>
    </r>
    <r>
      <rPr>
        <sz val="11"/>
        <color theme="1"/>
        <rFont val="Calibri"/>
        <family val="2"/>
        <scheme val="minor"/>
      </rPr>
      <t xml:space="preserve"> - Food
</t>
    </r>
    <r>
      <rPr>
        <b/>
        <sz val="11"/>
        <color theme="1"/>
        <rFont val="Calibri"/>
        <family val="2"/>
        <scheme val="minor"/>
      </rPr>
      <t>640</t>
    </r>
    <r>
      <rPr>
        <sz val="11"/>
        <color theme="1"/>
        <rFont val="Calibri"/>
        <family val="2"/>
        <scheme val="minor"/>
      </rPr>
      <t xml:space="preserve"> - Books and Periodicals
</t>
    </r>
    <r>
      <rPr>
        <b/>
        <sz val="11"/>
        <color theme="1"/>
        <rFont val="Calibri"/>
        <family val="2"/>
        <scheme val="minor"/>
      </rPr>
      <t>650</t>
    </r>
    <r>
      <rPr>
        <sz val="11"/>
        <color theme="1"/>
        <rFont val="Calibri"/>
        <family val="2"/>
        <scheme val="minor"/>
      </rPr>
      <t xml:space="preserve"> - Supplies—Technology Related
</t>
    </r>
    <r>
      <rPr>
        <b/>
        <sz val="11"/>
        <color theme="1"/>
        <rFont val="Calibri"/>
        <family val="2"/>
        <scheme val="minor"/>
      </rPr>
      <t>700</t>
    </r>
    <r>
      <rPr>
        <sz val="11"/>
        <color theme="1"/>
        <rFont val="Calibri"/>
        <family val="2"/>
        <scheme val="minor"/>
      </rPr>
      <t xml:space="preserve"> - Property
</t>
    </r>
    <r>
      <rPr>
        <b/>
        <sz val="11"/>
        <color theme="1"/>
        <rFont val="Calibri"/>
        <family val="2"/>
        <scheme val="minor"/>
      </rPr>
      <t>710</t>
    </r>
    <r>
      <rPr>
        <sz val="11"/>
        <color theme="1"/>
        <rFont val="Calibri"/>
        <family val="2"/>
        <scheme val="minor"/>
      </rPr>
      <t xml:space="preserve"> - Land and Land Improvements
</t>
    </r>
    <r>
      <rPr>
        <b/>
        <sz val="11"/>
        <color theme="1"/>
        <rFont val="Calibri"/>
        <family val="2"/>
        <scheme val="minor"/>
      </rPr>
      <t>720</t>
    </r>
    <r>
      <rPr>
        <sz val="11"/>
        <color theme="1"/>
        <rFont val="Calibri"/>
        <family val="2"/>
        <scheme val="minor"/>
      </rPr>
      <t xml:space="preserve"> - Buildings
</t>
    </r>
    <r>
      <rPr>
        <b/>
        <sz val="11"/>
        <color theme="1"/>
        <rFont val="Calibri"/>
        <family val="2"/>
        <scheme val="minor"/>
      </rPr>
      <t>730</t>
    </r>
    <r>
      <rPr>
        <sz val="11"/>
        <color theme="1"/>
        <rFont val="Calibri"/>
        <family val="2"/>
        <scheme val="minor"/>
      </rPr>
      <t xml:space="preserve"> - Equipment
</t>
    </r>
    <r>
      <rPr>
        <b/>
        <sz val="11"/>
        <color theme="1"/>
        <rFont val="Calibri"/>
        <family val="2"/>
        <scheme val="minor"/>
      </rPr>
      <t>731</t>
    </r>
    <r>
      <rPr>
        <sz val="11"/>
        <color theme="1"/>
        <rFont val="Calibri"/>
        <family val="2"/>
        <scheme val="minor"/>
      </rPr>
      <t xml:space="preserve"> - Machinery
</t>
    </r>
    <r>
      <rPr>
        <b/>
        <sz val="11"/>
        <color theme="1"/>
        <rFont val="Calibri"/>
        <family val="2"/>
        <scheme val="minor"/>
      </rPr>
      <t>732</t>
    </r>
    <r>
      <rPr>
        <sz val="11"/>
        <color theme="1"/>
        <rFont val="Calibri"/>
        <family val="2"/>
        <scheme val="minor"/>
      </rPr>
      <t xml:space="preserve"> - Vehicles
</t>
    </r>
    <r>
      <rPr>
        <b/>
        <sz val="11"/>
        <color theme="1"/>
        <rFont val="Calibri"/>
        <family val="2"/>
        <scheme val="minor"/>
      </rPr>
      <t>733</t>
    </r>
    <r>
      <rPr>
        <sz val="11"/>
        <color theme="1"/>
        <rFont val="Calibri"/>
        <family val="2"/>
        <scheme val="minor"/>
      </rPr>
      <t xml:space="preserve"> - Furniture and Fixtures
</t>
    </r>
    <r>
      <rPr>
        <b/>
        <sz val="11"/>
        <color theme="1"/>
        <rFont val="Calibri"/>
        <family val="2"/>
        <scheme val="minor"/>
      </rPr>
      <t>734</t>
    </r>
    <r>
      <rPr>
        <sz val="11"/>
        <color theme="1"/>
        <rFont val="Calibri"/>
        <family val="2"/>
        <scheme val="minor"/>
      </rPr>
      <t xml:space="preserve"> - Technology-Related Hardware
</t>
    </r>
    <r>
      <rPr>
        <b/>
        <sz val="11"/>
        <color theme="1"/>
        <rFont val="Calibri"/>
        <family val="2"/>
        <scheme val="minor"/>
      </rPr>
      <t>735</t>
    </r>
    <r>
      <rPr>
        <sz val="11"/>
        <color theme="1"/>
        <rFont val="Calibri"/>
        <family val="2"/>
        <scheme val="minor"/>
      </rPr>
      <t xml:space="preserve"> - Technology Software
</t>
    </r>
    <r>
      <rPr>
        <b/>
        <sz val="11"/>
        <color theme="1"/>
        <rFont val="Calibri"/>
        <family val="2"/>
        <scheme val="minor"/>
      </rPr>
      <t>739</t>
    </r>
    <r>
      <rPr>
        <sz val="11"/>
        <color theme="1"/>
        <rFont val="Calibri"/>
        <family val="2"/>
        <scheme val="minor"/>
      </rPr>
      <t xml:space="preserve"> - Other Equipment
</t>
    </r>
    <r>
      <rPr>
        <b/>
        <sz val="11"/>
        <color theme="1"/>
        <rFont val="Calibri"/>
        <family val="2"/>
        <scheme val="minor"/>
      </rPr>
      <t>740</t>
    </r>
    <r>
      <rPr>
        <sz val="11"/>
        <color theme="1"/>
        <rFont val="Calibri"/>
        <family val="2"/>
        <scheme val="minor"/>
      </rPr>
      <t xml:space="preserve"> - Infrastructure
</t>
    </r>
    <r>
      <rPr>
        <b/>
        <sz val="11"/>
        <color theme="1"/>
        <rFont val="Calibri"/>
        <family val="2"/>
        <scheme val="minor"/>
      </rPr>
      <t>790</t>
    </r>
    <r>
      <rPr>
        <sz val="11"/>
        <color theme="1"/>
        <rFont val="Calibri"/>
        <family val="2"/>
        <scheme val="minor"/>
      </rPr>
      <t xml:space="preserve"> - Depreciation
</t>
    </r>
    <r>
      <rPr>
        <b/>
        <sz val="11"/>
        <color theme="1"/>
        <rFont val="Calibri"/>
        <family val="2"/>
        <scheme val="minor"/>
      </rPr>
      <t>800</t>
    </r>
    <r>
      <rPr>
        <sz val="11"/>
        <color theme="1"/>
        <rFont val="Calibri"/>
        <family val="2"/>
        <scheme val="minor"/>
      </rPr>
      <t xml:space="preserve"> - Debt Service and Miscellaneous
</t>
    </r>
    <r>
      <rPr>
        <b/>
        <sz val="11"/>
        <color theme="1"/>
        <rFont val="Calibri"/>
        <family val="2"/>
        <scheme val="minor"/>
      </rPr>
      <t>810</t>
    </r>
    <r>
      <rPr>
        <sz val="11"/>
        <color theme="1"/>
        <rFont val="Calibri"/>
        <family val="2"/>
        <scheme val="minor"/>
      </rPr>
      <t xml:space="preserve"> - Dues and Fees
</t>
    </r>
    <r>
      <rPr>
        <b/>
        <sz val="11"/>
        <color theme="1"/>
        <rFont val="Calibri"/>
        <family val="2"/>
        <scheme val="minor"/>
      </rPr>
      <t>820</t>
    </r>
    <r>
      <rPr>
        <sz val="11"/>
        <color theme="1"/>
        <rFont val="Calibri"/>
        <family val="2"/>
        <scheme val="minor"/>
      </rPr>
      <t xml:space="preserve"> - Judgments Against the School District
</t>
    </r>
    <r>
      <rPr>
        <b/>
        <sz val="11"/>
        <color theme="1"/>
        <rFont val="Calibri"/>
        <family val="2"/>
        <scheme val="minor"/>
      </rPr>
      <t>830</t>
    </r>
    <r>
      <rPr>
        <sz val="11"/>
        <color theme="1"/>
        <rFont val="Calibri"/>
        <family val="2"/>
        <scheme val="minor"/>
      </rPr>
      <t xml:space="preserve"> - Debt-Related Expenditures/Expenses
</t>
    </r>
    <r>
      <rPr>
        <b/>
        <sz val="11"/>
        <color theme="1"/>
        <rFont val="Calibri"/>
        <family val="2"/>
        <scheme val="minor"/>
      </rPr>
      <t>831</t>
    </r>
    <r>
      <rPr>
        <sz val="11"/>
        <color theme="1"/>
        <rFont val="Calibri"/>
        <family val="2"/>
        <scheme val="minor"/>
      </rPr>
      <t xml:space="preserve"> - Redemption of Principal
</t>
    </r>
    <r>
      <rPr>
        <b/>
        <sz val="11"/>
        <color theme="1"/>
        <rFont val="Calibri"/>
        <family val="2"/>
        <scheme val="minor"/>
      </rPr>
      <t>832</t>
    </r>
    <r>
      <rPr>
        <sz val="11"/>
        <color theme="1"/>
        <rFont val="Calibri"/>
        <family val="2"/>
        <scheme val="minor"/>
      </rPr>
      <t xml:space="preserve"> - Interest
</t>
    </r>
    <r>
      <rPr>
        <b/>
        <sz val="11"/>
        <color theme="1"/>
        <rFont val="Calibri"/>
        <family val="2"/>
        <scheme val="minor"/>
      </rPr>
      <t>833</t>
    </r>
    <r>
      <rPr>
        <sz val="11"/>
        <color theme="1"/>
        <rFont val="Calibri"/>
        <family val="2"/>
        <scheme val="minor"/>
      </rPr>
      <t xml:space="preserve"> - Bond Issuance and Other Debt-Related Costs
</t>
    </r>
    <r>
      <rPr>
        <b/>
        <sz val="11"/>
        <color theme="1"/>
        <rFont val="Calibri"/>
        <family val="2"/>
        <scheme val="minor"/>
      </rPr>
      <t>834</t>
    </r>
    <r>
      <rPr>
        <sz val="11"/>
        <color theme="1"/>
        <rFont val="Calibri"/>
        <family val="2"/>
        <scheme val="minor"/>
      </rPr>
      <t xml:space="preserve"> - Amortization of Premium and Discount on Issuance of Bonds
</t>
    </r>
    <r>
      <rPr>
        <b/>
        <sz val="11"/>
        <color theme="1"/>
        <rFont val="Calibri"/>
        <family val="2"/>
        <scheme val="minor"/>
      </rPr>
      <t>835</t>
    </r>
    <r>
      <rPr>
        <sz val="11"/>
        <color theme="1"/>
        <rFont val="Calibri"/>
        <family val="2"/>
        <scheme val="minor"/>
      </rPr>
      <t xml:space="preserve"> - Interest on Short-Term Debt
</t>
    </r>
    <r>
      <rPr>
        <b/>
        <sz val="11"/>
        <color theme="1"/>
        <rFont val="Calibri"/>
        <family val="2"/>
        <scheme val="minor"/>
      </rPr>
      <t>890</t>
    </r>
    <r>
      <rPr>
        <sz val="11"/>
        <color theme="1"/>
        <rFont val="Calibri"/>
        <family val="2"/>
        <scheme val="minor"/>
      </rPr>
      <t xml:space="preserve"> - Miscellaneous Expenditures
</t>
    </r>
    <r>
      <rPr>
        <b/>
        <sz val="11"/>
        <color theme="1"/>
        <rFont val="Calibri"/>
        <family val="2"/>
        <scheme val="minor"/>
      </rPr>
      <t>900</t>
    </r>
    <r>
      <rPr>
        <sz val="11"/>
        <color theme="1"/>
        <rFont val="Calibri"/>
        <family val="2"/>
        <scheme val="minor"/>
      </rPr>
      <t xml:space="preserve"> - Other Items
</t>
    </r>
    <r>
      <rPr>
        <b/>
        <sz val="11"/>
        <color theme="1"/>
        <rFont val="Calibri"/>
        <family val="2"/>
        <scheme val="minor"/>
      </rPr>
      <t>910</t>
    </r>
    <r>
      <rPr>
        <sz val="11"/>
        <color theme="1"/>
        <rFont val="Calibri"/>
        <family val="2"/>
        <scheme val="minor"/>
      </rPr>
      <t xml:space="preserve"> - Fund Transfers Out
</t>
    </r>
    <r>
      <rPr>
        <b/>
        <sz val="11"/>
        <color theme="1"/>
        <rFont val="Calibri"/>
        <family val="2"/>
        <scheme val="minor"/>
      </rPr>
      <t>920</t>
    </r>
    <r>
      <rPr>
        <sz val="11"/>
        <color theme="1"/>
        <rFont val="Calibri"/>
        <family val="2"/>
        <scheme val="minor"/>
      </rPr>
      <t xml:space="preserve"> - Payments to Escrow Agents for Defeasance of Debt
</t>
    </r>
    <r>
      <rPr>
        <b/>
        <sz val="11"/>
        <color theme="1"/>
        <rFont val="Calibri"/>
        <family val="2"/>
        <scheme val="minor"/>
      </rPr>
      <t>925</t>
    </r>
    <r>
      <rPr>
        <sz val="11"/>
        <color theme="1"/>
        <rFont val="Calibri"/>
        <family val="2"/>
        <scheme val="minor"/>
      </rPr>
      <t xml:space="preserve"> - Discount on the Issuance of Bonds
</t>
    </r>
    <r>
      <rPr>
        <b/>
        <sz val="11"/>
        <color theme="1"/>
        <rFont val="Calibri"/>
        <family val="2"/>
        <scheme val="minor"/>
      </rPr>
      <t>930</t>
    </r>
    <r>
      <rPr>
        <sz val="11"/>
        <color theme="1"/>
        <rFont val="Calibri"/>
        <family val="2"/>
        <scheme val="minor"/>
      </rPr>
      <t xml:space="preserve"> - Net Decreases in the Fair Value of Investments
</t>
    </r>
    <r>
      <rPr>
        <b/>
        <sz val="11"/>
        <color theme="1"/>
        <rFont val="Calibri"/>
        <family val="2"/>
        <scheme val="minor"/>
      </rPr>
      <t>931</t>
    </r>
    <r>
      <rPr>
        <sz val="11"/>
        <color theme="1"/>
        <rFont val="Calibri"/>
        <family val="2"/>
        <scheme val="minor"/>
      </rPr>
      <t xml:space="preserve"> - Realized Losses on Investments
</t>
    </r>
    <r>
      <rPr>
        <b/>
        <sz val="11"/>
        <color theme="1"/>
        <rFont val="Calibri"/>
        <family val="2"/>
        <scheme val="minor"/>
      </rPr>
      <t>932</t>
    </r>
    <r>
      <rPr>
        <sz val="11"/>
        <color theme="1"/>
        <rFont val="Calibri"/>
        <family val="2"/>
        <scheme val="minor"/>
      </rPr>
      <t xml:space="preserve"> - Unrealized Losses on Investments
</t>
    </r>
    <r>
      <rPr>
        <b/>
        <sz val="11"/>
        <color theme="1"/>
        <rFont val="Calibri"/>
        <family val="2"/>
        <scheme val="minor"/>
      </rPr>
      <t>940</t>
    </r>
    <r>
      <rPr>
        <sz val="11"/>
        <color theme="1"/>
        <rFont val="Calibri"/>
        <family val="2"/>
        <scheme val="minor"/>
      </rPr>
      <t xml:space="preserve"> - Losses on the Sale of Capital Assets
</t>
    </r>
    <r>
      <rPr>
        <b/>
        <sz val="11"/>
        <color theme="1"/>
        <rFont val="Calibri"/>
        <family val="2"/>
        <scheme val="minor"/>
      </rPr>
      <t>950</t>
    </r>
    <r>
      <rPr>
        <sz val="11"/>
        <color theme="1"/>
        <rFont val="Calibri"/>
        <family val="2"/>
        <scheme val="minor"/>
      </rPr>
      <t xml:space="preserve"> - Special Items
</t>
    </r>
    <r>
      <rPr>
        <b/>
        <sz val="11"/>
        <color theme="1"/>
        <rFont val="Calibri"/>
        <family val="2"/>
        <scheme val="minor"/>
      </rPr>
      <t>960</t>
    </r>
    <r>
      <rPr>
        <sz val="11"/>
        <color theme="1"/>
        <rFont val="Calibri"/>
        <family val="2"/>
        <scheme val="minor"/>
      </rPr>
      <t xml:space="preserve"> - Extraordinary Items
</t>
    </r>
  </si>
  <si>
    <r>
      <t>1000</t>
    </r>
    <r>
      <rPr>
        <sz val="11"/>
        <color theme="1"/>
        <rFont val="Calibri"/>
        <family val="2"/>
        <scheme val="minor"/>
      </rPr>
      <t xml:space="preserve"> - Revenue From Local Sources
</t>
    </r>
    <r>
      <rPr>
        <b/>
        <sz val="11"/>
        <color theme="1"/>
        <rFont val="Calibri"/>
        <family val="2"/>
        <scheme val="minor"/>
      </rPr>
      <t>1100</t>
    </r>
    <r>
      <rPr>
        <sz val="11"/>
        <color theme="1"/>
        <rFont val="Calibri"/>
        <family val="2"/>
        <scheme val="minor"/>
      </rPr>
      <t xml:space="preserve"> - Taxes Levied/Assessed by the School District
</t>
    </r>
    <r>
      <rPr>
        <b/>
        <sz val="11"/>
        <color theme="1"/>
        <rFont val="Calibri"/>
        <family val="2"/>
        <scheme val="minor"/>
      </rPr>
      <t>1110</t>
    </r>
    <r>
      <rPr>
        <sz val="11"/>
        <color theme="1"/>
        <rFont val="Calibri"/>
        <family val="2"/>
        <scheme val="minor"/>
      </rPr>
      <t xml:space="preserve"> - Ad Valorem Taxes
</t>
    </r>
    <r>
      <rPr>
        <b/>
        <sz val="11"/>
        <color theme="1"/>
        <rFont val="Calibri"/>
        <family val="2"/>
        <scheme val="minor"/>
      </rPr>
      <t>1120</t>
    </r>
    <r>
      <rPr>
        <sz val="11"/>
        <color theme="1"/>
        <rFont val="Calibri"/>
        <family val="2"/>
        <scheme val="minor"/>
      </rPr>
      <t xml:space="preserve"> - Sales and Use Taxes
</t>
    </r>
    <r>
      <rPr>
        <b/>
        <sz val="11"/>
        <color theme="1"/>
        <rFont val="Calibri"/>
        <family val="2"/>
        <scheme val="minor"/>
      </rPr>
      <t>1130</t>
    </r>
    <r>
      <rPr>
        <sz val="11"/>
        <color theme="1"/>
        <rFont val="Calibri"/>
        <family val="2"/>
        <scheme val="minor"/>
      </rPr>
      <t xml:space="preserve"> - Income Taxes
</t>
    </r>
    <r>
      <rPr>
        <b/>
        <sz val="11"/>
        <color theme="1"/>
        <rFont val="Calibri"/>
        <family val="2"/>
        <scheme val="minor"/>
      </rPr>
      <t>1140</t>
    </r>
    <r>
      <rPr>
        <sz val="11"/>
        <color theme="1"/>
        <rFont val="Calibri"/>
        <family val="2"/>
        <scheme val="minor"/>
      </rPr>
      <t xml:space="preserve"> - Penalties and Interest on Taxes
</t>
    </r>
    <r>
      <rPr>
        <b/>
        <sz val="11"/>
        <color theme="1"/>
        <rFont val="Calibri"/>
        <family val="2"/>
        <scheme val="minor"/>
      </rPr>
      <t>1190</t>
    </r>
    <r>
      <rPr>
        <sz val="11"/>
        <color theme="1"/>
        <rFont val="Calibri"/>
        <family val="2"/>
        <scheme val="minor"/>
      </rPr>
      <t xml:space="preserve"> - Other Taxes
</t>
    </r>
    <r>
      <rPr>
        <b/>
        <sz val="11"/>
        <color theme="1"/>
        <rFont val="Calibri"/>
        <family val="2"/>
        <scheme val="minor"/>
      </rPr>
      <t>1200</t>
    </r>
    <r>
      <rPr>
        <sz val="11"/>
        <color theme="1"/>
        <rFont val="Calibri"/>
        <family val="2"/>
        <scheme val="minor"/>
      </rPr>
      <t xml:space="preserve"> - Revenue From Local Governmental Units Other Than School Districts
</t>
    </r>
    <r>
      <rPr>
        <b/>
        <sz val="11"/>
        <color theme="1"/>
        <rFont val="Calibri"/>
        <family val="2"/>
        <scheme val="minor"/>
      </rPr>
      <t>1210</t>
    </r>
    <r>
      <rPr>
        <sz val="11"/>
        <color theme="1"/>
        <rFont val="Calibri"/>
        <family val="2"/>
        <scheme val="minor"/>
      </rPr>
      <t xml:space="preserve"> - Ad Valorem Taxes
</t>
    </r>
    <r>
      <rPr>
        <b/>
        <sz val="11"/>
        <color theme="1"/>
        <rFont val="Calibri"/>
        <family val="2"/>
        <scheme val="minor"/>
      </rPr>
      <t>1220</t>
    </r>
    <r>
      <rPr>
        <sz val="11"/>
        <color theme="1"/>
        <rFont val="Calibri"/>
        <family val="2"/>
        <scheme val="minor"/>
      </rPr>
      <t xml:space="preserve"> - Sales and Use Tax
</t>
    </r>
    <r>
      <rPr>
        <b/>
        <sz val="11"/>
        <color theme="1"/>
        <rFont val="Calibri"/>
        <family val="2"/>
        <scheme val="minor"/>
      </rPr>
      <t>1230</t>
    </r>
    <r>
      <rPr>
        <sz val="11"/>
        <color theme="1"/>
        <rFont val="Calibri"/>
        <family val="2"/>
        <scheme val="minor"/>
      </rPr>
      <t xml:space="preserve"> - Income Taxes
</t>
    </r>
    <r>
      <rPr>
        <b/>
        <sz val="11"/>
        <color theme="1"/>
        <rFont val="Calibri"/>
        <family val="2"/>
        <scheme val="minor"/>
      </rPr>
      <t>1240</t>
    </r>
    <r>
      <rPr>
        <sz val="11"/>
        <color theme="1"/>
        <rFont val="Calibri"/>
        <family val="2"/>
        <scheme val="minor"/>
      </rPr>
      <t xml:space="preserve"> - Penalties and Interest on Taxes
</t>
    </r>
    <r>
      <rPr>
        <b/>
        <sz val="11"/>
        <color theme="1"/>
        <rFont val="Calibri"/>
        <family val="2"/>
        <scheme val="minor"/>
      </rPr>
      <t>1280</t>
    </r>
    <r>
      <rPr>
        <sz val="11"/>
        <color theme="1"/>
        <rFont val="Calibri"/>
        <family val="2"/>
        <scheme val="minor"/>
      </rPr>
      <t xml:space="preserve"> - Revenue in Lieu of Taxes
</t>
    </r>
    <r>
      <rPr>
        <b/>
        <sz val="11"/>
        <color theme="1"/>
        <rFont val="Calibri"/>
        <family val="2"/>
        <scheme val="minor"/>
      </rPr>
      <t>1290</t>
    </r>
    <r>
      <rPr>
        <sz val="11"/>
        <color theme="1"/>
        <rFont val="Calibri"/>
        <family val="2"/>
        <scheme val="minor"/>
      </rPr>
      <t xml:space="preserve"> - Other Taxes
</t>
    </r>
    <r>
      <rPr>
        <b/>
        <sz val="11"/>
        <color theme="1"/>
        <rFont val="Calibri"/>
        <family val="2"/>
        <scheme val="minor"/>
      </rPr>
      <t>1300</t>
    </r>
    <r>
      <rPr>
        <sz val="11"/>
        <color theme="1"/>
        <rFont val="Calibri"/>
        <family val="2"/>
        <scheme val="minor"/>
      </rPr>
      <t xml:space="preserve"> - Tuition
</t>
    </r>
    <r>
      <rPr>
        <b/>
        <sz val="11"/>
        <color theme="1"/>
        <rFont val="Calibri"/>
        <family val="2"/>
        <scheme val="minor"/>
      </rPr>
      <t>1310</t>
    </r>
    <r>
      <rPr>
        <sz val="11"/>
        <color theme="1"/>
        <rFont val="Calibri"/>
        <family val="2"/>
        <scheme val="minor"/>
      </rPr>
      <t xml:space="preserve"> - Tuition From Individuals
</t>
    </r>
    <r>
      <rPr>
        <b/>
        <sz val="11"/>
        <color theme="1"/>
        <rFont val="Calibri"/>
        <family val="2"/>
        <scheme val="minor"/>
      </rPr>
      <t>1311</t>
    </r>
    <r>
      <rPr>
        <sz val="11"/>
        <color theme="1"/>
        <rFont val="Calibri"/>
        <family val="2"/>
        <scheme val="minor"/>
      </rPr>
      <t xml:space="preserve"> - Tuition From Individuals Excluding Summer School
</t>
    </r>
    <r>
      <rPr>
        <b/>
        <sz val="11"/>
        <color theme="1"/>
        <rFont val="Calibri"/>
        <family val="2"/>
        <scheme val="minor"/>
      </rPr>
      <t>1312</t>
    </r>
    <r>
      <rPr>
        <sz val="11"/>
        <color theme="1"/>
        <rFont val="Calibri"/>
        <family val="2"/>
        <scheme val="minor"/>
      </rPr>
      <t xml:space="preserve"> - Tuition From Individuals for Summer School
</t>
    </r>
    <r>
      <rPr>
        <b/>
        <sz val="11"/>
        <color theme="1"/>
        <rFont val="Calibri"/>
        <family val="2"/>
        <scheme val="minor"/>
      </rPr>
      <t>1320</t>
    </r>
    <r>
      <rPr>
        <sz val="11"/>
        <color theme="1"/>
        <rFont val="Calibri"/>
        <family val="2"/>
        <scheme val="minor"/>
      </rPr>
      <t xml:space="preserve"> - Tuition From Other Government Sources Within the State
</t>
    </r>
    <r>
      <rPr>
        <b/>
        <sz val="11"/>
        <color theme="1"/>
        <rFont val="Calibri"/>
        <family val="2"/>
        <scheme val="minor"/>
      </rPr>
      <t>1321</t>
    </r>
    <r>
      <rPr>
        <sz val="11"/>
        <color theme="1"/>
        <rFont val="Calibri"/>
        <family val="2"/>
        <scheme val="minor"/>
      </rPr>
      <t xml:space="preserve"> - Tuition From Other School Districts Within the State
</t>
    </r>
    <r>
      <rPr>
        <b/>
        <sz val="11"/>
        <color theme="1"/>
        <rFont val="Calibri"/>
        <family val="2"/>
        <scheme val="minor"/>
      </rPr>
      <t>1322</t>
    </r>
    <r>
      <rPr>
        <sz val="11"/>
        <color theme="1"/>
        <rFont val="Calibri"/>
        <family val="2"/>
        <scheme val="minor"/>
      </rPr>
      <t xml:space="preserve"> - Tuition From Other Government Sources Excluding School Districts Within the State
</t>
    </r>
    <r>
      <rPr>
        <b/>
        <sz val="11"/>
        <color theme="1"/>
        <rFont val="Calibri"/>
        <family val="2"/>
        <scheme val="minor"/>
      </rPr>
      <t>1330</t>
    </r>
    <r>
      <rPr>
        <sz val="11"/>
        <color theme="1"/>
        <rFont val="Calibri"/>
        <family val="2"/>
        <scheme val="minor"/>
      </rPr>
      <t xml:space="preserve"> - Tuition From Other Government Sources Outside the State
</t>
    </r>
    <r>
      <rPr>
        <b/>
        <sz val="11"/>
        <color theme="1"/>
        <rFont val="Calibri"/>
        <family val="2"/>
        <scheme val="minor"/>
      </rPr>
      <t>1331</t>
    </r>
    <r>
      <rPr>
        <sz val="11"/>
        <color theme="1"/>
        <rFont val="Calibri"/>
        <family val="2"/>
        <scheme val="minor"/>
      </rPr>
      <t xml:space="preserve"> - Tuition From School Districts Outside the State
</t>
    </r>
    <r>
      <rPr>
        <b/>
        <sz val="11"/>
        <color theme="1"/>
        <rFont val="Calibri"/>
        <family val="2"/>
        <scheme val="minor"/>
      </rPr>
      <t>1340</t>
    </r>
    <r>
      <rPr>
        <sz val="11"/>
        <color theme="1"/>
        <rFont val="Calibri"/>
        <family val="2"/>
        <scheme val="minor"/>
      </rPr>
      <t xml:space="preserve"> - Tuition From Other Private Sources (other than individuals)
</t>
    </r>
    <r>
      <rPr>
        <b/>
        <sz val="11"/>
        <color theme="1"/>
        <rFont val="Calibri"/>
        <family val="2"/>
        <scheme val="minor"/>
      </rPr>
      <t>1350</t>
    </r>
    <r>
      <rPr>
        <sz val="11"/>
        <color theme="1"/>
        <rFont val="Calibri"/>
        <family val="2"/>
        <scheme val="minor"/>
      </rPr>
      <t xml:space="preserve"> - Tuition From the State/Other School Districts for Voucher Program Students
</t>
    </r>
    <r>
      <rPr>
        <b/>
        <sz val="11"/>
        <color theme="1"/>
        <rFont val="Calibri"/>
        <family val="2"/>
        <scheme val="minor"/>
      </rPr>
      <t>1400</t>
    </r>
    <r>
      <rPr>
        <sz val="11"/>
        <color theme="1"/>
        <rFont val="Calibri"/>
        <family val="2"/>
        <scheme val="minor"/>
      </rPr>
      <t xml:space="preserve"> - Transportation Fees
</t>
    </r>
    <r>
      <rPr>
        <b/>
        <sz val="11"/>
        <color theme="1"/>
        <rFont val="Calibri"/>
        <family val="2"/>
        <scheme val="minor"/>
      </rPr>
      <t>1410</t>
    </r>
    <r>
      <rPr>
        <sz val="11"/>
        <color theme="1"/>
        <rFont val="Calibri"/>
        <family val="2"/>
        <scheme val="minor"/>
      </rPr>
      <t xml:space="preserve"> - Transportation Fees From Individuals
</t>
    </r>
    <r>
      <rPr>
        <b/>
        <sz val="11"/>
        <color theme="1"/>
        <rFont val="Calibri"/>
        <family val="2"/>
        <scheme val="minor"/>
      </rPr>
      <t>1420</t>
    </r>
    <r>
      <rPr>
        <sz val="11"/>
        <color theme="1"/>
        <rFont val="Calibri"/>
        <family val="2"/>
        <scheme val="minor"/>
      </rPr>
      <t xml:space="preserve"> - Transportation Fees From Other Government Sources Within the State
</t>
    </r>
    <r>
      <rPr>
        <b/>
        <sz val="11"/>
        <color theme="1"/>
        <rFont val="Calibri"/>
        <family val="2"/>
        <scheme val="minor"/>
      </rPr>
      <t>1421</t>
    </r>
    <r>
      <rPr>
        <sz val="11"/>
        <color theme="1"/>
        <rFont val="Calibri"/>
        <family val="2"/>
        <scheme val="minor"/>
      </rPr>
      <t xml:space="preserve"> - Transportation Fees From Other School Districts Within the State
</t>
    </r>
    <r>
      <rPr>
        <b/>
        <sz val="11"/>
        <color theme="1"/>
        <rFont val="Calibri"/>
        <family val="2"/>
        <scheme val="minor"/>
      </rPr>
      <t>1422</t>
    </r>
    <r>
      <rPr>
        <sz val="11"/>
        <color theme="1"/>
        <rFont val="Calibri"/>
        <family val="2"/>
        <scheme val="minor"/>
      </rPr>
      <t xml:space="preserve"> - Transportation Fees From Other Government Sources Excluding School Districts Within the State
</t>
    </r>
    <r>
      <rPr>
        <b/>
        <sz val="11"/>
        <color theme="1"/>
        <rFont val="Calibri"/>
        <family val="2"/>
        <scheme val="minor"/>
      </rPr>
      <t>1430</t>
    </r>
    <r>
      <rPr>
        <sz val="11"/>
        <color theme="1"/>
        <rFont val="Calibri"/>
        <family val="2"/>
        <scheme val="minor"/>
      </rPr>
      <t xml:space="preserve"> - Transportation Fees From Other Government Sources Outside the State
</t>
    </r>
    <r>
      <rPr>
        <b/>
        <sz val="11"/>
        <color theme="1"/>
        <rFont val="Calibri"/>
        <family val="2"/>
        <scheme val="minor"/>
      </rPr>
      <t>1431</t>
    </r>
    <r>
      <rPr>
        <sz val="11"/>
        <color theme="1"/>
        <rFont val="Calibri"/>
        <family val="2"/>
        <scheme val="minor"/>
      </rPr>
      <t xml:space="preserve"> - Transportation Fees From Other School Districts Outside the State
</t>
    </r>
    <r>
      <rPr>
        <b/>
        <sz val="11"/>
        <color theme="1"/>
        <rFont val="Calibri"/>
        <family val="2"/>
        <scheme val="minor"/>
      </rPr>
      <t>1440</t>
    </r>
    <r>
      <rPr>
        <sz val="11"/>
        <color theme="1"/>
        <rFont val="Calibri"/>
        <family val="2"/>
        <scheme val="minor"/>
      </rPr>
      <t xml:space="preserve"> - Transportation Fees From Other Private Sources (other than individuals)
</t>
    </r>
    <r>
      <rPr>
        <b/>
        <sz val="11"/>
        <color theme="1"/>
        <rFont val="Calibri"/>
        <family val="2"/>
        <scheme val="minor"/>
      </rPr>
      <t>1500</t>
    </r>
    <r>
      <rPr>
        <sz val="11"/>
        <color theme="1"/>
        <rFont val="Calibri"/>
        <family val="2"/>
        <scheme val="minor"/>
      </rPr>
      <t xml:space="preserve"> - Investment Income
</t>
    </r>
    <r>
      <rPr>
        <b/>
        <sz val="11"/>
        <color theme="1"/>
        <rFont val="Calibri"/>
        <family val="2"/>
        <scheme val="minor"/>
      </rPr>
      <t>1510</t>
    </r>
    <r>
      <rPr>
        <sz val="11"/>
        <color theme="1"/>
        <rFont val="Calibri"/>
        <family val="2"/>
        <scheme val="minor"/>
      </rPr>
      <t xml:space="preserve"> - Interest on Investments
</t>
    </r>
    <r>
      <rPr>
        <b/>
        <sz val="11"/>
        <color theme="1"/>
        <rFont val="Calibri"/>
        <family val="2"/>
        <scheme val="minor"/>
      </rPr>
      <t>1520</t>
    </r>
    <r>
      <rPr>
        <sz val="11"/>
        <color theme="1"/>
        <rFont val="Calibri"/>
        <family val="2"/>
        <scheme val="minor"/>
      </rPr>
      <t xml:space="preserve"> - Dividends on Investments
</t>
    </r>
    <r>
      <rPr>
        <b/>
        <sz val="11"/>
        <color theme="1"/>
        <rFont val="Calibri"/>
        <family val="2"/>
        <scheme val="minor"/>
      </rPr>
      <t>1530</t>
    </r>
    <r>
      <rPr>
        <sz val="11"/>
        <color theme="1"/>
        <rFont val="Calibri"/>
        <family val="2"/>
        <scheme val="minor"/>
      </rPr>
      <t xml:space="preserve"> - Net Increase in the Fair Value of Investments
</t>
    </r>
    <r>
      <rPr>
        <b/>
        <sz val="11"/>
        <color theme="1"/>
        <rFont val="Calibri"/>
        <family val="2"/>
        <scheme val="minor"/>
      </rPr>
      <t>1531</t>
    </r>
    <r>
      <rPr>
        <sz val="11"/>
        <color theme="1"/>
        <rFont val="Calibri"/>
        <family val="2"/>
        <scheme val="minor"/>
      </rPr>
      <t xml:space="preserve"> - Realized Gains (Losses) on Investments
</t>
    </r>
    <r>
      <rPr>
        <b/>
        <sz val="11"/>
        <color theme="1"/>
        <rFont val="Calibri"/>
        <family val="2"/>
        <scheme val="minor"/>
      </rPr>
      <t>1532</t>
    </r>
    <r>
      <rPr>
        <sz val="11"/>
        <color theme="1"/>
        <rFont val="Calibri"/>
        <family val="2"/>
        <scheme val="minor"/>
      </rPr>
      <t xml:space="preserve"> - Unrealized Gains (Losses) on Investments
</t>
    </r>
    <r>
      <rPr>
        <b/>
        <sz val="11"/>
        <color theme="1"/>
        <rFont val="Calibri"/>
        <family val="2"/>
        <scheme val="minor"/>
      </rPr>
      <t>1540</t>
    </r>
    <r>
      <rPr>
        <sz val="11"/>
        <color theme="1"/>
        <rFont val="Calibri"/>
        <family val="2"/>
        <scheme val="minor"/>
      </rPr>
      <t xml:space="preserve"> - Investment Income From Real Property
</t>
    </r>
    <r>
      <rPr>
        <b/>
        <sz val="11"/>
        <color theme="1"/>
        <rFont val="Calibri"/>
        <family val="2"/>
        <scheme val="minor"/>
      </rPr>
      <t>1600</t>
    </r>
    <r>
      <rPr>
        <sz val="11"/>
        <color theme="1"/>
        <rFont val="Calibri"/>
        <family val="2"/>
        <scheme val="minor"/>
      </rPr>
      <t xml:space="preserve"> - Food Services
</t>
    </r>
    <r>
      <rPr>
        <b/>
        <sz val="11"/>
        <color theme="1"/>
        <rFont val="Calibri"/>
        <family val="2"/>
        <scheme val="minor"/>
      </rPr>
      <t>1610</t>
    </r>
    <r>
      <rPr>
        <sz val="11"/>
        <color theme="1"/>
        <rFont val="Calibri"/>
        <family val="2"/>
        <scheme val="minor"/>
      </rPr>
      <t xml:space="preserve"> - Daily Sales—Reimbursable Programs
</t>
    </r>
    <r>
      <rPr>
        <b/>
        <sz val="11"/>
        <color theme="1"/>
        <rFont val="Calibri"/>
        <family val="2"/>
        <scheme val="minor"/>
      </rPr>
      <t>1611</t>
    </r>
    <r>
      <rPr>
        <sz val="11"/>
        <color theme="1"/>
        <rFont val="Calibri"/>
        <family val="2"/>
        <scheme val="minor"/>
      </rPr>
      <t xml:space="preserve"> - Daily Sales—School Lunch Program
</t>
    </r>
    <r>
      <rPr>
        <b/>
        <sz val="11"/>
        <color theme="1"/>
        <rFont val="Calibri"/>
        <family val="2"/>
        <scheme val="minor"/>
      </rPr>
      <t>1612</t>
    </r>
    <r>
      <rPr>
        <sz val="11"/>
        <color theme="1"/>
        <rFont val="Calibri"/>
        <family val="2"/>
        <scheme val="minor"/>
      </rPr>
      <t xml:space="preserve"> - Daily Sales—School Breakfast Program
</t>
    </r>
    <r>
      <rPr>
        <b/>
        <sz val="11"/>
        <color theme="1"/>
        <rFont val="Calibri"/>
        <family val="2"/>
        <scheme val="minor"/>
      </rPr>
      <t>1613</t>
    </r>
    <r>
      <rPr>
        <sz val="11"/>
        <color theme="1"/>
        <rFont val="Calibri"/>
        <family val="2"/>
        <scheme val="minor"/>
      </rPr>
      <t xml:space="preserve"> - Daily Sales—Special Milk Program
</t>
    </r>
    <r>
      <rPr>
        <b/>
        <sz val="11"/>
        <color theme="1"/>
        <rFont val="Calibri"/>
        <family val="2"/>
        <scheme val="minor"/>
      </rPr>
      <t>1614</t>
    </r>
    <r>
      <rPr>
        <sz val="11"/>
        <color theme="1"/>
        <rFont val="Calibri"/>
        <family val="2"/>
        <scheme val="minor"/>
      </rPr>
      <t xml:space="preserve"> - Daily Sales—After-School Programs
</t>
    </r>
    <r>
      <rPr>
        <b/>
        <sz val="11"/>
        <color theme="1"/>
        <rFont val="Calibri"/>
        <family val="2"/>
        <scheme val="minor"/>
      </rPr>
      <t>1620</t>
    </r>
    <r>
      <rPr>
        <sz val="11"/>
        <color theme="1"/>
        <rFont val="Calibri"/>
        <family val="2"/>
        <scheme val="minor"/>
      </rPr>
      <t xml:space="preserve"> - Daily Sales—Nonreimbursable Programs
</t>
    </r>
    <r>
      <rPr>
        <b/>
        <sz val="11"/>
        <color theme="1"/>
        <rFont val="Calibri"/>
        <family val="2"/>
        <scheme val="minor"/>
      </rPr>
      <t>1630</t>
    </r>
    <r>
      <rPr>
        <sz val="11"/>
        <color theme="1"/>
        <rFont val="Calibri"/>
        <family val="2"/>
        <scheme val="minor"/>
      </rPr>
      <t xml:space="preserve"> - Special Functions
</t>
    </r>
    <r>
      <rPr>
        <b/>
        <sz val="11"/>
        <color theme="1"/>
        <rFont val="Calibri"/>
        <family val="2"/>
        <scheme val="minor"/>
      </rPr>
      <t>1650</t>
    </r>
    <r>
      <rPr>
        <sz val="11"/>
        <color theme="1"/>
        <rFont val="Calibri"/>
        <family val="2"/>
        <scheme val="minor"/>
      </rPr>
      <t xml:space="preserve"> - Daily Sales—Summer Food Programs
</t>
    </r>
    <r>
      <rPr>
        <b/>
        <sz val="11"/>
        <color theme="1"/>
        <rFont val="Calibri"/>
        <family val="2"/>
        <scheme val="minor"/>
      </rPr>
      <t>1700</t>
    </r>
    <r>
      <rPr>
        <sz val="11"/>
        <color theme="1"/>
        <rFont val="Calibri"/>
        <family val="2"/>
        <scheme val="minor"/>
      </rPr>
      <t xml:space="preserve"> - District Activities
</t>
    </r>
    <r>
      <rPr>
        <b/>
        <sz val="11"/>
        <color theme="1"/>
        <rFont val="Calibri"/>
        <family val="2"/>
        <scheme val="minor"/>
      </rPr>
      <t>1710</t>
    </r>
    <r>
      <rPr>
        <sz val="11"/>
        <color theme="1"/>
        <rFont val="Calibri"/>
        <family val="2"/>
        <scheme val="minor"/>
      </rPr>
      <t xml:space="preserve"> - Admissions
</t>
    </r>
    <r>
      <rPr>
        <b/>
        <sz val="11"/>
        <color theme="1"/>
        <rFont val="Calibri"/>
        <family val="2"/>
        <scheme val="minor"/>
      </rPr>
      <t>1720</t>
    </r>
    <r>
      <rPr>
        <sz val="11"/>
        <color theme="1"/>
        <rFont val="Calibri"/>
        <family val="2"/>
        <scheme val="minor"/>
      </rPr>
      <t xml:space="preserve"> - Bookstore Sales
</t>
    </r>
    <r>
      <rPr>
        <b/>
        <sz val="11"/>
        <color theme="1"/>
        <rFont val="Calibri"/>
        <family val="2"/>
        <scheme val="minor"/>
      </rPr>
      <t>1730</t>
    </r>
    <r>
      <rPr>
        <sz val="11"/>
        <color theme="1"/>
        <rFont val="Calibri"/>
        <family val="2"/>
        <scheme val="minor"/>
      </rPr>
      <t xml:space="preserve"> - Student Organization Membership Dues and Fees
</t>
    </r>
    <r>
      <rPr>
        <b/>
        <sz val="11"/>
        <color theme="1"/>
        <rFont val="Calibri"/>
        <family val="2"/>
        <scheme val="minor"/>
      </rPr>
      <t>1740</t>
    </r>
    <r>
      <rPr>
        <sz val="11"/>
        <color theme="1"/>
        <rFont val="Calibri"/>
        <family val="2"/>
        <scheme val="minor"/>
      </rPr>
      <t xml:space="preserve"> - Fees
</t>
    </r>
    <r>
      <rPr>
        <b/>
        <sz val="11"/>
        <color theme="1"/>
        <rFont val="Calibri"/>
        <family val="2"/>
        <scheme val="minor"/>
      </rPr>
      <t>1750</t>
    </r>
    <r>
      <rPr>
        <sz val="11"/>
        <color theme="1"/>
        <rFont val="Calibri"/>
        <family val="2"/>
        <scheme val="minor"/>
      </rPr>
      <t xml:space="preserve"> - Revenue From Enterprise Activities
</t>
    </r>
    <r>
      <rPr>
        <b/>
        <sz val="11"/>
        <color theme="1"/>
        <rFont val="Calibri"/>
        <family val="2"/>
        <scheme val="minor"/>
      </rPr>
      <t>1790</t>
    </r>
    <r>
      <rPr>
        <sz val="11"/>
        <color theme="1"/>
        <rFont val="Calibri"/>
        <family val="2"/>
        <scheme val="minor"/>
      </rPr>
      <t xml:space="preserve"> - Other Activity Income
</t>
    </r>
    <r>
      <rPr>
        <b/>
        <sz val="11"/>
        <color theme="1"/>
        <rFont val="Calibri"/>
        <family val="2"/>
        <scheme val="minor"/>
      </rPr>
      <t>1800</t>
    </r>
    <r>
      <rPr>
        <sz val="11"/>
        <color theme="1"/>
        <rFont val="Calibri"/>
        <family val="2"/>
        <scheme val="minor"/>
      </rPr>
      <t xml:space="preserve"> - Revenue From Community Services Activities
</t>
    </r>
    <r>
      <rPr>
        <b/>
        <sz val="11"/>
        <color theme="1"/>
        <rFont val="Calibri"/>
        <family val="2"/>
        <scheme val="minor"/>
      </rPr>
      <t>1900</t>
    </r>
    <r>
      <rPr>
        <sz val="11"/>
        <color theme="1"/>
        <rFont val="Calibri"/>
        <family val="2"/>
        <scheme val="minor"/>
      </rPr>
      <t xml:space="preserve"> - Other Revenue From Local Sources
</t>
    </r>
    <r>
      <rPr>
        <b/>
        <sz val="11"/>
        <color theme="1"/>
        <rFont val="Calibri"/>
        <family val="2"/>
        <scheme val="minor"/>
      </rPr>
      <t>1910</t>
    </r>
    <r>
      <rPr>
        <sz val="11"/>
        <color theme="1"/>
        <rFont val="Calibri"/>
        <family val="2"/>
        <scheme val="minor"/>
      </rPr>
      <t xml:space="preserve"> - Rentals
</t>
    </r>
    <r>
      <rPr>
        <b/>
        <sz val="11"/>
        <color theme="1"/>
        <rFont val="Calibri"/>
        <family val="2"/>
        <scheme val="minor"/>
      </rPr>
      <t>1920</t>
    </r>
    <r>
      <rPr>
        <sz val="11"/>
        <color theme="1"/>
        <rFont val="Calibri"/>
        <family val="2"/>
        <scheme val="minor"/>
      </rPr>
      <t xml:space="preserve"> - Contributions and Donations from Private Sources
</t>
    </r>
    <r>
      <rPr>
        <b/>
        <sz val="11"/>
        <color theme="1"/>
        <rFont val="Calibri"/>
        <family val="2"/>
        <scheme val="minor"/>
      </rPr>
      <t>1930</t>
    </r>
    <r>
      <rPr>
        <sz val="11"/>
        <color theme="1"/>
        <rFont val="Calibri"/>
        <family val="2"/>
        <scheme val="minor"/>
      </rPr>
      <t xml:space="preserve"> - Gains or Losses on the Sale of Capital Assets
</t>
    </r>
    <r>
      <rPr>
        <b/>
        <sz val="11"/>
        <color theme="1"/>
        <rFont val="Calibri"/>
        <family val="2"/>
        <scheme val="minor"/>
      </rPr>
      <t>1940</t>
    </r>
    <r>
      <rPr>
        <sz val="11"/>
        <color theme="1"/>
        <rFont val="Calibri"/>
        <family val="2"/>
        <scheme val="minor"/>
      </rPr>
      <t xml:space="preserve"> - Textbook Sales and Rentals
</t>
    </r>
    <r>
      <rPr>
        <b/>
        <sz val="11"/>
        <color theme="1"/>
        <rFont val="Calibri"/>
        <family val="2"/>
        <scheme val="minor"/>
      </rPr>
      <t>1941</t>
    </r>
    <r>
      <rPr>
        <sz val="11"/>
        <color theme="1"/>
        <rFont val="Calibri"/>
        <family val="2"/>
        <scheme val="minor"/>
      </rPr>
      <t xml:space="preserve"> - Textbook Sales
</t>
    </r>
    <r>
      <rPr>
        <b/>
        <sz val="11"/>
        <color theme="1"/>
        <rFont val="Calibri"/>
        <family val="2"/>
        <scheme val="minor"/>
      </rPr>
      <t>1942</t>
    </r>
    <r>
      <rPr>
        <sz val="11"/>
        <color theme="1"/>
        <rFont val="Calibri"/>
        <family val="2"/>
        <scheme val="minor"/>
      </rPr>
      <t xml:space="preserve"> - Textbook Rentals
</t>
    </r>
    <r>
      <rPr>
        <b/>
        <sz val="11"/>
        <color theme="1"/>
        <rFont val="Calibri"/>
        <family val="2"/>
        <scheme val="minor"/>
      </rPr>
      <t>1950</t>
    </r>
    <r>
      <rPr>
        <sz val="11"/>
        <color theme="1"/>
        <rFont val="Calibri"/>
        <family val="2"/>
        <scheme val="minor"/>
      </rPr>
      <t xml:space="preserve"> - Miscellaneous Revenues From Other School Districts
</t>
    </r>
    <r>
      <rPr>
        <b/>
        <sz val="11"/>
        <color theme="1"/>
        <rFont val="Calibri"/>
        <family val="2"/>
        <scheme val="minor"/>
      </rPr>
      <t>1951</t>
    </r>
    <r>
      <rPr>
        <sz val="11"/>
        <color theme="1"/>
        <rFont val="Calibri"/>
        <family val="2"/>
        <scheme val="minor"/>
      </rPr>
      <t xml:space="preserve"> - Miscellaneous Revenue From Other School Districts Within the State
</t>
    </r>
    <r>
      <rPr>
        <b/>
        <sz val="11"/>
        <color theme="1"/>
        <rFont val="Calibri"/>
        <family val="2"/>
        <scheme val="minor"/>
      </rPr>
      <t>1952</t>
    </r>
    <r>
      <rPr>
        <sz val="11"/>
        <color theme="1"/>
        <rFont val="Calibri"/>
        <family val="2"/>
        <scheme val="minor"/>
      </rPr>
      <t xml:space="preserve"> - Miscellaneous Revenue From Other School Districts Outside the State
</t>
    </r>
    <r>
      <rPr>
        <b/>
        <sz val="11"/>
        <color theme="1"/>
        <rFont val="Calibri"/>
        <family val="2"/>
        <scheme val="minor"/>
      </rPr>
      <t>1960</t>
    </r>
    <r>
      <rPr>
        <sz val="11"/>
        <color theme="1"/>
        <rFont val="Calibri"/>
        <family val="2"/>
        <scheme val="minor"/>
      </rPr>
      <t xml:space="preserve"> - Miscellaneous Revenues From Other Local Governmental Unites
</t>
    </r>
    <r>
      <rPr>
        <b/>
        <sz val="11"/>
        <color theme="1"/>
        <rFont val="Calibri"/>
        <family val="2"/>
        <scheme val="minor"/>
      </rPr>
      <t>1970</t>
    </r>
    <r>
      <rPr>
        <sz val="11"/>
        <color theme="1"/>
        <rFont val="Calibri"/>
        <family val="2"/>
        <scheme val="minor"/>
      </rPr>
      <t xml:space="preserve"> - Revenues From Other Departments in the Agency
</t>
    </r>
    <r>
      <rPr>
        <b/>
        <sz val="11"/>
        <color theme="1"/>
        <rFont val="Calibri"/>
        <family val="2"/>
        <scheme val="minor"/>
      </rPr>
      <t>1980</t>
    </r>
    <r>
      <rPr>
        <sz val="11"/>
        <color theme="1"/>
        <rFont val="Calibri"/>
        <family val="2"/>
        <scheme val="minor"/>
      </rPr>
      <t xml:space="preserve"> - Refund of Prior Year’s Expenditures
</t>
    </r>
    <r>
      <rPr>
        <b/>
        <sz val="11"/>
        <color theme="1"/>
        <rFont val="Calibri"/>
        <family val="2"/>
        <scheme val="minor"/>
      </rPr>
      <t>1990</t>
    </r>
    <r>
      <rPr>
        <sz val="11"/>
        <color theme="1"/>
        <rFont val="Calibri"/>
        <family val="2"/>
        <scheme val="minor"/>
      </rPr>
      <t xml:space="preserve"> - Miscellaneous
</t>
    </r>
    <r>
      <rPr>
        <b/>
        <sz val="11"/>
        <color theme="1"/>
        <rFont val="Calibri"/>
        <family val="2"/>
        <scheme val="minor"/>
      </rPr>
      <t>2000</t>
    </r>
    <r>
      <rPr>
        <sz val="11"/>
        <color theme="1"/>
        <rFont val="Calibri"/>
        <family val="2"/>
        <scheme val="minor"/>
      </rPr>
      <t xml:space="preserve"> - Revenue from Intermediate Sources
</t>
    </r>
    <r>
      <rPr>
        <b/>
        <sz val="11"/>
        <color theme="1"/>
        <rFont val="Calibri"/>
        <family val="2"/>
        <scheme val="minor"/>
      </rPr>
      <t>2100</t>
    </r>
    <r>
      <rPr>
        <sz val="11"/>
        <color theme="1"/>
        <rFont val="Calibri"/>
        <family val="2"/>
        <scheme val="minor"/>
      </rPr>
      <t xml:space="preserve"> - Unrestricted Grants-in-Aid
</t>
    </r>
    <r>
      <rPr>
        <b/>
        <sz val="11"/>
        <color theme="1"/>
        <rFont val="Calibri"/>
        <family val="2"/>
        <scheme val="minor"/>
      </rPr>
      <t>2200</t>
    </r>
    <r>
      <rPr>
        <sz val="11"/>
        <color theme="1"/>
        <rFont val="Calibri"/>
        <family val="2"/>
        <scheme val="minor"/>
      </rPr>
      <t xml:space="preserve"> - Restricted Grants-in-Aid
</t>
    </r>
    <r>
      <rPr>
        <b/>
        <sz val="11"/>
        <color theme="1"/>
        <rFont val="Calibri"/>
        <family val="2"/>
        <scheme val="minor"/>
      </rPr>
      <t>2800</t>
    </r>
    <r>
      <rPr>
        <sz val="11"/>
        <color theme="1"/>
        <rFont val="Calibri"/>
        <family val="2"/>
        <scheme val="minor"/>
      </rPr>
      <t xml:space="preserve"> - Revenue in Lieu of Taxes
</t>
    </r>
    <r>
      <rPr>
        <b/>
        <sz val="11"/>
        <color theme="1"/>
        <rFont val="Calibri"/>
        <family val="2"/>
        <scheme val="minor"/>
      </rPr>
      <t>2900</t>
    </r>
    <r>
      <rPr>
        <sz val="11"/>
        <color theme="1"/>
        <rFont val="Calibri"/>
        <family val="2"/>
        <scheme val="minor"/>
      </rPr>
      <t xml:space="preserve"> - Revenue for/on Behalf of the School District
</t>
    </r>
    <r>
      <rPr>
        <b/>
        <sz val="11"/>
        <color theme="1"/>
        <rFont val="Calibri"/>
        <family val="2"/>
        <scheme val="minor"/>
      </rPr>
      <t>3000</t>
    </r>
    <r>
      <rPr>
        <sz val="11"/>
        <color theme="1"/>
        <rFont val="Calibri"/>
        <family val="2"/>
        <scheme val="minor"/>
      </rPr>
      <t xml:space="preserve"> - Revenue From State Sources
</t>
    </r>
    <r>
      <rPr>
        <b/>
        <sz val="11"/>
        <color theme="1"/>
        <rFont val="Calibri"/>
        <family val="2"/>
        <scheme val="minor"/>
      </rPr>
      <t>3100</t>
    </r>
    <r>
      <rPr>
        <sz val="11"/>
        <color theme="1"/>
        <rFont val="Calibri"/>
        <family val="2"/>
        <scheme val="minor"/>
      </rPr>
      <t xml:space="preserve"> - Unrestricted Grants-in-Aid
</t>
    </r>
    <r>
      <rPr>
        <b/>
        <sz val="11"/>
        <color theme="1"/>
        <rFont val="Calibri"/>
        <family val="2"/>
        <scheme val="minor"/>
      </rPr>
      <t>3200</t>
    </r>
    <r>
      <rPr>
        <sz val="11"/>
        <color theme="1"/>
        <rFont val="Calibri"/>
        <family val="2"/>
        <scheme val="minor"/>
      </rPr>
      <t xml:space="preserve"> - Restricted Grants-in-Aid
</t>
    </r>
    <r>
      <rPr>
        <b/>
        <sz val="11"/>
        <color theme="1"/>
        <rFont val="Calibri"/>
        <family val="2"/>
        <scheme val="minor"/>
      </rPr>
      <t>3800</t>
    </r>
    <r>
      <rPr>
        <sz val="11"/>
        <color theme="1"/>
        <rFont val="Calibri"/>
        <family val="2"/>
        <scheme val="minor"/>
      </rPr>
      <t xml:space="preserve"> - Revenue in Lieu of Taxes
</t>
    </r>
    <r>
      <rPr>
        <b/>
        <sz val="11"/>
        <color theme="1"/>
        <rFont val="Calibri"/>
        <family val="2"/>
        <scheme val="minor"/>
      </rPr>
      <t>3900</t>
    </r>
    <r>
      <rPr>
        <sz val="11"/>
        <color theme="1"/>
        <rFont val="Calibri"/>
        <family val="2"/>
        <scheme val="minor"/>
      </rPr>
      <t xml:space="preserve"> - Revenue for/on Behalf of the School District
</t>
    </r>
    <r>
      <rPr>
        <b/>
        <sz val="11"/>
        <color theme="1"/>
        <rFont val="Calibri"/>
        <family val="2"/>
        <scheme val="minor"/>
      </rPr>
      <t>4000</t>
    </r>
    <r>
      <rPr>
        <sz val="11"/>
        <color theme="1"/>
        <rFont val="Calibri"/>
        <family val="2"/>
        <scheme val="minor"/>
      </rPr>
      <t xml:space="preserve"> - Revenue From Federal Sources
</t>
    </r>
    <r>
      <rPr>
        <b/>
        <sz val="11"/>
        <color theme="1"/>
        <rFont val="Calibri"/>
        <family val="2"/>
        <scheme val="minor"/>
      </rPr>
      <t>4100</t>
    </r>
    <r>
      <rPr>
        <sz val="11"/>
        <color theme="1"/>
        <rFont val="Calibri"/>
        <family val="2"/>
        <scheme val="minor"/>
      </rPr>
      <t xml:space="preserve"> - Unrestricted Grants-in-Aid Direct From the Federal Government
</t>
    </r>
    <r>
      <rPr>
        <b/>
        <sz val="11"/>
        <color theme="1"/>
        <rFont val="Calibri"/>
        <family val="2"/>
        <scheme val="minor"/>
      </rPr>
      <t>4200</t>
    </r>
    <r>
      <rPr>
        <sz val="11"/>
        <color theme="1"/>
        <rFont val="Calibri"/>
        <family val="2"/>
        <scheme val="minor"/>
      </rPr>
      <t xml:space="preserve"> - Unrestricted Grants-in-Aid From the Federal Government Through the State
</t>
    </r>
    <r>
      <rPr>
        <b/>
        <sz val="11"/>
        <color theme="1"/>
        <rFont val="Calibri"/>
        <family val="2"/>
        <scheme val="minor"/>
      </rPr>
      <t>4300</t>
    </r>
    <r>
      <rPr>
        <sz val="11"/>
        <color theme="1"/>
        <rFont val="Calibri"/>
        <family val="2"/>
        <scheme val="minor"/>
      </rPr>
      <t xml:space="preserve"> - Restricted Grants-in-Aid Direct From the Federal Government
</t>
    </r>
    <r>
      <rPr>
        <b/>
        <sz val="11"/>
        <color theme="1"/>
        <rFont val="Calibri"/>
        <family val="2"/>
        <scheme val="minor"/>
      </rPr>
      <t>4500</t>
    </r>
    <r>
      <rPr>
        <sz val="11"/>
        <color theme="1"/>
        <rFont val="Calibri"/>
        <family val="2"/>
        <scheme val="minor"/>
      </rPr>
      <t xml:space="preserve"> - Restricted Grants-in-Aid From the Federal Government Through the State
</t>
    </r>
    <r>
      <rPr>
        <b/>
        <sz val="11"/>
        <color theme="1"/>
        <rFont val="Calibri"/>
        <family val="2"/>
        <scheme val="minor"/>
      </rPr>
      <t>4700</t>
    </r>
    <r>
      <rPr>
        <sz val="11"/>
        <color theme="1"/>
        <rFont val="Calibri"/>
        <family val="2"/>
        <scheme val="minor"/>
      </rPr>
      <t xml:space="preserve"> - Grants-in-Aid From the Federal Government Through Other Intermediate Agencies
</t>
    </r>
    <r>
      <rPr>
        <b/>
        <sz val="11"/>
        <color theme="1"/>
        <rFont val="Calibri"/>
        <family val="2"/>
        <scheme val="minor"/>
      </rPr>
      <t>4800</t>
    </r>
    <r>
      <rPr>
        <sz val="11"/>
        <color theme="1"/>
        <rFont val="Calibri"/>
        <family val="2"/>
        <scheme val="minor"/>
      </rPr>
      <t xml:space="preserve"> - Revenue in Lieu of Taxes
</t>
    </r>
    <r>
      <rPr>
        <b/>
        <sz val="11"/>
        <color theme="1"/>
        <rFont val="Calibri"/>
        <family val="2"/>
        <scheme val="minor"/>
      </rPr>
      <t>4900</t>
    </r>
    <r>
      <rPr>
        <sz val="11"/>
        <color theme="1"/>
        <rFont val="Calibri"/>
        <family val="2"/>
        <scheme val="minor"/>
      </rPr>
      <t xml:space="preserve"> - Revenue for/on Behalf of the School District
</t>
    </r>
    <r>
      <rPr>
        <b/>
        <sz val="11"/>
        <color theme="1"/>
        <rFont val="Calibri"/>
        <family val="2"/>
        <scheme val="minor"/>
      </rPr>
      <t>5000</t>
    </r>
    <r>
      <rPr>
        <sz val="11"/>
        <color theme="1"/>
        <rFont val="Calibri"/>
        <family val="2"/>
        <scheme val="minor"/>
      </rPr>
      <t xml:space="preserve"> - Other Financing Sources
</t>
    </r>
    <r>
      <rPr>
        <b/>
        <sz val="11"/>
        <color theme="1"/>
        <rFont val="Calibri"/>
        <family val="2"/>
        <scheme val="minor"/>
      </rPr>
      <t>5100</t>
    </r>
    <r>
      <rPr>
        <sz val="11"/>
        <color theme="1"/>
        <rFont val="Calibri"/>
        <family val="2"/>
        <scheme val="minor"/>
      </rPr>
      <t xml:space="preserve"> - Issuance of Bonds
</t>
    </r>
    <r>
      <rPr>
        <b/>
        <sz val="11"/>
        <color theme="1"/>
        <rFont val="Calibri"/>
        <family val="2"/>
        <scheme val="minor"/>
      </rPr>
      <t>5110</t>
    </r>
    <r>
      <rPr>
        <sz val="11"/>
        <color theme="1"/>
        <rFont val="Calibri"/>
        <family val="2"/>
        <scheme val="minor"/>
      </rPr>
      <t xml:space="preserve"> - Bond Principal
</t>
    </r>
    <r>
      <rPr>
        <b/>
        <sz val="11"/>
        <color theme="1"/>
        <rFont val="Calibri"/>
        <family val="2"/>
        <scheme val="minor"/>
      </rPr>
      <t>5120</t>
    </r>
    <r>
      <rPr>
        <sz val="11"/>
        <color theme="1"/>
        <rFont val="Calibri"/>
        <family val="2"/>
        <scheme val="minor"/>
      </rPr>
      <t xml:space="preserve"> - Premium on the Issuance of Bonds
</t>
    </r>
    <r>
      <rPr>
        <b/>
        <sz val="11"/>
        <color theme="1"/>
        <rFont val="Calibri"/>
        <family val="2"/>
        <scheme val="minor"/>
      </rPr>
      <t>5200</t>
    </r>
    <r>
      <rPr>
        <sz val="11"/>
        <color theme="1"/>
        <rFont val="Calibri"/>
        <family val="2"/>
        <scheme val="minor"/>
      </rPr>
      <t xml:space="preserve"> - Fund Transfers In
</t>
    </r>
    <r>
      <rPr>
        <b/>
        <sz val="11"/>
        <color theme="1"/>
        <rFont val="Calibri"/>
        <family val="2"/>
        <scheme val="minor"/>
      </rPr>
      <t>5300</t>
    </r>
    <r>
      <rPr>
        <sz val="11"/>
        <color theme="1"/>
        <rFont val="Calibri"/>
        <family val="2"/>
        <scheme val="minor"/>
      </rPr>
      <t xml:space="preserve"> - Proceeds From the Disposal of Real or Personal Property
</t>
    </r>
    <r>
      <rPr>
        <b/>
        <sz val="11"/>
        <color theme="1"/>
        <rFont val="Calibri"/>
        <family val="2"/>
        <scheme val="minor"/>
      </rPr>
      <t>5400</t>
    </r>
    <r>
      <rPr>
        <sz val="11"/>
        <color theme="1"/>
        <rFont val="Calibri"/>
        <family val="2"/>
        <scheme val="minor"/>
      </rPr>
      <t xml:space="preserve"> - Loan Proceeds
</t>
    </r>
    <r>
      <rPr>
        <b/>
        <sz val="11"/>
        <color theme="1"/>
        <rFont val="Calibri"/>
        <family val="2"/>
        <scheme val="minor"/>
      </rPr>
      <t>5500</t>
    </r>
    <r>
      <rPr>
        <sz val="11"/>
        <color theme="1"/>
        <rFont val="Calibri"/>
        <family val="2"/>
        <scheme val="minor"/>
      </rPr>
      <t xml:space="preserve"> - Capital Lease Proceeds
</t>
    </r>
    <r>
      <rPr>
        <b/>
        <sz val="11"/>
        <color theme="1"/>
        <rFont val="Calibri"/>
        <family val="2"/>
        <scheme val="minor"/>
      </rPr>
      <t>5600</t>
    </r>
    <r>
      <rPr>
        <sz val="11"/>
        <color theme="1"/>
        <rFont val="Calibri"/>
        <family val="2"/>
        <scheme val="minor"/>
      </rPr>
      <t xml:space="preserve"> - Other Long-Term Debt Proceeds
</t>
    </r>
    <r>
      <rPr>
        <b/>
        <sz val="11"/>
        <color theme="1"/>
        <rFont val="Calibri"/>
        <family val="2"/>
        <scheme val="minor"/>
      </rPr>
      <t>6100</t>
    </r>
    <r>
      <rPr>
        <sz val="11"/>
        <color theme="1"/>
        <rFont val="Calibri"/>
        <family val="2"/>
        <scheme val="minor"/>
      </rPr>
      <t xml:space="preserve"> - Capital Contributions
</t>
    </r>
    <r>
      <rPr>
        <b/>
        <sz val="11"/>
        <color theme="1"/>
        <rFont val="Calibri"/>
        <family val="2"/>
        <scheme val="minor"/>
      </rPr>
      <t>6200</t>
    </r>
    <r>
      <rPr>
        <sz val="11"/>
        <color theme="1"/>
        <rFont val="Calibri"/>
        <family val="2"/>
        <scheme val="minor"/>
      </rPr>
      <t xml:space="preserve"> - Amortization of Premium on Issuance of Bonds
</t>
    </r>
    <r>
      <rPr>
        <b/>
        <sz val="11"/>
        <color theme="1"/>
        <rFont val="Calibri"/>
        <family val="2"/>
        <scheme val="minor"/>
      </rPr>
      <t>6300</t>
    </r>
    <r>
      <rPr>
        <sz val="11"/>
        <color theme="1"/>
        <rFont val="Calibri"/>
        <family val="2"/>
        <scheme val="minor"/>
      </rPr>
      <t xml:space="preserve"> - Special Items
</t>
    </r>
    <r>
      <rPr>
        <b/>
        <sz val="11"/>
        <color theme="1"/>
        <rFont val="Calibri"/>
        <family val="2"/>
        <scheme val="minor"/>
      </rPr>
      <t>6400</t>
    </r>
    <r>
      <rPr>
        <sz val="11"/>
        <color theme="1"/>
        <rFont val="Calibri"/>
        <family val="2"/>
        <scheme val="minor"/>
      </rPr>
      <t xml:space="preserve"> - Extraordinary Items
</t>
    </r>
  </si>
  <si>
    <r>
      <t>Handguns</t>
    </r>
    <r>
      <rPr>
        <sz val="11"/>
        <color theme="1"/>
        <rFont val="Calibri"/>
        <family val="2"/>
        <scheme val="minor"/>
      </rPr>
      <t xml:space="preserve"> - Handguns
</t>
    </r>
    <r>
      <rPr>
        <b/>
        <sz val="11"/>
        <color theme="1"/>
        <rFont val="Calibri"/>
        <family val="2"/>
        <scheme val="minor"/>
      </rPr>
      <t>RiflesShotguns</t>
    </r>
    <r>
      <rPr>
        <sz val="11"/>
        <color theme="1"/>
        <rFont val="Calibri"/>
        <family val="2"/>
        <scheme val="minor"/>
      </rPr>
      <t xml:space="preserve"> - Rifles / Shotguns
</t>
    </r>
    <r>
      <rPr>
        <b/>
        <sz val="11"/>
        <color theme="1"/>
        <rFont val="Calibri"/>
        <family val="2"/>
        <scheme val="minor"/>
      </rPr>
      <t>Multiple</t>
    </r>
    <r>
      <rPr>
        <sz val="11"/>
        <color theme="1"/>
        <rFont val="Calibri"/>
        <family val="2"/>
        <scheme val="minor"/>
      </rPr>
      <t xml:space="preserve"> - More than one type of weapon or firearm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</si>
  <si>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Health insurance
</t>
    </r>
    <r>
      <rPr>
        <b/>
        <sz val="11"/>
        <color theme="1"/>
        <rFont val="Calibri"/>
        <family val="2"/>
        <scheme val="minor"/>
      </rPr>
      <t>02</t>
    </r>
    <r>
      <rPr>
        <sz val="11"/>
        <color theme="1"/>
        <rFont val="Calibri"/>
        <family val="2"/>
        <scheme val="minor"/>
      </rPr>
      <t xml:space="preserve"> - Dental insurance
</t>
    </r>
    <r>
      <rPr>
        <b/>
        <sz val="11"/>
        <color theme="1"/>
        <rFont val="Calibri"/>
        <family val="2"/>
        <scheme val="minor"/>
      </rPr>
      <t>03</t>
    </r>
    <r>
      <rPr>
        <sz val="11"/>
        <color theme="1"/>
        <rFont val="Calibri"/>
        <family val="2"/>
        <scheme val="minor"/>
      </rPr>
      <t xml:space="preserve"> - Vision
</t>
    </r>
    <r>
      <rPr>
        <b/>
        <sz val="11"/>
        <color theme="1"/>
        <rFont val="Calibri"/>
        <family val="2"/>
        <scheme val="minor"/>
      </rPr>
      <t>04</t>
    </r>
    <r>
      <rPr>
        <sz val="11"/>
        <color theme="1"/>
        <rFont val="Calibri"/>
        <family val="2"/>
        <scheme val="minor"/>
      </rPr>
      <t xml:space="preserve"> - Disability insurance
</t>
    </r>
    <r>
      <rPr>
        <b/>
        <sz val="11"/>
        <color theme="1"/>
        <rFont val="Calibri"/>
        <family val="2"/>
        <scheme val="minor"/>
      </rPr>
      <t>05</t>
    </r>
    <r>
      <rPr>
        <sz val="11"/>
        <color theme="1"/>
        <rFont val="Calibri"/>
        <family val="2"/>
        <scheme val="minor"/>
      </rPr>
      <t xml:space="preserve"> - Retirement
</t>
    </r>
    <r>
      <rPr>
        <b/>
        <sz val="11"/>
        <color theme="1"/>
        <rFont val="Calibri"/>
        <family val="2"/>
        <scheme val="minor"/>
      </rPr>
      <t>06</t>
    </r>
    <r>
      <rPr>
        <sz val="11"/>
        <color theme="1"/>
        <rFont val="Calibri"/>
        <family val="2"/>
        <scheme val="minor"/>
      </rPr>
      <t xml:space="preserve"> - Professional membership fees paid
</t>
    </r>
    <r>
      <rPr>
        <b/>
        <sz val="11"/>
        <color theme="1"/>
        <rFont val="Calibri"/>
        <family val="2"/>
        <scheme val="minor"/>
      </rPr>
      <t>07</t>
    </r>
    <r>
      <rPr>
        <sz val="11"/>
        <color theme="1"/>
        <rFont val="Calibri"/>
        <family val="2"/>
        <scheme val="minor"/>
      </rPr>
      <t xml:space="preserve"> - Sick leave
</t>
    </r>
    <r>
      <rPr>
        <b/>
        <sz val="11"/>
        <color theme="1"/>
        <rFont val="Calibri"/>
        <family val="2"/>
        <scheme val="minor"/>
      </rPr>
      <t>08</t>
    </r>
    <r>
      <rPr>
        <sz val="11"/>
        <color theme="1"/>
        <rFont val="Calibri"/>
        <family val="2"/>
        <scheme val="minor"/>
      </rPr>
      <t xml:space="preserve"> - Leave
</t>
    </r>
    <r>
      <rPr>
        <b/>
        <sz val="11"/>
        <color theme="1"/>
        <rFont val="Calibri"/>
        <family val="2"/>
        <scheme val="minor"/>
      </rPr>
      <t>09</t>
    </r>
    <r>
      <rPr>
        <sz val="11"/>
        <color theme="1"/>
        <rFont val="Calibri"/>
        <family val="2"/>
        <scheme val="minor"/>
      </rPr>
      <t xml:space="preserve"> - Vacation
</t>
    </r>
    <r>
      <rPr>
        <b/>
        <sz val="11"/>
        <color theme="1"/>
        <rFont val="Calibri"/>
        <family val="2"/>
        <scheme val="minor"/>
      </rPr>
      <t>10</t>
    </r>
    <r>
      <rPr>
        <sz val="11"/>
        <color theme="1"/>
        <rFont val="Calibri"/>
        <family val="2"/>
        <scheme val="minor"/>
      </rPr>
      <t xml:space="preserve"> - Holiday
</t>
    </r>
    <r>
      <rPr>
        <b/>
        <sz val="11"/>
        <color theme="1"/>
        <rFont val="Calibri"/>
        <family val="2"/>
        <scheme val="minor"/>
      </rPr>
      <t>11</t>
    </r>
    <r>
      <rPr>
        <sz val="11"/>
        <color theme="1"/>
        <rFont val="Calibri"/>
        <family val="2"/>
        <scheme val="minor"/>
      </rPr>
      <t xml:space="preserve"> - Personal leave
</t>
    </r>
    <r>
      <rPr>
        <b/>
        <sz val="11"/>
        <color theme="1"/>
        <rFont val="Calibri"/>
        <family val="2"/>
        <scheme val="minor"/>
      </rPr>
      <t>12</t>
    </r>
    <r>
      <rPr>
        <sz val="11"/>
        <color theme="1"/>
        <rFont val="Calibri"/>
        <family val="2"/>
        <scheme val="minor"/>
      </rPr>
      <t xml:space="preserve"> - Family leave
</t>
    </r>
    <r>
      <rPr>
        <b/>
        <sz val="11"/>
        <color theme="1"/>
        <rFont val="Calibri"/>
        <family val="2"/>
        <scheme val="minor"/>
      </rPr>
      <t>13</t>
    </r>
    <r>
      <rPr>
        <sz val="11"/>
        <color theme="1"/>
        <rFont val="Calibri"/>
        <family val="2"/>
        <scheme val="minor"/>
      </rPr>
      <t xml:space="preserve"> - Bereavement leave
</t>
    </r>
    <r>
      <rPr>
        <b/>
        <sz val="11"/>
        <color theme="1"/>
        <rFont val="Calibri"/>
        <family val="2"/>
        <scheme val="minor"/>
      </rPr>
      <t>14</t>
    </r>
    <r>
      <rPr>
        <sz val="11"/>
        <color theme="1"/>
        <rFont val="Calibri"/>
        <family val="2"/>
        <scheme val="minor"/>
      </rPr>
      <t xml:space="preserve"> - Jury duty leave
</t>
    </r>
    <r>
      <rPr>
        <b/>
        <sz val="11"/>
        <color theme="1"/>
        <rFont val="Calibri"/>
        <family val="2"/>
        <scheme val="minor"/>
      </rPr>
      <t>15</t>
    </r>
    <r>
      <rPr>
        <sz val="11"/>
        <color theme="1"/>
        <rFont val="Calibri"/>
        <family val="2"/>
        <scheme val="minor"/>
      </rPr>
      <t xml:space="preserve"> - Life insurance
</t>
    </r>
    <r>
      <rPr>
        <b/>
        <sz val="11"/>
        <color theme="1"/>
        <rFont val="Calibri"/>
        <family val="2"/>
        <scheme val="minor"/>
      </rPr>
      <t>16</t>
    </r>
    <r>
      <rPr>
        <sz val="11"/>
        <color theme="1"/>
        <rFont val="Calibri"/>
        <family val="2"/>
        <scheme val="minor"/>
      </rPr>
      <t xml:space="preserve"> - Maternity leave
</t>
    </r>
    <r>
      <rPr>
        <b/>
        <sz val="11"/>
        <color theme="1"/>
        <rFont val="Calibri"/>
        <family val="2"/>
        <scheme val="minor"/>
      </rPr>
      <t>17</t>
    </r>
    <r>
      <rPr>
        <sz val="11"/>
        <color theme="1"/>
        <rFont val="Calibri"/>
        <family val="2"/>
        <scheme val="minor"/>
      </rPr>
      <t xml:space="preserve"> - Paternity leave
</t>
    </r>
    <r>
      <rPr>
        <b/>
        <sz val="11"/>
        <color theme="1"/>
        <rFont val="Calibri"/>
        <family val="2"/>
        <scheme val="minor"/>
      </rPr>
      <t>18</t>
    </r>
    <r>
      <rPr>
        <sz val="11"/>
        <color theme="1"/>
        <rFont val="Calibri"/>
        <family val="2"/>
        <scheme val="minor"/>
      </rPr>
      <t xml:space="preserve"> - Family medical leave
</t>
    </r>
    <r>
      <rPr>
        <b/>
        <sz val="11"/>
        <color theme="1"/>
        <rFont val="Calibri"/>
        <family val="2"/>
        <scheme val="minor"/>
      </rPr>
      <t>19</t>
    </r>
    <r>
      <rPr>
        <sz val="11"/>
        <color theme="1"/>
        <rFont val="Calibri"/>
        <family val="2"/>
        <scheme val="minor"/>
      </rPr>
      <t xml:space="preserve"> - Flex plan-dependent care
</t>
    </r>
    <r>
      <rPr>
        <b/>
        <sz val="11"/>
        <color theme="1"/>
        <rFont val="Calibri"/>
        <family val="2"/>
        <scheme val="minor"/>
      </rPr>
      <t>20</t>
    </r>
    <r>
      <rPr>
        <sz val="11"/>
        <color theme="1"/>
        <rFont val="Calibri"/>
        <family val="2"/>
        <scheme val="minor"/>
      </rPr>
      <t xml:space="preserve"> - Flex plan-medical (MSA/HSA)
</t>
    </r>
    <r>
      <rPr>
        <b/>
        <sz val="11"/>
        <color theme="1"/>
        <rFont val="Calibri"/>
        <family val="2"/>
        <scheme val="minor"/>
      </rPr>
      <t>21</t>
    </r>
    <r>
      <rPr>
        <sz val="11"/>
        <color theme="1"/>
        <rFont val="Calibri"/>
        <family val="2"/>
        <scheme val="minor"/>
      </rPr>
      <t xml:space="preserve"> - Transportation
</t>
    </r>
    <r>
      <rPr>
        <b/>
        <sz val="11"/>
        <color theme="1"/>
        <rFont val="Calibri"/>
        <family val="2"/>
        <scheme val="minor"/>
      </rPr>
      <t>22</t>
    </r>
    <r>
      <rPr>
        <sz val="11"/>
        <color theme="1"/>
        <rFont val="Calibri"/>
        <family val="2"/>
        <scheme val="minor"/>
      </rPr>
      <t xml:space="preserve"> - Parking
</t>
    </r>
    <r>
      <rPr>
        <b/>
        <sz val="11"/>
        <color theme="1"/>
        <rFont val="Calibri"/>
        <family val="2"/>
        <scheme val="minor"/>
      </rPr>
      <t>23</t>
    </r>
    <r>
      <rPr>
        <sz val="11"/>
        <color theme="1"/>
        <rFont val="Calibri"/>
        <family val="2"/>
        <scheme val="minor"/>
      </rPr>
      <t xml:space="preserve"> - Flex schedule/time
</t>
    </r>
    <r>
      <rPr>
        <b/>
        <sz val="11"/>
        <color theme="1"/>
        <rFont val="Calibri"/>
        <family val="2"/>
        <scheme val="minor"/>
      </rPr>
      <t>24</t>
    </r>
    <r>
      <rPr>
        <sz val="11"/>
        <color theme="1"/>
        <rFont val="Calibri"/>
        <family val="2"/>
        <scheme val="minor"/>
      </rPr>
      <t xml:space="preserve"> - Employee Assistance Program (EAP)
</t>
    </r>
    <r>
      <rPr>
        <b/>
        <sz val="11"/>
        <color theme="1"/>
        <rFont val="Calibri"/>
        <family val="2"/>
        <scheme val="minor"/>
      </rPr>
      <t>25</t>
    </r>
    <r>
      <rPr>
        <sz val="11"/>
        <color theme="1"/>
        <rFont val="Calibri"/>
        <family val="2"/>
        <scheme val="minor"/>
      </rPr>
      <t xml:space="preserve"> - Paid training
</t>
    </r>
    <r>
      <rPr>
        <b/>
        <sz val="11"/>
        <color theme="1"/>
        <rFont val="Calibri"/>
        <family val="2"/>
        <scheme val="minor"/>
      </rPr>
      <t>26</t>
    </r>
    <r>
      <rPr>
        <sz val="11"/>
        <color theme="1"/>
        <rFont val="Calibri"/>
        <family val="2"/>
        <scheme val="minor"/>
      </rPr>
      <t xml:space="preserve"> - Tuition reimbursement
</t>
    </r>
    <r>
      <rPr>
        <b/>
        <sz val="11"/>
        <color theme="1"/>
        <rFont val="Calibri"/>
        <family val="2"/>
        <scheme val="minor"/>
      </rPr>
      <t>27</t>
    </r>
    <r>
      <rPr>
        <sz val="11"/>
        <color theme="1"/>
        <rFont val="Calibri"/>
        <family val="2"/>
        <scheme val="minor"/>
      </rPr>
      <t xml:space="preserve"> - Child care fee assistance
</t>
    </r>
    <r>
      <rPr>
        <b/>
        <sz val="11"/>
        <color theme="1"/>
        <rFont val="Calibri"/>
        <family val="2"/>
        <scheme val="minor"/>
      </rPr>
      <t>28</t>
    </r>
    <r>
      <rPr>
        <sz val="11"/>
        <color theme="1"/>
        <rFont val="Calibri"/>
        <family val="2"/>
        <scheme val="minor"/>
      </rPr>
      <t xml:space="preserve"> - Bonus
</t>
    </r>
  </si>
  <si>
    <r>
      <t>01</t>
    </r>
    <r>
      <rPr>
        <sz val="11"/>
        <color theme="1"/>
        <rFont val="Calibri"/>
        <family val="2"/>
        <scheme val="minor"/>
      </rPr>
      <t xml:space="preserve"> - Obtain a job
</t>
    </r>
    <r>
      <rPr>
        <b/>
        <sz val="11"/>
        <color theme="1"/>
        <rFont val="Calibri"/>
        <family val="2"/>
        <scheme val="minor"/>
      </rPr>
      <t>02</t>
    </r>
    <r>
      <rPr>
        <sz val="11"/>
        <color theme="1"/>
        <rFont val="Calibri"/>
        <family val="2"/>
        <scheme val="minor"/>
      </rPr>
      <t xml:space="preserve"> - Retain current job
</t>
    </r>
    <r>
      <rPr>
        <b/>
        <sz val="11"/>
        <color theme="1"/>
        <rFont val="Calibri"/>
        <family val="2"/>
        <scheme val="minor"/>
      </rPr>
      <t>03</t>
    </r>
    <r>
      <rPr>
        <sz val="11"/>
        <color theme="1"/>
        <rFont val="Calibri"/>
        <family val="2"/>
        <scheme val="minor"/>
      </rPr>
      <t xml:space="preserve"> - Earn a secondary school diploma or achieve GED certificate
</t>
    </r>
    <r>
      <rPr>
        <b/>
        <sz val="11"/>
        <color theme="1"/>
        <rFont val="Calibri"/>
        <family val="2"/>
        <scheme val="minor"/>
      </rPr>
      <t>04</t>
    </r>
    <r>
      <rPr>
        <sz val="11"/>
        <color theme="1"/>
        <rFont val="Calibri"/>
        <family val="2"/>
        <scheme val="minor"/>
      </rPr>
      <t xml:space="preserve"> - Enter postsecondary education or job training
</t>
    </r>
    <r>
      <rPr>
        <b/>
        <sz val="11"/>
        <color theme="1"/>
        <rFont val="Calibri"/>
        <family val="2"/>
        <scheme val="minor"/>
      </rPr>
      <t>05</t>
    </r>
    <r>
      <rPr>
        <sz val="11"/>
        <color theme="1"/>
        <rFont val="Calibri"/>
        <family val="2"/>
        <scheme val="minor"/>
      </rPr>
      <t xml:space="preserve"> - Improve basic literacy skills
</t>
    </r>
    <r>
      <rPr>
        <b/>
        <sz val="11"/>
        <color theme="1"/>
        <rFont val="Calibri"/>
        <family val="2"/>
        <scheme val="minor"/>
      </rPr>
      <t>06</t>
    </r>
    <r>
      <rPr>
        <sz val="11"/>
        <color theme="1"/>
        <rFont val="Calibri"/>
        <family val="2"/>
        <scheme val="minor"/>
      </rPr>
      <t xml:space="preserve"> - Improve English language skills
</t>
    </r>
    <r>
      <rPr>
        <b/>
        <sz val="11"/>
        <color theme="1"/>
        <rFont val="Calibri"/>
        <family val="2"/>
        <scheme val="minor"/>
      </rPr>
      <t>07</t>
    </r>
    <r>
      <rPr>
        <sz val="11"/>
        <color theme="1"/>
        <rFont val="Calibri"/>
        <family val="2"/>
        <scheme val="minor"/>
      </rPr>
      <t xml:space="preserve"> - Obtain citizenship skills
</t>
    </r>
    <r>
      <rPr>
        <b/>
        <sz val="11"/>
        <color theme="1"/>
        <rFont val="Calibri"/>
        <family val="2"/>
        <scheme val="minor"/>
      </rPr>
      <t>08</t>
    </r>
    <r>
      <rPr>
        <sz val="11"/>
        <color theme="1"/>
        <rFont val="Calibri"/>
        <family val="2"/>
        <scheme val="minor"/>
      </rPr>
      <t xml:space="preserve"> - Achieve work-based project learner goals
</t>
    </r>
    <r>
      <rPr>
        <b/>
        <sz val="11"/>
        <color theme="1"/>
        <rFont val="Calibri"/>
        <family val="2"/>
        <scheme val="minor"/>
      </rPr>
      <t>09</t>
    </r>
    <r>
      <rPr>
        <sz val="11"/>
        <color theme="1"/>
        <rFont val="Calibri"/>
        <family val="2"/>
        <scheme val="minor"/>
      </rPr>
      <t xml:space="preserve"> - Other personal goals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</si>
  <si>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OutOfSchool</t>
    </r>
    <r>
      <rPr>
        <sz val="11"/>
        <color theme="1"/>
        <rFont val="Calibri"/>
        <family val="2"/>
        <scheme val="minor"/>
      </rPr>
      <t xml:space="preserve"> - Out of school
</t>
    </r>
  </si>
  <si>
    <r>
      <t>HighSchool</t>
    </r>
    <r>
      <rPr>
        <sz val="11"/>
        <color theme="1"/>
        <rFont val="Calibri"/>
        <family val="2"/>
        <scheme val="minor"/>
      </rPr>
      <t xml:space="preserve"> - High School
</t>
    </r>
    <r>
      <rPr>
        <b/>
        <sz val="11"/>
        <color theme="1"/>
        <rFont val="Calibri"/>
        <family val="2"/>
        <scheme val="minor"/>
      </rPr>
      <t>PSUndergraduate</t>
    </r>
    <r>
      <rPr>
        <sz val="11"/>
        <color theme="1"/>
        <rFont val="Calibri"/>
        <family val="2"/>
        <scheme val="minor"/>
      </rPr>
      <t xml:space="preserve"> - Postsecondary Undergraduate
</t>
    </r>
    <r>
      <rPr>
        <b/>
        <sz val="11"/>
        <color theme="1"/>
        <rFont val="Calibri"/>
        <family val="2"/>
        <scheme val="minor"/>
      </rPr>
      <t>PSTransfer</t>
    </r>
    <r>
      <rPr>
        <sz val="11"/>
        <color theme="1"/>
        <rFont val="Calibri"/>
        <family val="2"/>
        <scheme val="minor"/>
      </rPr>
      <t xml:space="preserve"> - Postsecondary Transfer Institution
</t>
    </r>
    <r>
      <rPr>
        <b/>
        <sz val="11"/>
        <color theme="1"/>
        <rFont val="Calibri"/>
        <family val="2"/>
        <scheme val="minor"/>
      </rPr>
      <t>PSGraduate</t>
    </r>
    <r>
      <rPr>
        <sz val="11"/>
        <color theme="1"/>
        <rFont val="Calibri"/>
        <family val="2"/>
        <scheme val="minor"/>
      </rPr>
      <t xml:space="preserve"> - Postsecondary Graduate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</si>
  <si>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ABE</t>
    </r>
    <r>
      <rPr>
        <sz val="11"/>
        <color theme="1"/>
        <rFont val="Calibri"/>
        <family val="2"/>
        <scheme val="minor"/>
      </rPr>
      <t xml:space="preserve"> - Adult Basic Education
</t>
    </r>
    <r>
      <rPr>
        <b/>
        <sz val="11"/>
        <color theme="1"/>
        <rFont val="Calibri"/>
        <family val="2"/>
        <scheme val="minor"/>
      </rPr>
      <t>ASE</t>
    </r>
    <r>
      <rPr>
        <sz val="11"/>
        <color theme="1"/>
        <rFont val="Calibri"/>
        <family val="2"/>
        <scheme val="minor"/>
      </rPr>
      <t xml:space="preserve"> - Adult Secondary Education
</t>
    </r>
    <r>
      <rPr>
        <b/>
        <sz val="11"/>
        <color theme="1"/>
        <rFont val="Calibri"/>
        <family val="2"/>
        <scheme val="minor"/>
      </rPr>
      <t>AdultESL</t>
    </r>
    <r>
      <rPr>
        <sz val="11"/>
        <color theme="1"/>
        <rFont val="Calibri"/>
        <family val="2"/>
        <scheme val="minor"/>
      </rPr>
      <t xml:space="preserve"> - Adult English as a Second Language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</si>
  <si>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Teaching
</t>
    </r>
    <r>
      <rPr>
        <b/>
        <sz val="11"/>
        <color theme="1"/>
        <rFont val="Calibri"/>
        <family val="2"/>
        <scheme val="minor"/>
      </rPr>
      <t>02</t>
    </r>
    <r>
      <rPr>
        <sz val="11"/>
        <color theme="1"/>
        <rFont val="Calibri"/>
        <family val="2"/>
        <scheme val="minor"/>
      </rPr>
      <t xml:space="preserve"> - Research
</t>
    </r>
    <r>
      <rPr>
        <b/>
        <sz val="11"/>
        <color theme="1"/>
        <rFont val="Calibri"/>
        <family val="2"/>
        <scheme val="minor"/>
      </rPr>
      <t>03</t>
    </r>
    <r>
      <rPr>
        <sz val="11"/>
        <color theme="1"/>
        <rFont val="Calibri"/>
        <family val="2"/>
        <scheme val="minor"/>
      </rPr>
      <t xml:space="preserve"> - Management Occupations
</t>
    </r>
    <r>
      <rPr>
        <b/>
        <sz val="11"/>
        <color theme="1"/>
        <rFont val="Calibri"/>
        <family val="2"/>
        <scheme val="minor"/>
      </rPr>
      <t>04</t>
    </r>
    <r>
      <rPr>
        <sz val="11"/>
        <color theme="1"/>
        <rFont val="Calibri"/>
        <family val="2"/>
        <scheme val="minor"/>
      </rPr>
      <t xml:space="preserve"> - Business and Financial Occupations
</t>
    </r>
    <r>
      <rPr>
        <b/>
        <sz val="11"/>
        <color theme="1"/>
        <rFont val="Calibri"/>
        <family val="2"/>
        <scheme val="minor"/>
      </rPr>
      <t>05</t>
    </r>
    <r>
      <rPr>
        <sz val="11"/>
        <color theme="1"/>
        <rFont val="Calibri"/>
        <family val="2"/>
        <scheme val="minor"/>
      </rPr>
      <t xml:space="preserve"> - Computer, Engineering and Science Occupations
</t>
    </r>
    <r>
      <rPr>
        <b/>
        <sz val="11"/>
        <color theme="1"/>
        <rFont val="Calibri"/>
        <family val="2"/>
        <scheme val="minor"/>
      </rPr>
      <t>06</t>
    </r>
    <r>
      <rPr>
        <sz val="11"/>
        <color theme="1"/>
        <rFont val="Calibri"/>
        <family val="2"/>
        <scheme val="minor"/>
      </rPr>
      <t xml:space="preserve"> - Community Service, Legal, Arts and Media Occupations
</t>
    </r>
    <r>
      <rPr>
        <b/>
        <sz val="11"/>
        <color theme="1"/>
        <rFont val="Calibri"/>
        <family val="2"/>
        <scheme val="minor"/>
      </rPr>
      <t>07</t>
    </r>
    <r>
      <rPr>
        <sz val="11"/>
        <color theme="1"/>
        <rFont val="Calibri"/>
        <family val="2"/>
        <scheme val="minor"/>
      </rPr>
      <t xml:space="preserve"> - Library and Non-postsecondary Teaching
</t>
    </r>
    <r>
      <rPr>
        <b/>
        <sz val="11"/>
        <color theme="1"/>
        <rFont val="Calibri"/>
        <family val="2"/>
        <scheme val="minor"/>
      </rPr>
      <t>08</t>
    </r>
    <r>
      <rPr>
        <sz val="11"/>
        <color theme="1"/>
        <rFont val="Calibri"/>
        <family val="2"/>
        <scheme val="minor"/>
      </rPr>
      <t xml:space="preserve"> - Healthcare Practitioners and Technical Occupations
</t>
    </r>
  </si>
  <si>
    <r>
      <t>NotRequired</t>
    </r>
    <r>
      <rPr>
        <sz val="11"/>
        <color theme="1"/>
        <rFont val="Calibri"/>
        <family val="2"/>
        <scheme val="minor"/>
      </rPr>
      <t xml:space="preserve"> - Exam not required
</t>
    </r>
    <r>
      <rPr>
        <b/>
        <sz val="11"/>
        <color theme="1"/>
        <rFont val="Calibri"/>
        <family val="2"/>
        <scheme val="minor"/>
      </rPr>
      <t>NotTaken</t>
    </r>
    <r>
      <rPr>
        <sz val="11"/>
        <color theme="1"/>
        <rFont val="Calibri"/>
        <family val="2"/>
        <scheme val="minor"/>
      </rPr>
      <t xml:space="preserve"> - Exam required but not taken
</t>
    </r>
    <r>
      <rPr>
        <b/>
        <sz val="11"/>
        <color theme="1"/>
        <rFont val="Calibri"/>
        <family val="2"/>
        <scheme val="minor"/>
      </rPr>
      <t>Waived</t>
    </r>
    <r>
      <rPr>
        <sz val="11"/>
        <color theme="1"/>
        <rFont val="Calibri"/>
        <family val="2"/>
        <scheme val="minor"/>
      </rPr>
      <t xml:space="preserve"> - Exam waived
</t>
    </r>
    <r>
      <rPr>
        <b/>
        <sz val="11"/>
        <color theme="1"/>
        <rFont val="Calibri"/>
        <family val="2"/>
        <scheme val="minor"/>
      </rPr>
      <t>Passed</t>
    </r>
    <r>
      <rPr>
        <sz val="11"/>
        <color theme="1"/>
        <rFont val="Calibri"/>
        <family val="2"/>
        <scheme val="minor"/>
      </rPr>
      <t xml:space="preserve"> - Exam taken and passed
</t>
    </r>
    <r>
      <rPr>
        <b/>
        <sz val="11"/>
        <color theme="1"/>
        <rFont val="Calibri"/>
        <family val="2"/>
        <scheme val="minor"/>
      </rPr>
      <t>Failed</t>
    </r>
    <r>
      <rPr>
        <sz val="11"/>
        <color theme="1"/>
        <rFont val="Calibri"/>
        <family val="2"/>
        <scheme val="minor"/>
      </rPr>
      <t xml:space="preserve"> - Exam taken and failed
</t>
    </r>
  </si>
  <si>
    <r>
      <t>YesReportingOffenses</t>
    </r>
    <r>
      <rPr>
        <sz val="11"/>
        <color theme="1"/>
        <rFont val="Calibri"/>
        <family val="2"/>
        <scheme val="minor"/>
      </rPr>
      <t xml:space="preserve"> - Yes, with reporting of one or more students for an offense
</t>
    </r>
    <r>
      <rPr>
        <b/>
        <sz val="11"/>
        <color theme="1"/>
        <rFont val="Calibri"/>
        <family val="2"/>
        <scheme val="minor"/>
      </rPr>
      <t>YesNoReportedOffenses</t>
    </r>
    <r>
      <rPr>
        <sz val="11"/>
        <color theme="1"/>
        <rFont val="Calibri"/>
        <family val="2"/>
        <scheme val="minor"/>
      </rPr>
      <t xml:space="preserve"> - Yes, with no reported offenses
</t>
    </r>
    <r>
      <rPr>
        <b/>
        <sz val="11"/>
        <color theme="1"/>
        <rFont val="Calibri"/>
        <family val="2"/>
        <scheme val="minor"/>
      </rPr>
      <t>No</t>
    </r>
    <r>
      <rPr>
        <sz val="11"/>
        <color theme="1"/>
        <rFont val="Calibri"/>
        <family val="2"/>
        <scheme val="minor"/>
      </rPr>
      <t xml:space="preserve">
</t>
    </r>
    <r>
      <rPr>
        <b/>
        <sz val="11"/>
        <color theme="1"/>
        <rFont val="Calibri"/>
        <family val="2"/>
        <scheme val="minor"/>
      </rPr>
      <t>NA</t>
    </r>
    <r>
      <rPr>
        <sz val="11"/>
        <color theme="1"/>
        <rFont val="Calibri"/>
        <family val="2"/>
        <scheme val="minor"/>
      </rPr>
      <t xml:space="preserve"> - Not applicable
</t>
    </r>
  </si>
  <si>
    <r>
      <t>Passed</t>
    </r>
    <r>
      <rPr>
        <sz val="11"/>
        <color theme="1"/>
        <rFont val="Calibri"/>
        <family val="2"/>
        <scheme val="minor"/>
      </rPr>
      <t xml:space="preserve"> - Passed
</t>
    </r>
    <r>
      <rPr>
        <b/>
        <sz val="11"/>
        <color theme="1"/>
        <rFont val="Calibri"/>
        <family val="2"/>
        <scheme val="minor"/>
      </rPr>
      <t>FurtherEvaluation</t>
    </r>
    <r>
      <rPr>
        <sz val="11"/>
        <color theme="1"/>
        <rFont val="Calibri"/>
        <family val="2"/>
        <scheme val="minor"/>
      </rPr>
      <t xml:space="preserve"> - Further Evaluation Needed
</t>
    </r>
  </si>
  <si>
    <r>
      <t>Minimum</t>
    </r>
    <r>
      <rPr>
        <sz val="11"/>
        <color theme="1"/>
        <rFont val="Calibri"/>
        <family val="2"/>
        <scheme val="minor"/>
      </rPr>
      <t xml:space="preserve"> - Minimum
</t>
    </r>
    <r>
      <rPr>
        <b/>
        <sz val="11"/>
        <color theme="1"/>
        <rFont val="Calibri"/>
        <family val="2"/>
        <scheme val="minor"/>
      </rPr>
      <t>Recommended</t>
    </r>
    <r>
      <rPr>
        <sz val="11"/>
        <color theme="1"/>
        <rFont val="Calibri"/>
        <family val="2"/>
        <scheme val="minor"/>
      </rPr>
      <t xml:space="preserve"> - Recommended
</t>
    </r>
    <r>
      <rPr>
        <b/>
        <sz val="11"/>
        <color theme="1"/>
        <rFont val="Calibri"/>
        <family val="2"/>
        <scheme val="minor"/>
      </rPr>
      <t>Distinguished</t>
    </r>
    <r>
      <rPr>
        <sz val="11"/>
        <color theme="1"/>
        <rFont val="Calibri"/>
        <family val="2"/>
        <scheme val="minor"/>
      </rPr>
      <t xml:space="preserve"> - Distinguished
</t>
    </r>
    <r>
      <rPr>
        <b/>
        <sz val="11"/>
        <color theme="1"/>
        <rFont val="Calibri"/>
        <family val="2"/>
        <scheme val="minor"/>
      </rPr>
      <t>OpenEnrollment</t>
    </r>
    <r>
      <rPr>
        <sz val="11"/>
        <color theme="1"/>
        <rFont val="Calibri"/>
        <family val="2"/>
        <scheme val="minor"/>
      </rPr>
      <t xml:space="preserve"> - Open Enrollment
</t>
    </r>
    <r>
      <rPr>
        <b/>
        <sz val="11"/>
        <color theme="1"/>
        <rFont val="Calibri"/>
        <family val="2"/>
        <scheme val="minor"/>
      </rPr>
      <t>MagnaCumLaude</t>
    </r>
    <r>
      <rPr>
        <sz val="11"/>
        <color theme="1"/>
        <rFont val="Calibri"/>
        <family val="2"/>
        <scheme val="minor"/>
      </rPr>
      <t xml:space="preserve"> - Magna cum laude
</t>
    </r>
    <r>
      <rPr>
        <b/>
        <sz val="11"/>
        <color theme="1"/>
        <rFont val="Calibri"/>
        <family val="2"/>
        <scheme val="minor"/>
      </rPr>
      <t>SummaCumLaude</t>
    </r>
    <r>
      <rPr>
        <sz val="11"/>
        <color theme="1"/>
        <rFont val="Calibri"/>
        <family val="2"/>
        <scheme val="minor"/>
      </rPr>
      <t xml:space="preserve"> - Summa cum laude
</t>
    </r>
  </si>
  <si>
    <r>
      <t>00806</t>
    </r>
    <r>
      <rPr>
        <sz val="11"/>
        <color theme="1"/>
        <rFont val="Calibri"/>
        <family val="2"/>
        <scheme val="minor"/>
      </rPr>
      <t xml:space="preserve"> - Regular diploma
</t>
    </r>
    <r>
      <rPr>
        <b/>
        <sz val="11"/>
        <color theme="1"/>
        <rFont val="Calibri"/>
        <family val="2"/>
        <scheme val="minor"/>
      </rPr>
      <t>00807</t>
    </r>
    <r>
      <rPr>
        <sz val="11"/>
        <color theme="1"/>
        <rFont val="Calibri"/>
        <family val="2"/>
        <scheme val="minor"/>
      </rPr>
      <t xml:space="preserve"> - Endorsed/advanced diploma
</t>
    </r>
    <r>
      <rPr>
        <b/>
        <sz val="11"/>
        <color theme="1"/>
        <rFont val="Calibri"/>
        <family val="2"/>
        <scheme val="minor"/>
      </rPr>
      <t>00808</t>
    </r>
    <r>
      <rPr>
        <sz val="11"/>
        <color theme="1"/>
        <rFont val="Calibri"/>
        <family val="2"/>
        <scheme val="minor"/>
      </rPr>
      <t xml:space="preserve"> - Regents diploma
</t>
    </r>
    <r>
      <rPr>
        <b/>
        <sz val="11"/>
        <color theme="1"/>
        <rFont val="Calibri"/>
        <family val="2"/>
        <scheme val="minor"/>
      </rPr>
      <t>00809</t>
    </r>
    <r>
      <rPr>
        <sz val="11"/>
        <color theme="1"/>
        <rFont val="Calibri"/>
        <family val="2"/>
        <scheme val="minor"/>
      </rPr>
      <t xml:space="preserve"> - International Baccalaureate
</t>
    </r>
    <r>
      <rPr>
        <b/>
        <sz val="11"/>
        <color theme="1"/>
        <rFont val="Calibri"/>
        <family val="2"/>
        <scheme val="minor"/>
      </rPr>
      <t>00810</t>
    </r>
    <r>
      <rPr>
        <sz val="11"/>
        <color theme="1"/>
        <rFont val="Calibri"/>
        <family val="2"/>
        <scheme val="minor"/>
      </rPr>
      <t xml:space="preserve"> - Modified diploma
</t>
    </r>
    <r>
      <rPr>
        <b/>
        <sz val="11"/>
        <color theme="1"/>
        <rFont val="Calibri"/>
        <family val="2"/>
        <scheme val="minor"/>
      </rPr>
      <t>00811</t>
    </r>
    <r>
      <rPr>
        <sz val="11"/>
        <color theme="1"/>
        <rFont val="Calibri"/>
        <family val="2"/>
        <scheme val="minor"/>
      </rPr>
      <t xml:space="preserve"> - Other diploma
</t>
    </r>
    <r>
      <rPr>
        <b/>
        <sz val="11"/>
        <color theme="1"/>
        <rFont val="Calibri"/>
        <family val="2"/>
        <scheme val="minor"/>
      </rPr>
      <t>00812</t>
    </r>
    <r>
      <rPr>
        <sz val="11"/>
        <color theme="1"/>
        <rFont val="Calibri"/>
        <family val="2"/>
        <scheme val="minor"/>
      </rPr>
      <t xml:space="preserve"> - Alternative credential
</t>
    </r>
    <r>
      <rPr>
        <b/>
        <sz val="11"/>
        <color theme="1"/>
        <rFont val="Calibri"/>
        <family val="2"/>
        <scheme val="minor"/>
      </rPr>
      <t>00813</t>
    </r>
    <r>
      <rPr>
        <sz val="11"/>
        <color theme="1"/>
        <rFont val="Calibri"/>
        <family val="2"/>
        <scheme val="minor"/>
      </rPr>
      <t xml:space="preserve"> - Certificate of attendance
</t>
    </r>
    <r>
      <rPr>
        <b/>
        <sz val="11"/>
        <color theme="1"/>
        <rFont val="Calibri"/>
        <family val="2"/>
        <scheme val="minor"/>
      </rPr>
      <t>00814</t>
    </r>
    <r>
      <rPr>
        <sz val="11"/>
        <color theme="1"/>
        <rFont val="Calibri"/>
        <family val="2"/>
        <scheme val="minor"/>
      </rPr>
      <t xml:space="preserve"> - Certificate of completion
</t>
    </r>
    <r>
      <rPr>
        <b/>
        <sz val="11"/>
        <color theme="1"/>
        <rFont val="Calibri"/>
        <family val="2"/>
        <scheme val="minor"/>
      </rPr>
      <t>00815</t>
    </r>
    <r>
      <rPr>
        <sz val="11"/>
        <color theme="1"/>
        <rFont val="Calibri"/>
        <family val="2"/>
        <scheme val="minor"/>
      </rPr>
      <t xml:space="preserve"> - High school equivalency credential, other than GED
</t>
    </r>
    <r>
      <rPr>
        <b/>
        <sz val="11"/>
        <color theme="1"/>
        <rFont val="Calibri"/>
        <family val="2"/>
        <scheme val="minor"/>
      </rPr>
      <t>00816</t>
    </r>
    <r>
      <rPr>
        <sz val="11"/>
        <color theme="1"/>
        <rFont val="Calibri"/>
        <family val="2"/>
        <scheme val="minor"/>
      </rPr>
      <t xml:space="preserve"> - General Educational Development (GED) credential
</t>
    </r>
    <r>
      <rPr>
        <b/>
        <sz val="11"/>
        <color theme="1"/>
        <rFont val="Calibri"/>
        <family val="2"/>
        <scheme val="minor"/>
      </rPr>
      <t>00818</t>
    </r>
    <r>
      <rPr>
        <sz val="11"/>
        <color theme="1"/>
        <rFont val="Calibri"/>
        <family val="2"/>
        <scheme val="minor"/>
      </rPr>
      <t xml:space="preserve"> - Post graduate certificate (grade 13)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09999</t>
    </r>
    <r>
      <rPr>
        <sz val="11"/>
        <color theme="1"/>
        <rFont val="Calibri"/>
        <family val="2"/>
        <scheme val="minor"/>
      </rPr>
      <t xml:space="preserve"> - Other
</t>
    </r>
  </si>
  <si>
    <r>
      <t>MetGoal</t>
    </r>
    <r>
      <rPr>
        <sz val="11"/>
        <color theme="1"/>
        <rFont val="Calibri"/>
        <family val="2"/>
        <scheme val="minor"/>
      </rPr>
      <t xml:space="preserve"> - Met (Goal)
</t>
    </r>
    <r>
      <rPr>
        <b/>
        <sz val="11"/>
        <color theme="1"/>
        <rFont val="Calibri"/>
        <family val="2"/>
        <scheme val="minor"/>
      </rPr>
      <t>MetTarget</t>
    </r>
    <r>
      <rPr>
        <sz val="11"/>
        <color theme="1"/>
        <rFont val="Calibri"/>
        <family val="2"/>
        <scheme val="minor"/>
      </rPr>
      <t xml:space="preserve"> - Met (Target)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TooFewStudents</t>
    </r>
    <r>
      <rPr>
        <sz val="11"/>
        <color theme="1"/>
        <rFont val="Calibri"/>
        <family val="2"/>
        <scheme val="minor"/>
      </rPr>
      <t xml:space="preserve"> - Too Few Students
</t>
    </r>
    <r>
      <rPr>
        <b/>
        <sz val="11"/>
        <color theme="1"/>
        <rFont val="Calibri"/>
        <family val="2"/>
        <scheme val="minor"/>
      </rPr>
      <t>NoStudents</t>
    </r>
    <r>
      <rPr>
        <sz val="11"/>
        <color theme="1"/>
        <rFont val="Calibri"/>
        <family val="2"/>
        <scheme val="minor"/>
      </rPr>
      <t xml:space="preserve"> - There are no students in a student subgroup. 
</t>
    </r>
    <r>
      <rPr>
        <b/>
        <sz val="11"/>
        <color theme="1"/>
        <rFont val="Calibri"/>
        <family val="2"/>
        <scheme val="minor"/>
      </rPr>
      <t>NA</t>
    </r>
    <r>
      <rPr>
        <sz val="11"/>
        <color theme="1"/>
        <rFont val="Calibri"/>
        <family val="2"/>
        <scheme val="minor"/>
      </rPr>
      <t xml:space="preserve"> - Not applicable
</t>
    </r>
  </si>
  <si>
    <r>
      <t>Regional</t>
    </r>
    <r>
      <rPr>
        <sz val="11"/>
        <color theme="1"/>
        <rFont val="Calibri"/>
        <family val="2"/>
        <scheme val="minor"/>
      </rPr>
      <t xml:space="preserve"> - Regionally accredited
</t>
    </r>
    <r>
      <rPr>
        <b/>
        <sz val="11"/>
        <color theme="1"/>
        <rFont val="Calibri"/>
        <family val="2"/>
        <scheme val="minor"/>
      </rPr>
      <t>Programmatic</t>
    </r>
    <r>
      <rPr>
        <sz val="11"/>
        <color theme="1"/>
        <rFont val="Calibri"/>
        <family val="2"/>
        <scheme val="minor"/>
      </rPr>
      <t xml:space="preserve"> - Programmatic accreditation
</t>
    </r>
    <r>
      <rPr>
        <b/>
        <sz val="11"/>
        <color theme="1"/>
        <rFont val="Calibri"/>
        <family val="2"/>
        <scheme val="minor"/>
      </rPr>
      <t>National</t>
    </r>
    <r>
      <rPr>
        <sz val="11"/>
        <color theme="1"/>
        <rFont val="Calibri"/>
        <family val="2"/>
        <scheme val="minor"/>
      </rPr>
      <t xml:space="preserve"> - Nationally accredited
</t>
    </r>
    <r>
      <rPr>
        <b/>
        <sz val="11"/>
        <color theme="1"/>
        <rFont val="Calibri"/>
        <family val="2"/>
        <scheme val="minor"/>
      </rPr>
      <t>Faith</t>
    </r>
    <r>
      <rPr>
        <sz val="11"/>
        <color theme="1"/>
        <rFont val="Calibri"/>
        <family val="2"/>
        <scheme val="minor"/>
      </rPr>
      <t xml:space="preserve"> - Faith
</t>
    </r>
    <r>
      <rPr>
        <b/>
        <sz val="11"/>
        <color theme="1"/>
        <rFont val="Calibri"/>
        <family val="2"/>
        <scheme val="minor"/>
      </rPr>
      <t>CareerRelated</t>
    </r>
    <r>
      <rPr>
        <sz val="11"/>
        <color theme="1"/>
        <rFont val="Calibri"/>
        <family val="2"/>
        <scheme val="minor"/>
      </rPr>
      <t xml:space="preserve"> - Career related
</t>
    </r>
    <r>
      <rPr>
        <b/>
        <sz val="11"/>
        <color theme="1"/>
        <rFont val="Calibri"/>
        <family val="2"/>
        <scheme val="minor"/>
      </rPr>
      <t>NotAccredited</t>
    </r>
    <r>
      <rPr>
        <sz val="11"/>
        <color theme="1"/>
        <rFont val="Calibri"/>
        <family val="2"/>
        <scheme val="minor"/>
      </rPr>
      <t xml:space="preserve"> - Not accredited
</t>
    </r>
  </si>
  <si>
    <r>
      <t>01043</t>
    </r>
    <r>
      <rPr>
        <sz val="11"/>
        <color theme="1"/>
        <rFont val="Calibri"/>
        <family val="2"/>
        <scheme val="minor"/>
      </rPr>
      <t xml:space="preserve"> - No school completed 
</t>
    </r>
    <r>
      <rPr>
        <b/>
        <sz val="11"/>
        <color theme="1"/>
        <rFont val="Calibri"/>
        <family val="2"/>
        <scheme val="minor"/>
      </rPr>
      <t>00788</t>
    </r>
    <r>
      <rPr>
        <sz val="11"/>
        <color theme="1"/>
        <rFont val="Calibri"/>
        <family val="2"/>
        <scheme val="minor"/>
      </rPr>
      <t xml:space="preserve"> - Preschool 
</t>
    </r>
    <r>
      <rPr>
        <b/>
        <sz val="11"/>
        <color theme="1"/>
        <rFont val="Calibri"/>
        <family val="2"/>
        <scheme val="minor"/>
      </rPr>
      <t>00805</t>
    </r>
    <r>
      <rPr>
        <sz val="11"/>
        <color theme="1"/>
        <rFont val="Calibri"/>
        <family val="2"/>
        <scheme val="minor"/>
      </rPr>
      <t xml:space="preserve"> - Kindergarten 
</t>
    </r>
    <r>
      <rPr>
        <b/>
        <sz val="11"/>
        <color theme="1"/>
        <rFont val="Calibri"/>
        <family val="2"/>
        <scheme val="minor"/>
      </rPr>
      <t>00790</t>
    </r>
    <r>
      <rPr>
        <sz val="11"/>
        <color theme="1"/>
        <rFont val="Calibri"/>
        <family val="2"/>
        <scheme val="minor"/>
      </rPr>
      <t xml:space="preserve"> - First grade 
</t>
    </r>
    <r>
      <rPr>
        <b/>
        <sz val="11"/>
        <color theme="1"/>
        <rFont val="Calibri"/>
        <family val="2"/>
        <scheme val="minor"/>
      </rPr>
      <t>00791</t>
    </r>
    <r>
      <rPr>
        <sz val="11"/>
        <color theme="1"/>
        <rFont val="Calibri"/>
        <family val="2"/>
        <scheme val="minor"/>
      </rPr>
      <t xml:space="preserve"> - Second grade 
</t>
    </r>
    <r>
      <rPr>
        <b/>
        <sz val="11"/>
        <color theme="1"/>
        <rFont val="Calibri"/>
        <family val="2"/>
        <scheme val="minor"/>
      </rPr>
      <t>00792</t>
    </r>
    <r>
      <rPr>
        <sz val="11"/>
        <color theme="1"/>
        <rFont val="Calibri"/>
        <family val="2"/>
        <scheme val="minor"/>
      </rPr>
      <t xml:space="preserve"> - Third grade 
</t>
    </r>
    <r>
      <rPr>
        <b/>
        <sz val="11"/>
        <color theme="1"/>
        <rFont val="Calibri"/>
        <family val="2"/>
        <scheme val="minor"/>
      </rPr>
      <t>00793</t>
    </r>
    <r>
      <rPr>
        <sz val="11"/>
        <color theme="1"/>
        <rFont val="Calibri"/>
        <family val="2"/>
        <scheme val="minor"/>
      </rPr>
      <t xml:space="preserve"> - Fourth grade 
</t>
    </r>
    <r>
      <rPr>
        <b/>
        <sz val="11"/>
        <color theme="1"/>
        <rFont val="Calibri"/>
        <family val="2"/>
        <scheme val="minor"/>
      </rPr>
      <t>00794</t>
    </r>
    <r>
      <rPr>
        <sz val="11"/>
        <color theme="1"/>
        <rFont val="Calibri"/>
        <family val="2"/>
        <scheme val="minor"/>
      </rPr>
      <t xml:space="preserve"> - Fifth grade 
</t>
    </r>
    <r>
      <rPr>
        <b/>
        <sz val="11"/>
        <color theme="1"/>
        <rFont val="Calibri"/>
        <family val="2"/>
        <scheme val="minor"/>
      </rPr>
      <t>00795</t>
    </r>
    <r>
      <rPr>
        <sz val="11"/>
        <color theme="1"/>
        <rFont val="Calibri"/>
        <family val="2"/>
        <scheme val="minor"/>
      </rPr>
      <t xml:space="preserve"> - Sixth grade 
</t>
    </r>
    <r>
      <rPr>
        <b/>
        <sz val="11"/>
        <color theme="1"/>
        <rFont val="Calibri"/>
        <family val="2"/>
        <scheme val="minor"/>
      </rPr>
      <t>00796</t>
    </r>
    <r>
      <rPr>
        <sz val="11"/>
        <color theme="1"/>
        <rFont val="Calibri"/>
        <family val="2"/>
        <scheme val="minor"/>
      </rPr>
      <t xml:space="preserve"> - Seventh grade 
</t>
    </r>
    <r>
      <rPr>
        <b/>
        <sz val="11"/>
        <color theme="1"/>
        <rFont val="Calibri"/>
        <family val="2"/>
        <scheme val="minor"/>
      </rPr>
      <t>00798</t>
    </r>
    <r>
      <rPr>
        <sz val="11"/>
        <color theme="1"/>
        <rFont val="Calibri"/>
        <family val="2"/>
        <scheme val="minor"/>
      </rPr>
      <t xml:space="preserve"> - Eighth grade 
</t>
    </r>
    <r>
      <rPr>
        <b/>
        <sz val="11"/>
        <color theme="1"/>
        <rFont val="Calibri"/>
        <family val="2"/>
        <scheme val="minor"/>
      </rPr>
      <t>00799</t>
    </r>
    <r>
      <rPr>
        <sz val="11"/>
        <color theme="1"/>
        <rFont val="Calibri"/>
        <family val="2"/>
        <scheme val="minor"/>
      </rPr>
      <t xml:space="preserve"> - Ninth grade 
</t>
    </r>
    <r>
      <rPr>
        <b/>
        <sz val="11"/>
        <color theme="1"/>
        <rFont val="Calibri"/>
        <family val="2"/>
        <scheme val="minor"/>
      </rPr>
      <t>00800</t>
    </r>
    <r>
      <rPr>
        <sz val="11"/>
        <color theme="1"/>
        <rFont val="Calibri"/>
        <family val="2"/>
        <scheme val="minor"/>
      </rPr>
      <t xml:space="preserve"> - Tenth grade 
</t>
    </r>
    <r>
      <rPr>
        <b/>
        <sz val="11"/>
        <color theme="1"/>
        <rFont val="Calibri"/>
        <family val="2"/>
        <scheme val="minor"/>
      </rPr>
      <t>00801</t>
    </r>
    <r>
      <rPr>
        <sz val="11"/>
        <color theme="1"/>
        <rFont val="Calibri"/>
        <family val="2"/>
        <scheme val="minor"/>
      </rPr>
      <t xml:space="preserve"> - Eleventh Grade 
</t>
    </r>
    <r>
      <rPr>
        <b/>
        <sz val="11"/>
        <color theme="1"/>
        <rFont val="Calibri"/>
        <family val="2"/>
        <scheme val="minor"/>
      </rPr>
      <t>01809</t>
    </r>
    <r>
      <rPr>
        <sz val="11"/>
        <color theme="1"/>
        <rFont val="Calibri"/>
        <family val="2"/>
        <scheme val="minor"/>
      </rPr>
      <t xml:space="preserve"> - 12th grade, no diploma 
</t>
    </r>
    <r>
      <rPr>
        <b/>
        <sz val="11"/>
        <color theme="1"/>
        <rFont val="Calibri"/>
        <family val="2"/>
        <scheme val="minor"/>
      </rPr>
      <t>01044</t>
    </r>
    <r>
      <rPr>
        <sz val="11"/>
        <color theme="1"/>
        <rFont val="Calibri"/>
        <family val="2"/>
        <scheme val="minor"/>
      </rPr>
      <t xml:space="preserve"> - High school diploma 
</t>
    </r>
    <r>
      <rPr>
        <b/>
        <sz val="11"/>
        <color theme="1"/>
        <rFont val="Calibri"/>
        <family val="2"/>
        <scheme val="minor"/>
      </rPr>
      <t>02408</t>
    </r>
    <r>
      <rPr>
        <sz val="11"/>
        <color theme="1"/>
        <rFont val="Calibri"/>
        <family val="2"/>
        <scheme val="minor"/>
      </rPr>
      <t xml:space="preserve"> - High school completers (e.g., certificate of attendance) 
</t>
    </r>
    <r>
      <rPr>
        <b/>
        <sz val="11"/>
        <color theme="1"/>
        <rFont val="Calibri"/>
        <family val="2"/>
        <scheme val="minor"/>
      </rPr>
      <t>02409</t>
    </r>
    <r>
      <rPr>
        <sz val="11"/>
        <color theme="1"/>
        <rFont val="Calibri"/>
        <family val="2"/>
        <scheme val="minor"/>
      </rPr>
      <t xml:space="preserve"> - High school equivalency (e.g., GED)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00803</t>
    </r>
    <r>
      <rPr>
        <sz val="11"/>
        <color theme="1"/>
        <rFont val="Calibri"/>
        <family val="2"/>
        <scheme val="minor"/>
      </rPr>
      <t xml:space="preserve"> - Grade 13
</t>
    </r>
    <r>
      <rPr>
        <b/>
        <sz val="11"/>
        <color theme="1"/>
        <rFont val="Calibri"/>
        <family val="2"/>
        <scheme val="minor"/>
      </rPr>
      <t>01049</t>
    </r>
    <r>
      <rPr>
        <sz val="11"/>
        <color theme="1"/>
        <rFont val="Calibri"/>
        <family val="2"/>
        <scheme val="minor"/>
      </rPr>
      <t xml:space="preserve"> - Some college but no degree 
</t>
    </r>
    <r>
      <rPr>
        <b/>
        <sz val="11"/>
        <color theme="1"/>
        <rFont val="Calibri"/>
        <family val="2"/>
        <scheme val="minor"/>
      </rPr>
      <t>01047</t>
    </r>
    <r>
      <rPr>
        <sz val="11"/>
        <color theme="1"/>
        <rFont val="Calibri"/>
        <family val="2"/>
        <scheme val="minor"/>
      </rPr>
      <t xml:space="preserve"> - Formal award, certificate or diploma (less than one year) 
</t>
    </r>
    <r>
      <rPr>
        <b/>
        <sz val="11"/>
        <color theme="1"/>
        <rFont val="Calibri"/>
        <family val="2"/>
        <scheme val="minor"/>
      </rPr>
      <t>01048</t>
    </r>
    <r>
      <rPr>
        <sz val="11"/>
        <color theme="1"/>
        <rFont val="Calibri"/>
        <family val="2"/>
        <scheme val="minor"/>
      </rPr>
      <t xml:space="preserve"> - Formal award, certificate or diploma (more than or equal to one year) 
</t>
    </r>
    <r>
      <rPr>
        <b/>
        <sz val="11"/>
        <color theme="1"/>
        <rFont val="Calibri"/>
        <family val="2"/>
        <scheme val="minor"/>
      </rPr>
      <t>01050</t>
    </r>
    <r>
      <rPr>
        <sz val="11"/>
        <color theme="1"/>
        <rFont val="Calibri"/>
        <family val="2"/>
        <scheme val="minor"/>
      </rPr>
      <t xml:space="preserve"> - Associate's degree (two years or more) 
</t>
    </r>
    <r>
      <rPr>
        <b/>
        <sz val="11"/>
        <color theme="1"/>
        <rFont val="Calibri"/>
        <family val="2"/>
        <scheme val="minor"/>
      </rPr>
      <t>73063</t>
    </r>
    <r>
      <rPr>
        <sz val="11"/>
        <color theme="1"/>
        <rFont val="Calibri"/>
        <family val="2"/>
        <scheme val="minor"/>
      </rPr>
      <t xml:space="preserve"> - Adult education certification, endorsement, or degree
</t>
    </r>
    <r>
      <rPr>
        <b/>
        <sz val="11"/>
        <color theme="1"/>
        <rFont val="Calibri"/>
        <family val="2"/>
        <scheme val="minor"/>
      </rPr>
      <t>01051</t>
    </r>
    <r>
      <rPr>
        <sz val="11"/>
        <color theme="1"/>
        <rFont val="Calibri"/>
        <family val="2"/>
        <scheme val="minor"/>
      </rPr>
      <t xml:space="preserve"> - Bachelor's (Baccalaureate) degree 
</t>
    </r>
    <r>
      <rPr>
        <b/>
        <sz val="11"/>
        <color theme="1"/>
        <rFont val="Calibri"/>
        <family val="2"/>
        <scheme val="minor"/>
      </rPr>
      <t>01054</t>
    </r>
    <r>
      <rPr>
        <sz val="11"/>
        <color theme="1"/>
        <rFont val="Calibri"/>
        <family val="2"/>
        <scheme val="minor"/>
      </rPr>
      <t xml:space="preserve"> - Master's degree (e.g., M.A., M.S., M. Eng., M.Ed., M.S.W., M.B.A., M.L.S.) 
</t>
    </r>
    <r>
      <rPr>
        <b/>
        <sz val="11"/>
        <color theme="1"/>
        <rFont val="Calibri"/>
        <family val="2"/>
        <scheme val="minor"/>
      </rPr>
      <t>01055</t>
    </r>
    <r>
      <rPr>
        <sz val="11"/>
        <color theme="1"/>
        <rFont val="Calibri"/>
        <family val="2"/>
        <scheme val="minor"/>
      </rPr>
      <t xml:space="preserve"> - Specialist's degree (e.g., Ed.S.) 
</t>
    </r>
    <r>
      <rPr>
        <b/>
        <sz val="11"/>
        <color theme="1"/>
        <rFont val="Calibri"/>
        <family val="2"/>
        <scheme val="minor"/>
      </rPr>
      <t>73081</t>
    </r>
    <r>
      <rPr>
        <sz val="11"/>
        <color theme="1"/>
        <rFont val="Calibri"/>
        <family val="2"/>
        <scheme val="minor"/>
      </rPr>
      <t xml:space="preserve"> - Post-master’s certificate
</t>
    </r>
    <r>
      <rPr>
        <b/>
        <sz val="11"/>
        <color theme="1"/>
        <rFont val="Calibri"/>
        <family val="2"/>
        <scheme val="minor"/>
      </rPr>
      <t>01052</t>
    </r>
    <r>
      <rPr>
        <sz val="11"/>
        <color theme="1"/>
        <rFont val="Calibri"/>
        <family val="2"/>
        <scheme val="minor"/>
      </rPr>
      <t xml:space="preserve"> - Graduate certificate 
</t>
    </r>
    <r>
      <rPr>
        <b/>
        <sz val="11"/>
        <color theme="1"/>
        <rFont val="Calibri"/>
        <family val="2"/>
        <scheme val="minor"/>
      </rPr>
      <t>01057</t>
    </r>
    <r>
      <rPr>
        <sz val="11"/>
        <color theme="1"/>
        <rFont val="Calibri"/>
        <family val="2"/>
        <scheme val="minor"/>
      </rPr>
      <t xml:space="preserve"> - Doctoral (Doctor's) degree 
</t>
    </r>
    <r>
      <rPr>
        <b/>
        <sz val="11"/>
        <color theme="1"/>
        <rFont val="Calibri"/>
        <family val="2"/>
        <scheme val="minor"/>
      </rPr>
      <t>01053</t>
    </r>
    <r>
      <rPr>
        <sz val="11"/>
        <color theme="1"/>
        <rFont val="Calibri"/>
        <family val="2"/>
        <scheme val="minor"/>
      </rPr>
      <t xml:space="preserve"> - First-professional degree 
</t>
    </r>
    <r>
      <rPr>
        <b/>
        <sz val="11"/>
        <color theme="1"/>
        <rFont val="Calibri"/>
        <family val="2"/>
        <scheme val="minor"/>
      </rPr>
      <t>01056</t>
    </r>
    <r>
      <rPr>
        <sz val="11"/>
        <color theme="1"/>
        <rFont val="Calibri"/>
        <family val="2"/>
        <scheme val="minor"/>
      </rPr>
      <t xml:space="preserve"> - Post-professional degree 
</t>
    </r>
    <r>
      <rPr>
        <b/>
        <sz val="11"/>
        <color theme="1"/>
        <rFont val="Calibri"/>
        <family val="2"/>
        <scheme val="minor"/>
      </rPr>
      <t>73082</t>
    </r>
    <r>
      <rPr>
        <sz val="11"/>
        <color theme="1"/>
        <rFont val="Calibri"/>
        <family val="2"/>
        <scheme val="minor"/>
      </rPr>
      <t xml:space="preserve"> - Doctor’s degree-research/scholarship
</t>
    </r>
    <r>
      <rPr>
        <b/>
        <sz val="11"/>
        <color theme="1"/>
        <rFont val="Calibri"/>
        <family val="2"/>
        <scheme val="minor"/>
      </rPr>
      <t>73083</t>
    </r>
    <r>
      <rPr>
        <sz val="11"/>
        <color theme="1"/>
        <rFont val="Calibri"/>
        <family val="2"/>
        <scheme val="minor"/>
      </rPr>
      <t xml:space="preserve"> - Doctor’s degree-professional practice
</t>
    </r>
    <r>
      <rPr>
        <b/>
        <sz val="11"/>
        <color theme="1"/>
        <rFont val="Calibri"/>
        <family val="2"/>
        <scheme val="minor"/>
      </rPr>
      <t>73084</t>
    </r>
    <r>
      <rPr>
        <sz val="11"/>
        <color theme="1"/>
        <rFont val="Calibri"/>
        <family val="2"/>
        <scheme val="minor"/>
      </rPr>
      <t xml:space="preserve"> - Doctor’s degree-other
</t>
    </r>
    <r>
      <rPr>
        <b/>
        <sz val="11"/>
        <color theme="1"/>
        <rFont val="Calibri"/>
        <family val="2"/>
        <scheme val="minor"/>
      </rPr>
      <t>73085</t>
    </r>
    <r>
      <rPr>
        <sz val="11"/>
        <color theme="1"/>
        <rFont val="Calibri"/>
        <family val="2"/>
        <scheme val="minor"/>
      </rPr>
      <t xml:space="preserve"> - Doctor’s degree-research/scholarship
</t>
    </r>
    <r>
      <rPr>
        <b/>
        <sz val="11"/>
        <color theme="1"/>
        <rFont val="Calibri"/>
        <family val="2"/>
        <scheme val="minor"/>
      </rPr>
      <t>09999</t>
    </r>
    <r>
      <rPr>
        <sz val="11"/>
        <color theme="1"/>
        <rFont val="Calibri"/>
        <family val="2"/>
        <scheme val="minor"/>
      </rPr>
      <t xml:space="preserve"> - Other
</t>
    </r>
  </si>
  <si>
    <r>
      <t>HighlyQualitifed</t>
    </r>
    <r>
      <rPr>
        <sz val="11"/>
        <color theme="1"/>
        <rFont val="Calibri"/>
        <family val="2"/>
        <scheme val="minor"/>
      </rPr>
      <t xml:space="preserve"> - Highly qualified
</t>
    </r>
    <r>
      <rPr>
        <b/>
        <sz val="11"/>
        <color theme="1"/>
        <rFont val="Calibri"/>
        <family val="2"/>
        <scheme val="minor"/>
      </rPr>
      <t>NotHighlyQualified</t>
    </r>
    <r>
      <rPr>
        <sz val="11"/>
        <color theme="1"/>
        <rFont val="Calibri"/>
        <family val="2"/>
        <scheme val="minor"/>
      </rPr>
      <t xml:space="preserve"> - Not highly qualified
</t>
    </r>
  </si>
  <si>
    <r>
      <t>Shelters</t>
    </r>
    <r>
      <rPr>
        <sz val="11"/>
        <color theme="1"/>
        <rFont val="Calibri"/>
        <family val="2"/>
        <scheme val="minor"/>
      </rPr>
      <t xml:space="preserve"> - Shelters
</t>
    </r>
    <r>
      <rPr>
        <b/>
        <sz val="11"/>
        <color theme="1"/>
        <rFont val="Calibri"/>
        <family val="2"/>
        <scheme val="minor"/>
      </rPr>
      <t>DoubledUp</t>
    </r>
    <r>
      <rPr>
        <sz val="11"/>
        <color theme="1"/>
        <rFont val="Calibri"/>
        <family val="2"/>
        <scheme val="minor"/>
      </rPr>
      <t xml:space="preserve"> - Doubled Up
</t>
    </r>
    <r>
      <rPr>
        <b/>
        <sz val="11"/>
        <color theme="1"/>
        <rFont val="Calibri"/>
        <family val="2"/>
        <scheme val="minor"/>
      </rPr>
      <t>Unsheltered</t>
    </r>
    <r>
      <rPr>
        <sz val="11"/>
        <color theme="1"/>
        <rFont val="Calibri"/>
        <family val="2"/>
        <scheme val="minor"/>
      </rPr>
      <t xml:space="preserve"> - Unsheltered
</t>
    </r>
    <r>
      <rPr>
        <b/>
        <sz val="11"/>
        <color theme="1"/>
        <rFont val="Calibri"/>
        <family val="2"/>
        <scheme val="minor"/>
      </rPr>
      <t>HotelMotel</t>
    </r>
    <r>
      <rPr>
        <sz val="11"/>
        <color theme="1"/>
        <rFont val="Calibri"/>
        <family val="2"/>
        <scheme val="minor"/>
      </rPr>
      <t xml:space="preserve"> - Hotels/Motels
</t>
    </r>
  </si>
  <si>
    <r>
      <t>EXPMOD</t>
    </r>
    <r>
      <rPr>
        <sz val="11"/>
        <color theme="1"/>
        <rFont val="Calibri"/>
        <family val="2"/>
        <scheme val="minor"/>
      </rPr>
      <t xml:space="preserve"> - Expulsion modified to less than one year with educational services under IDEA
</t>
    </r>
    <r>
      <rPr>
        <b/>
        <sz val="11"/>
        <color theme="1"/>
        <rFont val="Calibri"/>
        <family val="2"/>
        <scheme val="minor"/>
      </rPr>
      <t>EXPNOTMOD</t>
    </r>
    <r>
      <rPr>
        <sz val="11"/>
        <color theme="1"/>
        <rFont val="Calibri"/>
        <family val="2"/>
        <scheme val="minor"/>
      </rPr>
      <t xml:space="preserve"> - One year expulsion with educational services under IDEA
</t>
    </r>
    <r>
      <rPr>
        <b/>
        <sz val="11"/>
        <color theme="1"/>
        <rFont val="Calibri"/>
        <family val="2"/>
        <scheme val="minor"/>
      </rPr>
      <t>REMOVEOTHER</t>
    </r>
    <r>
      <rPr>
        <sz val="11"/>
        <color theme="1"/>
        <rFont val="Calibri"/>
        <family val="2"/>
        <scheme val="minor"/>
      </rPr>
      <t xml:space="preserve"> - Other reasons such as death, withdrawal, or incarceration
</t>
    </r>
    <r>
      <rPr>
        <b/>
        <sz val="11"/>
        <color theme="1"/>
        <rFont val="Calibri"/>
        <family val="2"/>
        <scheme val="minor"/>
      </rPr>
      <t>OTHERDISACTION</t>
    </r>
    <r>
      <rPr>
        <sz val="11"/>
        <color theme="1"/>
        <rFont val="Calibri"/>
        <family val="2"/>
        <scheme val="minor"/>
      </rPr>
      <t xml:space="preserve"> - Another type of disciplinary action
</t>
    </r>
    <r>
      <rPr>
        <b/>
        <sz val="11"/>
        <color theme="1"/>
        <rFont val="Calibri"/>
        <family val="2"/>
        <scheme val="minor"/>
      </rPr>
      <t>NOACTION</t>
    </r>
    <r>
      <rPr>
        <sz val="11"/>
        <color theme="1"/>
        <rFont val="Calibri"/>
        <family val="2"/>
        <scheme val="minor"/>
      </rPr>
      <t xml:space="preserve"> - No disciplinary action taken
</t>
    </r>
  </si>
  <si>
    <r>
      <t>REC09YOTHLOC</t>
    </r>
    <r>
      <rPr>
        <sz val="11"/>
        <color theme="1"/>
        <rFont val="Calibri"/>
        <family val="2"/>
        <scheme val="minor"/>
      </rPr>
      <t xml:space="preserve"> - Other location regular early childhood program (less than 10 hours)
</t>
    </r>
    <r>
      <rPr>
        <b/>
        <sz val="11"/>
        <color theme="1"/>
        <rFont val="Calibri"/>
        <family val="2"/>
        <scheme val="minor"/>
      </rPr>
      <t>REC10YOTHLOC</t>
    </r>
    <r>
      <rPr>
        <sz val="11"/>
        <color theme="1"/>
        <rFont val="Calibri"/>
        <family val="2"/>
        <scheme val="minor"/>
      </rPr>
      <t xml:space="preserve"> - Other location regular early childhood program (at least 10 hours)
</t>
    </r>
    <r>
      <rPr>
        <b/>
        <sz val="11"/>
        <color theme="1"/>
        <rFont val="Calibri"/>
        <family val="2"/>
        <scheme val="minor"/>
      </rPr>
      <t>REC09YSVCS</t>
    </r>
    <r>
      <rPr>
        <sz val="11"/>
        <color theme="1"/>
        <rFont val="Calibri"/>
        <family val="2"/>
        <scheme val="minor"/>
      </rPr>
      <t xml:space="preserve"> - Services regular early childhood program (less than 10 hours)
</t>
    </r>
    <r>
      <rPr>
        <b/>
        <sz val="11"/>
        <color theme="1"/>
        <rFont val="Calibri"/>
        <family val="2"/>
        <scheme val="minor"/>
      </rPr>
      <t>REC10YSVCS</t>
    </r>
    <r>
      <rPr>
        <sz val="11"/>
        <color theme="1"/>
        <rFont val="Calibri"/>
        <family val="2"/>
        <scheme val="minor"/>
      </rPr>
      <t xml:space="preserve"> - Services regular early childhood program (at least10 hours)
</t>
    </r>
    <r>
      <rPr>
        <b/>
        <sz val="11"/>
        <color theme="1"/>
        <rFont val="Calibri"/>
        <family val="2"/>
        <scheme val="minor"/>
      </rPr>
      <t>SC</t>
    </r>
    <r>
      <rPr>
        <sz val="11"/>
        <color theme="1"/>
        <rFont val="Calibri"/>
        <family val="2"/>
        <scheme val="minor"/>
      </rPr>
      <t xml:space="preserve"> - Separate special education class
</t>
    </r>
    <r>
      <rPr>
        <b/>
        <sz val="11"/>
        <color theme="1"/>
        <rFont val="Calibri"/>
        <family val="2"/>
        <scheme val="minor"/>
      </rPr>
      <t>SS</t>
    </r>
    <r>
      <rPr>
        <sz val="11"/>
        <color theme="1"/>
        <rFont val="Calibri"/>
        <family val="2"/>
        <scheme val="minor"/>
      </rPr>
      <t xml:space="preserve"> - Separate school
</t>
    </r>
    <r>
      <rPr>
        <b/>
        <sz val="11"/>
        <color theme="1"/>
        <rFont val="Calibri"/>
        <family val="2"/>
        <scheme val="minor"/>
      </rPr>
      <t>RF</t>
    </r>
    <r>
      <rPr>
        <sz val="11"/>
        <color theme="1"/>
        <rFont val="Calibri"/>
        <family val="2"/>
        <scheme val="minor"/>
      </rPr>
      <t xml:space="preserve"> - Residential Facility
</t>
    </r>
    <r>
      <rPr>
        <b/>
        <sz val="11"/>
        <color theme="1"/>
        <rFont val="Calibri"/>
        <family val="2"/>
        <scheme val="minor"/>
      </rPr>
      <t>H</t>
    </r>
    <r>
      <rPr>
        <sz val="11"/>
        <color theme="1"/>
        <rFont val="Calibri"/>
        <family val="2"/>
        <scheme val="minor"/>
      </rPr>
      <t xml:space="preserve"> - Home
</t>
    </r>
    <r>
      <rPr>
        <b/>
        <sz val="11"/>
        <color theme="1"/>
        <rFont val="Calibri"/>
        <family val="2"/>
        <scheme val="minor"/>
      </rPr>
      <t>SPL</t>
    </r>
    <r>
      <rPr>
        <sz val="11"/>
        <color theme="1"/>
        <rFont val="Calibri"/>
        <family val="2"/>
        <scheme val="minor"/>
      </rPr>
      <t xml:space="preserve"> - Service provider or other location not in any other category
</t>
    </r>
  </si>
  <si>
    <r>
      <t>RC80</t>
    </r>
    <r>
      <rPr>
        <sz val="11"/>
        <color theme="1"/>
        <rFont val="Calibri"/>
        <family val="2"/>
        <scheme val="minor"/>
      </rPr>
      <t xml:space="preserve"> - Inside regular class 80% or more of the day
</t>
    </r>
    <r>
      <rPr>
        <b/>
        <sz val="11"/>
        <color theme="1"/>
        <rFont val="Calibri"/>
        <family val="2"/>
        <scheme val="minor"/>
      </rPr>
      <t>RC79TO40</t>
    </r>
    <r>
      <rPr>
        <sz val="11"/>
        <color theme="1"/>
        <rFont val="Calibri"/>
        <family val="2"/>
        <scheme val="minor"/>
      </rPr>
      <t xml:space="preserve"> - Inside regular class 40% through 79% of the day
</t>
    </r>
    <r>
      <rPr>
        <b/>
        <sz val="11"/>
        <color theme="1"/>
        <rFont val="Calibri"/>
        <family val="2"/>
        <scheme val="minor"/>
      </rPr>
      <t>RC39</t>
    </r>
    <r>
      <rPr>
        <sz val="11"/>
        <color theme="1"/>
        <rFont val="Calibri"/>
        <family val="2"/>
        <scheme val="minor"/>
      </rPr>
      <t xml:space="preserve"> - Inside regular class less than 40% of the day
</t>
    </r>
    <r>
      <rPr>
        <b/>
        <sz val="11"/>
        <color theme="1"/>
        <rFont val="Calibri"/>
        <family val="2"/>
        <scheme val="minor"/>
      </rPr>
      <t>SS</t>
    </r>
    <r>
      <rPr>
        <sz val="11"/>
        <color theme="1"/>
        <rFont val="Calibri"/>
        <family val="2"/>
        <scheme val="minor"/>
      </rPr>
      <t xml:space="preserve"> - Separate school
</t>
    </r>
    <r>
      <rPr>
        <b/>
        <sz val="11"/>
        <color theme="1"/>
        <rFont val="Calibri"/>
        <family val="2"/>
        <scheme val="minor"/>
      </rPr>
      <t>RF</t>
    </r>
    <r>
      <rPr>
        <sz val="11"/>
        <color theme="1"/>
        <rFont val="Calibri"/>
        <family val="2"/>
        <scheme val="minor"/>
      </rPr>
      <t xml:space="preserve"> - Residential facility
</t>
    </r>
    <r>
      <rPr>
        <b/>
        <sz val="11"/>
        <color theme="1"/>
        <rFont val="Calibri"/>
        <family val="2"/>
        <scheme val="minor"/>
      </rPr>
      <t>HH</t>
    </r>
    <r>
      <rPr>
        <sz val="11"/>
        <color theme="1"/>
        <rFont val="Calibri"/>
        <family val="2"/>
        <scheme val="minor"/>
      </rPr>
      <t xml:space="preserve"> - Homebound/hospital
</t>
    </r>
    <r>
      <rPr>
        <b/>
        <sz val="11"/>
        <color theme="1"/>
        <rFont val="Calibri"/>
        <family val="2"/>
        <scheme val="minor"/>
      </rPr>
      <t>CF</t>
    </r>
    <r>
      <rPr>
        <sz val="11"/>
        <color theme="1"/>
        <rFont val="Calibri"/>
        <family val="2"/>
        <scheme val="minor"/>
      </rPr>
      <t xml:space="preserve"> - Correctional facility
</t>
    </r>
    <r>
      <rPr>
        <b/>
        <sz val="11"/>
        <color theme="1"/>
        <rFont val="Calibri"/>
        <family val="2"/>
        <scheme val="minor"/>
      </rPr>
      <t>PPPS</t>
    </r>
    <r>
      <rPr>
        <sz val="11"/>
        <color theme="1"/>
        <rFont val="Calibri"/>
        <family val="2"/>
        <scheme val="minor"/>
      </rPr>
      <t xml:space="preserve"> - Parentally placed in private school
</t>
    </r>
  </si>
  <si>
    <r>
      <t>Active</t>
    </r>
    <r>
      <rPr>
        <sz val="11"/>
        <color theme="1"/>
        <rFont val="Calibri"/>
        <family val="2"/>
        <scheme val="minor"/>
      </rPr>
      <t xml:space="preserve"> - Active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NotSelected</t>
    </r>
    <r>
      <rPr>
        <sz val="11"/>
        <color theme="1"/>
        <rFont val="Calibri"/>
        <family val="2"/>
        <scheme val="minor"/>
      </rPr>
      <t xml:space="preserve"> - Not Selected
</t>
    </r>
  </si>
  <si>
    <r>
      <t>REMDW</t>
    </r>
    <r>
      <rPr>
        <sz val="11"/>
        <color theme="1"/>
        <rFont val="Calibri"/>
        <family val="2"/>
        <scheme val="minor"/>
      </rPr>
      <t xml:space="preserve"> - Removal for drugs, weapons, or serious bodily injury
</t>
    </r>
    <r>
      <rPr>
        <b/>
        <sz val="11"/>
        <color theme="1"/>
        <rFont val="Calibri"/>
        <family val="2"/>
        <scheme val="minor"/>
      </rPr>
      <t>REMHO</t>
    </r>
    <r>
      <rPr>
        <sz val="11"/>
        <color theme="1"/>
        <rFont val="Calibri"/>
        <family val="2"/>
        <scheme val="minor"/>
      </rPr>
      <t xml:space="preserve"> - Removed based on a Hearing Officer finding
</t>
    </r>
  </si>
  <si>
    <r>
      <t>Drugs</t>
    </r>
    <r>
      <rPr>
        <sz val="11"/>
        <color theme="1"/>
        <rFont val="Calibri"/>
        <family val="2"/>
        <scheme val="minor"/>
      </rPr>
      <t xml:space="preserve"> - Drugs
</t>
    </r>
    <r>
      <rPr>
        <b/>
        <sz val="11"/>
        <color theme="1"/>
        <rFont val="Calibri"/>
        <family val="2"/>
        <scheme val="minor"/>
      </rPr>
      <t>Weapons</t>
    </r>
    <r>
      <rPr>
        <sz val="11"/>
        <color theme="1"/>
        <rFont val="Calibri"/>
        <family val="2"/>
        <scheme val="minor"/>
      </rPr>
      <t xml:space="preserve"> - Weapons
</t>
    </r>
    <r>
      <rPr>
        <b/>
        <sz val="11"/>
        <color theme="1"/>
        <rFont val="Calibri"/>
        <family val="2"/>
        <scheme val="minor"/>
      </rPr>
      <t>SeriousBodilyInjury</t>
    </r>
    <r>
      <rPr>
        <sz val="11"/>
        <color theme="1"/>
        <rFont val="Calibri"/>
        <family val="2"/>
        <scheme val="minor"/>
      </rPr>
      <t xml:space="preserve"> - Serious bodily injury
</t>
    </r>
  </si>
  <si>
    <r>
      <t>Diphtheria</t>
    </r>
    <r>
      <rPr>
        <sz val="11"/>
        <color theme="1"/>
        <rFont val="Calibri"/>
        <family val="2"/>
        <scheme val="minor"/>
      </rPr>
      <t xml:space="preserve"> - Diphtheria
</t>
    </r>
    <r>
      <rPr>
        <b/>
        <sz val="11"/>
        <color theme="1"/>
        <rFont val="Calibri"/>
        <family val="2"/>
        <scheme val="minor"/>
      </rPr>
      <t>HaemophilusInfluenzae</t>
    </r>
    <r>
      <rPr>
        <sz val="11"/>
        <color theme="1"/>
        <rFont val="Calibri"/>
        <family val="2"/>
        <scheme val="minor"/>
      </rPr>
      <t xml:space="preserve"> - Haemophilus Influenzae
</t>
    </r>
    <r>
      <rPr>
        <b/>
        <sz val="11"/>
        <color theme="1"/>
        <rFont val="Calibri"/>
        <family val="2"/>
        <scheme val="minor"/>
      </rPr>
      <t>HepatitisA</t>
    </r>
    <r>
      <rPr>
        <sz val="11"/>
        <color theme="1"/>
        <rFont val="Calibri"/>
        <family val="2"/>
        <scheme val="minor"/>
      </rPr>
      <t xml:space="preserve"> - Hepatitis A
</t>
    </r>
    <r>
      <rPr>
        <b/>
        <sz val="11"/>
        <color theme="1"/>
        <rFont val="Calibri"/>
        <family val="2"/>
        <scheme val="minor"/>
      </rPr>
      <t>HepatitisB</t>
    </r>
    <r>
      <rPr>
        <sz val="11"/>
        <color theme="1"/>
        <rFont val="Calibri"/>
        <family val="2"/>
        <scheme val="minor"/>
      </rPr>
      <t xml:space="preserve"> - Hepatitis B
</t>
    </r>
    <r>
      <rPr>
        <b/>
        <sz val="11"/>
        <color theme="1"/>
        <rFont val="Calibri"/>
        <family val="2"/>
        <scheme val="minor"/>
      </rPr>
      <t>InactivatedPoliovirus</t>
    </r>
    <r>
      <rPr>
        <sz val="11"/>
        <color theme="1"/>
        <rFont val="Calibri"/>
        <family val="2"/>
        <scheme val="minor"/>
      </rPr>
      <t xml:space="preserve"> - Inactivated Poliovirus
</t>
    </r>
    <r>
      <rPr>
        <b/>
        <sz val="11"/>
        <color theme="1"/>
        <rFont val="Calibri"/>
        <family val="2"/>
        <scheme val="minor"/>
      </rPr>
      <t>Influenza</t>
    </r>
    <r>
      <rPr>
        <sz val="11"/>
        <color theme="1"/>
        <rFont val="Calibri"/>
        <family val="2"/>
        <scheme val="minor"/>
      </rPr>
      <t xml:space="preserve"> - Influenza
</t>
    </r>
    <r>
      <rPr>
        <b/>
        <sz val="11"/>
        <color theme="1"/>
        <rFont val="Calibri"/>
        <family val="2"/>
        <scheme val="minor"/>
      </rPr>
      <t>Meningococcal</t>
    </r>
    <r>
      <rPr>
        <sz val="11"/>
        <color theme="1"/>
        <rFont val="Calibri"/>
        <family val="2"/>
        <scheme val="minor"/>
      </rPr>
      <t xml:space="preserve"> - Meningococcal
</t>
    </r>
    <r>
      <rPr>
        <b/>
        <sz val="11"/>
        <color theme="1"/>
        <rFont val="Calibri"/>
        <family val="2"/>
        <scheme val="minor"/>
      </rPr>
      <t>Mumps</t>
    </r>
    <r>
      <rPr>
        <sz val="11"/>
        <color theme="1"/>
        <rFont val="Calibri"/>
        <family val="2"/>
        <scheme val="minor"/>
      </rPr>
      <t xml:space="preserve"> - Mumps
</t>
    </r>
    <r>
      <rPr>
        <b/>
        <sz val="11"/>
        <color theme="1"/>
        <rFont val="Calibri"/>
        <family val="2"/>
        <scheme val="minor"/>
      </rPr>
      <t>Pertussis</t>
    </r>
    <r>
      <rPr>
        <sz val="11"/>
        <color theme="1"/>
        <rFont val="Calibri"/>
        <family val="2"/>
        <scheme val="minor"/>
      </rPr>
      <t xml:space="preserve"> - Pertussis (Whooping Cough)
</t>
    </r>
    <r>
      <rPr>
        <b/>
        <sz val="11"/>
        <color theme="1"/>
        <rFont val="Calibri"/>
        <family val="2"/>
        <scheme val="minor"/>
      </rPr>
      <t>Pneumococcal</t>
    </r>
    <r>
      <rPr>
        <sz val="11"/>
        <color theme="1"/>
        <rFont val="Calibri"/>
        <family val="2"/>
        <scheme val="minor"/>
      </rPr>
      <t xml:space="preserve"> - Pneumococcal
</t>
    </r>
    <r>
      <rPr>
        <b/>
        <sz val="11"/>
        <color theme="1"/>
        <rFont val="Calibri"/>
        <family val="2"/>
        <scheme val="minor"/>
      </rPr>
      <t>RhImmuneGlobulin</t>
    </r>
    <r>
      <rPr>
        <sz val="11"/>
        <color theme="1"/>
        <rFont val="Calibri"/>
        <family val="2"/>
        <scheme val="minor"/>
      </rPr>
      <t xml:space="preserve"> - Rh. Immune Globulin
</t>
    </r>
    <r>
      <rPr>
        <b/>
        <sz val="11"/>
        <color theme="1"/>
        <rFont val="Calibri"/>
        <family val="2"/>
        <scheme val="minor"/>
      </rPr>
      <t>Rotavirus</t>
    </r>
    <r>
      <rPr>
        <sz val="11"/>
        <color theme="1"/>
        <rFont val="Calibri"/>
        <family val="2"/>
        <scheme val="minor"/>
      </rPr>
      <t xml:space="preserve"> - Rotavirus
</t>
    </r>
    <r>
      <rPr>
        <b/>
        <sz val="11"/>
        <color theme="1"/>
        <rFont val="Calibri"/>
        <family val="2"/>
        <scheme val="minor"/>
      </rPr>
      <t>Rubella</t>
    </r>
    <r>
      <rPr>
        <sz val="11"/>
        <color theme="1"/>
        <rFont val="Calibri"/>
        <family val="2"/>
        <scheme val="minor"/>
      </rPr>
      <t xml:space="preserve"> - Rubella (German measles)
</t>
    </r>
    <r>
      <rPr>
        <b/>
        <sz val="11"/>
        <color theme="1"/>
        <rFont val="Calibri"/>
        <family val="2"/>
        <scheme val="minor"/>
      </rPr>
      <t>Rubeola</t>
    </r>
    <r>
      <rPr>
        <sz val="11"/>
        <color theme="1"/>
        <rFont val="Calibri"/>
        <family val="2"/>
        <scheme val="minor"/>
      </rPr>
      <t xml:space="preserve"> - Rubeola (Measles)
</t>
    </r>
    <r>
      <rPr>
        <b/>
        <sz val="11"/>
        <color theme="1"/>
        <rFont val="Calibri"/>
        <family val="2"/>
        <scheme val="minor"/>
      </rPr>
      <t>Smallpox</t>
    </r>
    <r>
      <rPr>
        <sz val="11"/>
        <color theme="1"/>
        <rFont val="Calibri"/>
        <family val="2"/>
        <scheme val="minor"/>
      </rPr>
      <t xml:space="preserve"> - Smallpox
</t>
    </r>
    <r>
      <rPr>
        <b/>
        <sz val="11"/>
        <color theme="1"/>
        <rFont val="Calibri"/>
        <family val="2"/>
        <scheme val="minor"/>
      </rPr>
      <t>Tetanus</t>
    </r>
    <r>
      <rPr>
        <sz val="11"/>
        <color theme="1"/>
        <rFont val="Calibri"/>
        <family val="2"/>
        <scheme val="minor"/>
      </rPr>
      <t xml:space="preserve"> - Tetanus
</t>
    </r>
    <r>
      <rPr>
        <b/>
        <sz val="11"/>
        <color theme="1"/>
        <rFont val="Calibri"/>
        <family val="2"/>
        <scheme val="minor"/>
      </rPr>
      <t>Tuberculosis</t>
    </r>
    <r>
      <rPr>
        <sz val="11"/>
        <color theme="1"/>
        <rFont val="Calibri"/>
        <family val="2"/>
        <scheme val="minor"/>
      </rPr>
      <t xml:space="preserve"> - Tuberculosis (BCG)
</t>
    </r>
    <r>
      <rPr>
        <b/>
        <sz val="11"/>
        <color theme="1"/>
        <rFont val="Calibri"/>
        <family val="2"/>
        <scheme val="minor"/>
      </rPr>
      <t>Varicella</t>
    </r>
    <r>
      <rPr>
        <sz val="11"/>
        <color theme="1"/>
        <rFont val="Calibri"/>
        <family val="2"/>
        <scheme val="minor"/>
      </rPr>
      <t xml:space="preserve"> - Varicella
</t>
    </r>
    <r>
      <rPr>
        <b/>
        <sz val="11"/>
        <color theme="1"/>
        <rFont val="Calibri"/>
        <family val="2"/>
        <scheme val="minor"/>
      </rPr>
      <t>ParentOptOut</t>
    </r>
    <r>
      <rPr>
        <sz val="11"/>
        <color theme="1"/>
        <rFont val="Calibri"/>
        <family val="2"/>
        <scheme val="minor"/>
      </rPr>
      <t xml:space="preserve"> - Parent opt-out
</t>
    </r>
  </si>
  <si>
    <r>
      <t>04618</t>
    </r>
    <r>
      <rPr>
        <sz val="11"/>
        <color theme="1"/>
        <rFont val="Calibri"/>
        <family val="2"/>
        <scheme val="minor"/>
      </rPr>
      <t xml:space="preserve"> - Alcohol
</t>
    </r>
    <r>
      <rPr>
        <b/>
        <sz val="11"/>
        <color theme="1"/>
        <rFont val="Calibri"/>
        <family val="2"/>
        <scheme val="minor"/>
      </rPr>
      <t>04625</t>
    </r>
    <r>
      <rPr>
        <sz val="11"/>
        <color theme="1"/>
        <rFont val="Calibri"/>
        <family val="2"/>
        <scheme val="minor"/>
      </rPr>
      <t xml:space="preserve"> - Arson
</t>
    </r>
    <r>
      <rPr>
        <b/>
        <sz val="11"/>
        <color theme="1"/>
        <rFont val="Calibri"/>
        <family val="2"/>
        <scheme val="minor"/>
      </rPr>
      <t>04626</t>
    </r>
    <r>
      <rPr>
        <sz val="11"/>
        <color theme="1"/>
        <rFont val="Calibri"/>
        <family val="2"/>
        <scheme val="minor"/>
      </rPr>
      <t xml:space="preserve"> - Attendance Policy Violation
</t>
    </r>
    <r>
      <rPr>
        <b/>
        <sz val="11"/>
        <color theme="1"/>
        <rFont val="Calibri"/>
        <family val="2"/>
        <scheme val="minor"/>
      </rPr>
      <t>04632</t>
    </r>
    <r>
      <rPr>
        <sz val="11"/>
        <color theme="1"/>
        <rFont val="Calibri"/>
        <family val="2"/>
        <scheme val="minor"/>
      </rPr>
      <t xml:space="preserve"> - Battery
</t>
    </r>
    <r>
      <rPr>
        <b/>
        <sz val="11"/>
        <color theme="1"/>
        <rFont val="Calibri"/>
        <family val="2"/>
        <scheme val="minor"/>
      </rPr>
      <t>04633</t>
    </r>
    <r>
      <rPr>
        <sz val="11"/>
        <color theme="1"/>
        <rFont val="Calibri"/>
        <family val="2"/>
        <scheme val="minor"/>
      </rPr>
      <t xml:space="preserve"> - Burglary/Breaking and Entering
</t>
    </r>
    <r>
      <rPr>
        <b/>
        <sz val="11"/>
        <color theme="1"/>
        <rFont val="Calibri"/>
        <family val="2"/>
        <scheme val="minor"/>
      </rPr>
      <t>04634</t>
    </r>
    <r>
      <rPr>
        <sz val="11"/>
        <color theme="1"/>
        <rFont val="Calibri"/>
        <family val="2"/>
        <scheme val="minor"/>
      </rPr>
      <t xml:space="preserve"> - Disorderly Conduct
</t>
    </r>
    <r>
      <rPr>
        <b/>
        <sz val="11"/>
        <color theme="1"/>
        <rFont val="Calibri"/>
        <family val="2"/>
        <scheme val="minor"/>
      </rPr>
      <t>04635</t>
    </r>
    <r>
      <rPr>
        <sz val="11"/>
        <color theme="1"/>
        <rFont val="Calibri"/>
        <family val="2"/>
        <scheme val="minor"/>
      </rPr>
      <t xml:space="preserve"> - Drugs Excluding Alcohol and Tobacco
</t>
    </r>
    <r>
      <rPr>
        <b/>
        <sz val="11"/>
        <color theme="1"/>
        <rFont val="Calibri"/>
        <family val="2"/>
        <scheme val="minor"/>
      </rPr>
      <t>04645</t>
    </r>
    <r>
      <rPr>
        <sz val="11"/>
        <color theme="1"/>
        <rFont val="Calibri"/>
        <family val="2"/>
        <scheme val="minor"/>
      </rPr>
      <t xml:space="preserve"> - Fighting
</t>
    </r>
    <r>
      <rPr>
        <b/>
        <sz val="11"/>
        <color theme="1"/>
        <rFont val="Calibri"/>
        <family val="2"/>
        <scheme val="minor"/>
      </rPr>
      <t>13354</t>
    </r>
    <r>
      <rPr>
        <sz val="11"/>
        <color theme="1"/>
        <rFont val="Calibri"/>
        <family val="2"/>
        <scheme val="minor"/>
      </rPr>
      <t xml:space="preserve"> - Harassment or bullying on the basis of disability
</t>
    </r>
    <r>
      <rPr>
        <b/>
        <sz val="11"/>
        <color theme="1"/>
        <rFont val="Calibri"/>
        <family val="2"/>
        <scheme val="minor"/>
      </rPr>
      <t>13355</t>
    </r>
    <r>
      <rPr>
        <sz val="11"/>
        <color theme="1"/>
        <rFont val="Calibri"/>
        <family val="2"/>
        <scheme val="minor"/>
      </rPr>
      <t xml:space="preserve"> - Harassment or bullying on the basis of race, color, or national origin
</t>
    </r>
    <r>
      <rPr>
        <b/>
        <sz val="11"/>
        <color theme="1"/>
        <rFont val="Calibri"/>
        <family val="2"/>
        <scheme val="minor"/>
      </rPr>
      <t>13356</t>
    </r>
    <r>
      <rPr>
        <sz val="11"/>
        <color theme="1"/>
        <rFont val="Calibri"/>
        <family val="2"/>
        <scheme val="minor"/>
      </rPr>
      <t xml:space="preserve"> - Harassment or bullying on the basis of sex
</t>
    </r>
    <r>
      <rPr>
        <b/>
        <sz val="11"/>
        <color theme="1"/>
        <rFont val="Calibri"/>
        <family val="2"/>
        <scheme val="minor"/>
      </rPr>
      <t>04646</t>
    </r>
    <r>
      <rPr>
        <sz val="11"/>
        <color theme="1"/>
        <rFont val="Calibri"/>
        <family val="2"/>
        <scheme val="minor"/>
      </rPr>
      <t xml:space="preserve"> - Harassment, Nonsexual
</t>
    </r>
    <r>
      <rPr>
        <b/>
        <sz val="11"/>
        <color theme="1"/>
        <rFont val="Calibri"/>
        <family val="2"/>
        <scheme val="minor"/>
      </rPr>
      <t>04650</t>
    </r>
    <r>
      <rPr>
        <sz val="11"/>
        <color theme="1"/>
        <rFont val="Calibri"/>
        <family val="2"/>
        <scheme val="minor"/>
      </rPr>
      <t xml:space="preserve"> - Harassment, Sexual
</t>
    </r>
    <r>
      <rPr>
        <b/>
        <sz val="11"/>
        <color theme="1"/>
        <rFont val="Calibri"/>
        <family val="2"/>
        <scheme val="minor"/>
      </rPr>
      <t>04651</t>
    </r>
    <r>
      <rPr>
        <sz val="11"/>
        <color theme="1"/>
        <rFont val="Calibri"/>
        <family val="2"/>
        <scheme val="minor"/>
      </rPr>
      <t xml:space="preserve"> - Homicide
</t>
    </r>
    <r>
      <rPr>
        <b/>
        <sz val="11"/>
        <color theme="1"/>
        <rFont val="Calibri"/>
        <family val="2"/>
        <scheme val="minor"/>
      </rPr>
      <t>04652</t>
    </r>
    <r>
      <rPr>
        <sz val="11"/>
        <color theme="1"/>
        <rFont val="Calibri"/>
        <family val="2"/>
        <scheme val="minor"/>
      </rPr>
      <t xml:space="preserve"> - Inappropriate Use of Medication
</t>
    </r>
    <r>
      <rPr>
        <b/>
        <sz val="11"/>
        <color theme="1"/>
        <rFont val="Calibri"/>
        <family val="2"/>
        <scheme val="minor"/>
      </rPr>
      <t>04659</t>
    </r>
    <r>
      <rPr>
        <sz val="11"/>
        <color theme="1"/>
        <rFont val="Calibri"/>
        <family val="2"/>
        <scheme val="minor"/>
      </rPr>
      <t xml:space="preserve"> - Insubordination
</t>
    </r>
    <r>
      <rPr>
        <b/>
        <sz val="11"/>
        <color theme="1"/>
        <rFont val="Calibri"/>
        <family val="2"/>
        <scheme val="minor"/>
      </rPr>
      <t>04660</t>
    </r>
    <r>
      <rPr>
        <sz val="11"/>
        <color theme="1"/>
        <rFont val="Calibri"/>
        <family val="2"/>
        <scheme val="minor"/>
      </rPr>
      <t xml:space="preserve"> - Kidnapping
</t>
    </r>
    <r>
      <rPr>
        <b/>
        <sz val="11"/>
        <color theme="1"/>
        <rFont val="Calibri"/>
        <family val="2"/>
        <scheme val="minor"/>
      </rPr>
      <t>04661</t>
    </r>
    <r>
      <rPr>
        <sz val="11"/>
        <color theme="1"/>
        <rFont val="Calibri"/>
        <family val="2"/>
        <scheme val="minor"/>
      </rPr>
      <t xml:space="preserve"> - Obscene Behavior
</t>
    </r>
    <r>
      <rPr>
        <b/>
        <sz val="11"/>
        <color theme="1"/>
        <rFont val="Calibri"/>
        <family val="2"/>
        <scheme val="minor"/>
      </rPr>
      <t>04669</t>
    </r>
    <r>
      <rPr>
        <sz val="11"/>
        <color theme="1"/>
        <rFont val="Calibri"/>
        <family val="2"/>
        <scheme val="minor"/>
      </rPr>
      <t xml:space="preserve"> - Physical Altercation, Minor
</t>
    </r>
    <r>
      <rPr>
        <b/>
        <sz val="11"/>
        <color theme="1"/>
        <rFont val="Calibri"/>
        <family val="2"/>
        <scheme val="minor"/>
      </rPr>
      <t>04670</t>
    </r>
    <r>
      <rPr>
        <sz val="11"/>
        <color theme="1"/>
        <rFont val="Calibri"/>
        <family val="2"/>
        <scheme val="minor"/>
      </rPr>
      <t xml:space="preserve"> - Robbery
</t>
    </r>
    <r>
      <rPr>
        <b/>
        <sz val="11"/>
        <color theme="1"/>
        <rFont val="Calibri"/>
        <family val="2"/>
        <scheme val="minor"/>
      </rPr>
      <t>04671</t>
    </r>
    <r>
      <rPr>
        <sz val="11"/>
        <color theme="1"/>
        <rFont val="Calibri"/>
        <family val="2"/>
        <scheme val="minor"/>
      </rPr>
      <t xml:space="preserve"> - School Threat
</t>
    </r>
    <r>
      <rPr>
        <b/>
        <sz val="11"/>
        <color theme="1"/>
        <rFont val="Calibri"/>
        <family val="2"/>
        <scheme val="minor"/>
      </rPr>
      <t>04677</t>
    </r>
    <r>
      <rPr>
        <sz val="11"/>
        <color theme="1"/>
        <rFont val="Calibri"/>
        <family val="2"/>
        <scheme val="minor"/>
      </rPr>
      <t xml:space="preserve"> - Sexual Battery (sexual assault)
</t>
    </r>
    <r>
      <rPr>
        <b/>
        <sz val="11"/>
        <color theme="1"/>
        <rFont val="Calibri"/>
        <family val="2"/>
        <scheme val="minor"/>
      </rPr>
      <t>04678</t>
    </r>
    <r>
      <rPr>
        <sz val="11"/>
        <color theme="1"/>
        <rFont val="Calibri"/>
        <family val="2"/>
        <scheme val="minor"/>
      </rPr>
      <t xml:space="preserve"> - Sexual Offenses, Other (lewd behavior, indecent exposure)
</t>
    </r>
    <r>
      <rPr>
        <b/>
        <sz val="11"/>
        <color theme="1"/>
        <rFont val="Calibri"/>
        <family val="2"/>
        <scheme val="minor"/>
      </rPr>
      <t>04682</t>
    </r>
    <r>
      <rPr>
        <sz val="11"/>
        <color theme="1"/>
        <rFont val="Calibri"/>
        <family val="2"/>
        <scheme val="minor"/>
      </rPr>
      <t xml:space="preserve"> - Theft
</t>
    </r>
    <r>
      <rPr>
        <b/>
        <sz val="11"/>
        <color theme="1"/>
        <rFont val="Calibri"/>
        <family val="2"/>
        <scheme val="minor"/>
      </rPr>
      <t>04686</t>
    </r>
    <r>
      <rPr>
        <sz val="11"/>
        <color theme="1"/>
        <rFont val="Calibri"/>
        <family val="2"/>
        <scheme val="minor"/>
      </rPr>
      <t xml:space="preserve"> - Threat/Intimidation
</t>
    </r>
    <r>
      <rPr>
        <b/>
        <sz val="11"/>
        <color theme="1"/>
        <rFont val="Calibri"/>
        <family val="2"/>
        <scheme val="minor"/>
      </rPr>
      <t>04692</t>
    </r>
    <r>
      <rPr>
        <sz val="11"/>
        <color theme="1"/>
        <rFont val="Calibri"/>
        <family val="2"/>
        <scheme val="minor"/>
      </rPr>
      <t xml:space="preserve"> - Tobacco Possession or Use
</t>
    </r>
    <r>
      <rPr>
        <b/>
        <sz val="11"/>
        <color theme="1"/>
        <rFont val="Calibri"/>
        <family val="2"/>
        <scheme val="minor"/>
      </rPr>
      <t>04699</t>
    </r>
    <r>
      <rPr>
        <sz val="11"/>
        <color theme="1"/>
        <rFont val="Calibri"/>
        <family val="2"/>
        <scheme val="minor"/>
      </rPr>
      <t xml:space="preserve"> - Trespassing
</t>
    </r>
    <r>
      <rPr>
        <b/>
        <sz val="11"/>
        <color theme="1"/>
        <rFont val="Calibri"/>
        <family val="2"/>
        <scheme val="minor"/>
      </rPr>
      <t>04700</t>
    </r>
    <r>
      <rPr>
        <sz val="11"/>
        <color theme="1"/>
        <rFont val="Calibri"/>
        <family val="2"/>
        <scheme val="minor"/>
      </rPr>
      <t xml:space="preserve"> - Vandalism
</t>
    </r>
    <r>
      <rPr>
        <b/>
        <sz val="11"/>
        <color theme="1"/>
        <rFont val="Calibri"/>
        <family val="2"/>
        <scheme val="minor"/>
      </rPr>
      <t>04704</t>
    </r>
    <r>
      <rPr>
        <sz val="11"/>
        <color theme="1"/>
        <rFont val="Calibri"/>
        <family val="2"/>
        <scheme val="minor"/>
      </rPr>
      <t xml:space="preserve"> - Violation of School Rules
</t>
    </r>
    <r>
      <rPr>
        <b/>
        <sz val="11"/>
        <color theme="1"/>
        <rFont val="Calibri"/>
        <family val="2"/>
        <scheme val="minor"/>
      </rPr>
      <t>04705</t>
    </r>
    <r>
      <rPr>
        <sz val="11"/>
        <color theme="1"/>
        <rFont val="Calibri"/>
        <family val="2"/>
        <scheme val="minor"/>
      </rPr>
      <t xml:space="preserve"> - Weapons Possession
</t>
    </r>
  </si>
  <si>
    <r>
      <t>MajorInjury</t>
    </r>
    <r>
      <rPr>
        <sz val="11"/>
        <color theme="1"/>
        <rFont val="Calibri"/>
        <family val="2"/>
        <scheme val="minor"/>
      </rPr>
      <t xml:space="preserve"> - Major injury
</t>
    </r>
    <r>
      <rPr>
        <b/>
        <sz val="11"/>
        <color theme="1"/>
        <rFont val="Calibri"/>
        <family val="2"/>
        <scheme val="minor"/>
      </rPr>
      <t>MinorInjury</t>
    </r>
    <r>
      <rPr>
        <sz val="11"/>
        <color theme="1"/>
        <rFont val="Calibri"/>
        <family val="2"/>
        <scheme val="minor"/>
      </rPr>
      <t xml:space="preserve"> - Minor injury
</t>
    </r>
    <r>
      <rPr>
        <b/>
        <sz val="11"/>
        <color theme="1"/>
        <rFont val="Calibri"/>
        <family val="2"/>
        <scheme val="minor"/>
      </rPr>
      <t>NoInjury</t>
    </r>
    <r>
      <rPr>
        <sz val="11"/>
        <color theme="1"/>
        <rFont val="Calibri"/>
        <family val="2"/>
        <scheme val="minor"/>
      </rPr>
      <t xml:space="preserve"> - No injury
</t>
    </r>
    <r>
      <rPr>
        <b/>
        <sz val="11"/>
        <color theme="1"/>
        <rFont val="Calibri"/>
        <family val="2"/>
        <scheme val="minor"/>
      </rPr>
      <t>SeriousBodilyInjury</t>
    </r>
    <r>
      <rPr>
        <sz val="11"/>
        <color theme="1"/>
        <rFont val="Calibri"/>
        <family val="2"/>
        <scheme val="minor"/>
      </rPr>
      <t xml:space="preserve"> - Serious bodily injury
</t>
    </r>
    <r>
      <rPr>
        <b/>
        <sz val="11"/>
        <color theme="1"/>
        <rFont val="Calibri"/>
        <family val="2"/>
        <scheme val="minor"/>
      </rPr>
      <t>FatalInjury</t>
    </r>
    <r>
      <rPr>
        <sz val="11"/>
        <color theme="1"/>
        <rFont val="Calibri"/>
        <family val="2"/>
        <scheme val="minor"/>
      </rPr>
      <t xml:space="preserve"> - Fatal injury
</t>
    </r>
  </si>
  <si>
    <r>
      <t>03011</t>
    </r>
    <r>
      <rPr>
        <sz val="11"/>
        <color theme="1"/>
        <rFont val="Calibri"/>
        <family val="2"/>
        <scheme val="minor"/>
      </rPr>
      <t xml:space="preserve"> - On campus
</t>
    </r>
    <r>
      <rPr>
        <b/>
        <sz val="11"/>
        <color theme="1"/>
        <rFont val="Calibri"/>
        <family val="2"/>
        <scheme val="minor"/>
      </rPr>
      <t>03012</t>
    </r>
    <r>
      <rPr>
        <sz val="11"/>
        <color theme="1"/>
        <rFont val="Calibri"/>
        <family val="2"/>
        <scheme val="minor"/>
      </rPr>
      <t xml:space="preserve"> - Administrative offices area
</t>
    </r>
    <r>
      <rPr>
        <b/>
        <sz val="11"/>
        <color theme="1"/>
        <rFont val="Calibri"/>
        <family val="2"/>
        <scheme val="minor"/>
      </rPr>
      <t>03013</t>
    </r>
    <r>
      <rPr>
        <sz val="11"/>
        <color theme="1"/>
        <rFont val="Calibri"/>
        <family val="2"/>
        <scheme val="minor"/>
      </rPr>
      <t xml:space="preserve"> - Cafeteria area
</t>
    </r>
    <r>
      <rPr>
        <b/>
        <sz val="11"/>
        <color theme="1"/>
        <rFont val="Calibri"/>
        <family val="2"/>
        <scheme val="minor"/>
      </rPr>
      <t>03014</t>
    </r>
    <r>
      <rPr>
        <sz val="11"/>
        <color theme="1"/>
        <rFont val="Calibri"/>
        <family val="2"/>
        <scheme val="minor"/>
      </rPr>
      <t xml:space="preserve"> - Classroom
</t>
    </r>
    <r>
      <rPr>
        <b/>
        <sz val="11"/>
        <color theme="1"/>
        <rFont val="Calibri"/>
        <family val="2"/>
        <scheme val="minor"/>
      </rPr>
      <t>03015</t>
    </r>
    <r>
      <rPr>
        <sz val="11"/>
        <color theme="1"/>
        <rFont val="Calibri"/>
        <family val="2"/>
        <scheme val="minor"/>
      </rPr>
      <t xml:space="preserve"> - Hallway or stairs
</t>
    </r>
    <r>
      <rPr>
        <b/>
        <sz val="11"/>
        <color theme="1"/>
        <rFont val="Calibri"/>
        <family val="2"/>
        <scheme val="minor"/>
      </rPr>
      <t>03016</t>
    </r>
    <r>
      <rPr>
        <sz val="11"/>
        <color theme="1"/>
        <rFont val="Calibri"/>
        <family val="2"/>
        <scheme val="minor"/>
      </rPr>
      <t xml:space="preserve"> - Locker room or gym areas
</t>
    </r>
    <r>
      <rPr>
        <b/>
        <sz val="11"/>
        <color theme="1"/>
        <rFont val="Calibri"/>
        <family val="2"/>
        <scheme val="minor"/>
      </rPr>
      <t>03017</t>
    </r>
    <r>
      <rPr>
        <sz val="11"/>
        <color theme="1"/>
        <rFont val="Calibri"/>
        <family val="2"/>
        <scheme val="minor"/>
      </rPr>
      <t xml:space="preserve"> - Restroom
</t>
    </r>
    <r>
      <rPr>
        <b/>
        <sz val="11"/>
        <color theme="1"/>
        <rFont val="Calibri"/>
        <family val="2"/>
        <scheme val="minor"/>
      </rPr>
      <t>03018</t>
    </r>
    <r>
      <rPr>
        <sz val="11"/>
        <color theme="1"/>
        <rFont val="Calibri"/>
        <family val="2"/>
        <scheme val="minor"/>
      </rPr>
      <t xml:space="preserve"> - Library/media center
</t>
    </r>
    <r>
      <rPr>
        <b/>
        <sz val="11"/>
        <color theme="1"/>
        <rFont val="Calibri"/>
        <family val="2"/>
        <scheme val="minor"/>
      </rPr>
      <t>03019</t>
    </r>
    <r>
      <rPr>
        <sz val="11"/>
        <color theme="1"/>
        <rFont val="Calibri"/>
        <family val="2"/>
        <scheme val="minor"/>
      </rPr>
      <t xml:space="preserve"> - Computer lab
</t>
    </r>
    <r>
      <rPr>
        <b/>
        <sz val="11"/>
        <color theme="1"/>
        <rFont val="Calibri"/>
        <family val="2"/>
        <scheme val="minor"/>
      </rPr>
      <t>03020</t>
    </r>
    <r>
      <rPr>
        <sz val="11"/>
        <color theme="1"/>
        <rFont val="Calibri"/>
        <family val="2"/>
        <scheme val="minor"/>
      </rPr>
      <t xml:space="preserve"> - Auditorium
</t>
    </r>
    <r>
      <rPr>
        <b/>
        <sz val="11"/>
        <color theme="1"/>
        <rFont val="Calibri"/>
        <family val="2"/>
        <scheme val="minor"/>
      </rPr>
      <t>03021</t>
    </r>
    <r>
      <rPr>
        <sz val="11"/>
        <color theme="1"/>
        <rFont val="Calibri"/>
        <family val="2"/>
        <scheme val="minor"/>
      </rPr>
      <t xml:space="preserve"> - On-campus other inside area
</t>
    </r>
    <r>
      <rPr>
        <b/>
        <sz val="11"/>
        <color theme="1"/>
        <rFont val="Calibri"/>
        <family val="2"/>
        <scheme val="minor"/>
      </rPr>
      <t>03022</t>
    </r>
    <r>
      <rPr>
        <sz val="11"/>
        <color theme="1"/>
        <rFont val="Calibri"/>
        <family val="2"/>
        <scheme val="minor"/>
      </rPr>
      <t xml:space="preserve"> - Athletic field or playground
</t>
    </r>
    <r>
      <rPr>
        <b/>
        <sz val="11"/>
        <color theme="1"/>
        <rFont val="Calibri"/>
        <family val="2"/>
        <scheme val="minor"/>
      </rPr>
      <t>03023</t>
    </r>
    <r>
      <rPr>
        <sz val="11"/>
        <color theme="1"/>
        <rFont val="Calibri"/>
        <family val="2"/>
        <scheme val="minor"/>
      </rPr>
      <t xml:space="preserve"> - Stadium
</t>
    </r>
    <r>
      <rPr>
        <b/>
        <sz val="11"/>
        <color theme="1"/>
        <rFont val="Calibri"/>
        <family val="2"/>
        <scheme val="minor"/>
      </rPr>
      <t>03024</t>
    </r>
    <r>
      <rPr>
        <sz val="11"/>
        <color theme="1"/>
        <rFont val="Calibri"/>
        <family val="2"/>
        <scheme val="minor"/>
      </rPr>
      <t xml:space="preserve"> - Parking lot
</t>
    </r>
    <r>
      <rPr>
        <b/>
        <sz val="11"/>
        <color theme="1"/>
        <rFont val="Calibri"/>
        <family val="2"/>
        <scheme val="minor"/>
      </rPr>
      <t>03025</t>
    </r>
    <r>
      <rPr>
        <sz val="11"/>
        <color theme="1"/>
        <rFont val="Calibri"/>
        <family val="2"/>
        <scheme val="minor"/>
      </rPr>
      <t xml:space="preserve"> - On-campus other outside area
</t>
    </r>
    <r>
      <rPr>
        <b/>
        <sz val="11"/>
        <color theme="1"/>
        <rFont val="Calibri"/>
        <family val="2"/>
        <scheme val="minor"/>
      </rPr>
      <t>03026</t>
    </r>
    <r>
      <rPr>
        <sz val="11"/>
        <color theme="1"/>
        <rFont val="Calibri"/>
        <family val="2"/>
        <scheme val="minor"/>
      </rPr>
      <t xml:space="preserve"> - Off campus
</t>
    </r>
    <r>
      <rPr>
        <b/>
        <sz val="11"/>
        <color theme="1"/>
        <rFont val="Calibri"/>
        <family val="2"/>
        <scheme val="minor"/>
      </rPr>
      <t>03027</t>
    </r>
    <r>
      <rPr>
        <sz val="11"/>
        <color theme="1"/>
        <rFont val="Calibri"/>
        <family val="2"/>
        <scheme val="minor"/>
      </rPr>
      <t xml:space="preserve"> - Bus stop
</t>
    </r>
    <r>
      <rPr>
        <b/>
        <sz val="11"/>
        <color theme="1"/>
        <rFont val="Calibri"/>
        <family val="2"/>
        <scheme val="minor"/>
      </rPr>
      <t>03028</t>
    </r>
    <r>
      <rPr>
        <sz val="11"/>
        <color theme="1"/>
        <rFont val="Calibri"/>
        <family val="2"/>
        <scheme val="minor"/>
      </rPr>
      <t xml:space="preserve"> - School bus
</t>
    </r>
    <r>
      <rPr>
        <b/>
        <sz val="11"/>
        <color theme="1"/>
        <rFont val="Calibri"/>
        <family val="2"/>
        <scheme val="minor"/>
      </rPr>
      <t>03029</t>
    </r>
    <r>
      <rPr>
        <sz val="11"/>
        <color theme="1"/>
        <rFont val="Calibri"/>
        <family val="2"/>
        <scheme val="minor"/>
      </rPr>
      <t xml:space="preserve"> - Walking to or from school
</t>
    </r>
    <r>
      <rPr>
        <b/>
        <sz val="11"/>
        <color theme="1"/>
        <rFont val="Calibri"/>
        <family val="2"/>
        <scheme val="minor"/>
      </rPr>
      <t>03030</t>
    </r>
    <r>
      <rPr>
        <sz val="11"/>
        <color theme="1"/>
        <rFont val="Calibri"/>
        <family val="2"/>
        <scheme val="minor"/>
      </rPr>
      <t xml:space="preserve"> - Off-campus at other school
</t>
    </r>
    <r>
      <rPr>
        <b/>
        <sz val="11"/>
        <color theme="1"/>
        <rFont val="Calibri"/>
        <family val="2"/>
        <scheme val="minor"/>
      </rPr>
      <t>03031</t>
    </r>
    <r>
      <rPr>
        <sz val="11"/>
        <color theme="1"/>
        <rFont val="Calibri"/>
        <family val="2"/>
        <scheme val="minor"/>
      </rPr>
      <t xml:space="preserve"> - Off-campus at other school district facility
</t>
    </r>
    <r>
      <rPr>
        <b/>
        <sz val="11"/>
        <color theme="1"/>
        <rFont val="Calibri"/>
        <family val="2"/>
        <scheme val="minor"/>
      </rPr>
      <t>03413</t>
    </r>
    <r>
      <rPr>
        <sz val="11"/>
        <color theme="1"/>
        <rFont val="Calibri"/>
        <family val="2"/>
        <scheme val="minor"/>
      </rPr>
      <t xml:space="preserve"> - Online
</t>
    </r>
    <r>
      <rPr>
        <b/>
        <sz val="11"/>
        <color theme="1"/>
        <rFont val="Calibri"/>
        <family val="2"/>
        <scheme val="minor"/>
      </rPr>
      <t>13773</t>
    </r>
    <r>
      <rPr>
        <sz val="11"/>
        <color theme="1"/>
        <rFont val="Calibri"/>
        <family val="2"/>
        <scheme val="minor"/>
      </rPr>
      <t xml:space="preserve"> - Off-campus at a school sponsored activity
</t>
    </r>
    <r>
      <rPr>
        <b/>
        <sz val="11"/>
        <color theme="1"/>
        <rFont val="Calibri"/>
        <family val="2"/>
        <scheme val="minor"/>
      </rPr>
      <t>13774</t>
    </r>
    <r>
      <rPr>
        <sz val="11"/>
        <color theme="1"/>
        <rFont val="Calibri"/>
        <family val="2"/>
        <scheme val="minor"/>
      </rPr>
      <t xml:space="preserve"> - Off-campus at another location unrelated to school
</t>
    </r>
    <r>
      <rPr>
        <b/>
        <sz val="11"/>
        <color theme="1"/>
        <rFont val="Calibri"/>
        <family val="2"/>
        <scheme val="minor"/>
      </rPr>
      <t>09997</t>
    </r>
    <r>
      <rPr>
        <sz val="11"/>
        <color theme="1"/>
        <rFont val="Calibri"/>
        <family val="2"/>
        <scheme val="minor"/>
      </rPr>
      <t xml:space="preserve"> - Unknown
</t>
    </r>
  </si>
  <si>
    <r>
      <t>03041</t>
    </r>
    <r>
      <rPr>
        <sz val="11"/>
        <color theme="1"/>
        <rFont val="Calibri"/>
        <family val="2"/>
        <scheme val="minor"/>
      </rPr>
      <t xml:space="preserve"> - Administrator
</t>
    </r>
    <r>
      <rPr>
        <b/>
        <sz val="11"/>
        <color theme="1"/>
        <rFont val="Calibri"/>
        <family val="2"/>
        <scheme val="minor"/>
      </rPr>
      <t>13342</t>
    </r>
    <r>
      <rPr>
        <sz val="11"/>
        <color theme="1"/>
        <rFont val="Calibri"/>
        <family val="2"/>
        <scheme val="minor"/>
      </rPr>
      <t xml:space="preserve"> - All Other Support Staff
</t>
    </r>
    <r>
      <rPr>
        <b/>
        <sz val="11"/>
        <color theme="1"/>
        <rFont val="Calibri"/>
        <family val="2"/>
        <scheme val="minor"/>
      </rPr>
      <t>04723</t>
    </r>
    <r>
      <rPr>
        <sz val="11"/>
        <color theme="1"/>
        <rFont val="Calibri"/>
        <family val="2"/>
        <scheme val="minor"/>
      </rPr>
      <t xml:space="preserve"> - Athletic coach
</t>
    </r>
    <r>
      <rPr>
        <b/>
        <sz val="11"/>
        <color theme="1"/>
        <rFont val="Calibri"/>
        <family val="2"/>
        <scheme val="minor"/>
      </rPr>
      <t>04708</t>
    </r>
    <r>
      <rPr>
        <sz val="11"/>
        <color theme="1"/>
        <rFont val="Calibri"/>
        <family val="2"/>
        <scheme val="minor"/>
      </rPr>
      <t xml:space="preserve"> - Board of education/school board/board of trustees member
</t>
    </r>
    <r>
      <rPr>
        <b/>
        <sz val="11"/>
        <color theme="1"/>
        <rFont val="Calibri"/>
        <family val="2"/>
        <scheme val="minor"/>
      </rPr>
      <t>04864</t>
    </r>
    <r>
      <rPr>
        <sz val="11"/>
        <color theme="1"/>
        <rFont val="Calibri"/>
        <family val="2"/>
        <scheme val="minor"/>
      </rPr>
      <t xml:space="preserve"> - Bus driver
</t>
    </r>
    <r>
      <rPr>
        <b/>
        <sz val="11"/>
        <color theme="1"/>
        <rFont val="Calibri"/>
        <family val="2"/>
        <scheme val="minor"/>
      </rPr>
      <t>04877</t>
    </r>
    <r>
      <rPr>
        <sz val="11"/>
        <color theme="1"/>
        <rFont val="Calibri"/>
        <family val="2"/>
        <scheme val="minor"/>
      </rPr>
      <t xml:space="preserve"> - Cook/food preparer (food service staff)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04878</t>
    </r>
    <r>
      <rPr>
        <sz val="11"/>
        <color theme="1"/>
        <rFont val="Calibri"/>
        <family val="2"/>
        <scheme val="minor"/>
      </rPr>
      <t xml:space="preserve"> - Custodian
</t>
    </r>
    <r>
      <rPr>
        <b/>
        <sz val="11"/>
        <color theme="1"/>
        <rFont val="Calibri"/>
        <family val="2"/>
        <scheme val="minor"/>
      </rPr>
      <t>04710</t>
    </r>
    <r>
      <rPr>
        <sz val="11"/>
        <color theme="1"/>
        <rFont val="Calibri"/>
        <family val="2"/>
        <scheme val="minor"/>
      </rPr>
      <t xml:space="preserve"> - Dean/dean of instructions/dean of students/dean of boys/dean of girls/dean of student activities
</t>
    </r>
    <r>
      <rPr>
        <b/>
        <sz val="11"/>
        <color theme="1"/>
        <rFont val="Calibri"/>
        <family val="2"/>
        <scheme val="minor"/>
      </rPr>
      <t>04712</t>
    </r>
    <r>
      <rPr>
        <sz val="11"/>
        <color theme="1"/>
        <rFont val="Calibri"/>
        <family val="2"/>
        <scheme val="minor"/>
      </rPr>
      <t xml:space="preserve"> - Deputy/associate/assistant superintendent/ commissioner
</t>
    </r>
    <r>
      <rPr>
        <b/>
        <sz val="11"/>
        <color theme="1"/>
        <rFont val="Calibri"/>
        <family val="2"/>
        <scheme val="minor"/>
      </rPr>
      <t>04711</t>
    </r>
    <r>
      <rPr>
        <sz val="11"/>
        <color theme="1"/>
        <rFont val="Calibri"/>
        <family val="2"/>
        <scheme val="minor"/>
      </rPr>
      <t xml:space="preserve"> - Deputy/associate/vice /assistant principal
</t>
    </r>
    <r>
      <rPr>
        <b/>
        <sz val="11"/>
        <color theme="1"/>
        <rFont val="Calibri"/>
        <family val="2"/>
        <scheme val="minor"/>
      </rPr>
      <t>03168</t>
    </r>
    <r>
      <rPr>
        <sz val="11"/>
        <color theme="1"/>
        <rFont val="Calibri"/>
        <family val="2"/>
        <scheme val="minor"/>
      </rPr>
      <t xml:space="preserve"> - Former student
</t>
    </r>
    <r>
      <rPr>
        <b/>
        <sz val="11"/>
        <color theme="1"/>
        <rFont val="Calibri"/>
        <family val="2"/>
        <scheme val="minor"/>
      </rPr>
      <t>03054</t>
    </r>
    <r>
      <rPr>
        <sz val="11"/>
        <color theme="1"/>
        <rFont val="Calibri"/>
        <family val="2"/>
        <scheme val="minor"/>
      </rPr>
      <t xml:space="preserve"> - Law enforcement officer
</t>
    </r>
    <r>
      <rPr>
        <b/>
        <sz val="11"/>
        <color theme="1"/>
        <rFont val="Calibri"/>
        <family val="2"/>
        <scheme val="minor"/>
      </rPr>
      <t>13335</t>
    </r>
    <r>
      <rPr>
        <sz val="11"/>
        <color theme="1"/>
        <rFont val="Calibri"/>
        <family val="2"/>
        <scheme val="minor"/>
      </rPr>
      <t xml:space="preserve"> - Librarians/Media Specialist
</t>
    </r>
    <r>
      <rPr>
        <b/>
        <sz val="11"/>
        <color theme="1"/>
        <rFont val="Calibri"/>
        <family val="2"/>
        <scheme val="minor"/>
      </rPr>
      <t>03055</t>
    </r>
    <r>
      <rPr>
        <sz val="11"/>
        <color theme="1"/>
        <rFont val="Calibri"/>
        <family val="2"/>
        <scheme val="minor"/>
      </rPr>
      <t xml:space="preserve"> - Municipal law enforcement officer assigned to the school
</t>
    </r>
    <r>
      <rPr>
        <b/>
        <sz val="11"/>
        <color theme="1"/>
        <rFont val="Calibri"/>
        <family val="2"/>
        <scheme val="minor"/>
      </rPr>
      <t>03056</t>
    </r>
    <r>
      <rPr>
        <sz val="11"/>
        <color theme="1"/>
        <rFont val="Calibri"/>
        <family val="2"/>
        <scheme val="minor"/>
      </rPr>
      <t xml:space="preserve"> - Municipal law enforcement officer not assigned to the school
</t>
    </r>
    <r>
      <rPr>
        <b/>
        <sz val="11"/>
        <color theme="1"/>
        <rFont val="Calibri"/>
        <family val="2"/>
        <scheme val="minor"/>
      </rPr>
      <t>03059</t>
    </r>
    <r>
      <rPr>
        <sz val="11"/>
        <color theme="1"/>
        <rFont val="Calibri"/>
        <family val="2"/>
        <scheme val="minor"/>
      </rPr>
      <t xml:space="preserve"> - Nonschool personnel
</t>
    </r>
    <r>
      <rPr>
        <b/>
        <sz val="11"/>
        <color theme="1"/>
        <rFont val="Calibri"/>
        <family val="2"/>
        <scheme val="minor"/>
      </rPr>
      <t>03061</t>
    </r>
    <r>
      <rPr>
        <sz val="11"/>
        <color theme="1"/>
        <rFont val="Calibri"/>
        <family val="2"/>
        <scheme val="minor"/>
      </rPr>
      <t xml:space="preserve"> - Other adult
</t>
    </r>
    <r>
      <rPr>
        <b/>
        <sz val="11"/>
        <color theme="1"/>
        <rFont val="Calibri"/>
        <family val="2"/>
        <scheme val="minor"/>
      </rPr>
      <t>03062</t>
    </r>
    <r>
      <rPr>
        <sz val="11"/>
        <color theme="1"/>
        <rFont val="Calibri"/>
        <family val="2"/>
        <scheme val="minor"/>
      </rPr>
      <t xml:space="preserve"> - Other nonstudent youth
</t>
    </r>
    <r>
      <rPr>
        <b/>
        <sz val="11"/>
        <color theme="1"/>
        <rFont val="Calibri"/>
        <family val="2"/>
        <scheme val="minor"/>
      </rPr>
      <t>13403</t>
    </r>
    <r>
      <rPr>
        <sz val="11"/>
        <color theme="1"/>
        <rFont val="Calibri"/>
        <family val="2"/>
        <scheme val="minor"/>
      </rPr>
      <t xml:space="preserve"> - Other Professional Staff
</t>
    </r>
    <r>
      <rPr>
        <b/>
        <sz val="11"/>
        <color theme="1"/>
        <rFont val="Calibri"/>
        <family val="2"/>
        <scheme val="minor"/>
      </rPr>
      <t>13333</t>
    </r>
    <r>
      <rPr>
        <sz val="11"/>
        <color theme="1"/>
        <rFont val="Calibri"/>
        <family val="2"/>
        <scheme val="minor"/>
      </rPr>
      <t xml:space="preserve"> - Paraprofessionals/Instructional Aide
</t>
    </r>
    <r>
      <rPr>
        <b/>
        <sz val="11"/>
        <color theme="1"/>
        <rFont val="Calibri"/>
        <family val="2"/>
        <scheme val="minor"/>
      </rPr>
      <t>00850</t>
    </r>
    <r>
      <rPr>
        <sz val="11"/>
        <color theme="1"/>
        <rFont val="Calibri"/>
        <family val="2"/>
        <scheme val="minor"/>
      </rPr>
      <t xml:space="preserve"> - Parent/guardian
</t>
    </r>
    <r>
      <rPr>
        <b/>
        <sz val="11"/>
        <color theme="1"/>
        <rFont val="Calibri"/>
        <family val="2"/>
        <scheme val="minor"/>
      </rPr>
      <t>04718</t>
    </r>
    <r>
      <rPr>
        <sz val="11"/>
        <color theme="1"/>
        <rFont val="Calibri"/>
        <family val="2"/>
        <scheme val="minor"/>
      </rPr>
      <t xml:space="preserve"> - Principal/headmaster/headmistress/head of school
</t>
    </r>
    <r>
      <rPr>
        <b/>
        <sz val="11"/>
        <color theme="1"/>
        <rFont val="Calibri"/>
        <family val="2"/>
        <scheme val="minor"/>
      </rPr>
      <t>03035</t>
    </r>
    <r>
      <rPr>
        <sz val="11"/>
        <color theme="1"/>
        <rFont val="Calibri"/>
        <family val="2"/>
        <scheme val="minor"/>
      </rPr>
      <t xml:space="preserve"> - Professional educational staff
</t>
    </r>
    <r>
      <rPr>
        <b/>
        <sz val="11"/>
        <color theme="1"/>
        <rFont val="Calibri"/>
        <family val="2"/>
        <scheme val="minor"/>
      </rPr>
      <t>04783</t>
    </r>
    <r>
      <rPr>
        <sz val="11"/>
        <color theme="1"/>
        <rFont val="Calibri"/>
        <family val="2"/>
        <scheme val="minor"/>
      </rPr>
      <t xml:space="preserve"> - Registered nurse
</t>
    </r>
    <r>
      <rPr>
        <b/>
        <sz val="11"/>
        <color theme="1"/>
        <rFont val="Calibri"/>
        <family val="2"/>
        <scheme val="minor"/>
      </rPr>
      <t>03060</t>
    </r>
    <r>
      <rPr>
        <sz val="11"/>
        <color theme="1"/>
        <rFont val="Calibri"/>
        <family val="2"/>
        <scheme val="minor"/>
      </rPr>
      <t xml:space="preserve"> - Representative of visiting school
</t>
    </r>
    <r>
      <rPr>
        <b/>
        <sz val="11"/>
        <color theme="1"/>
        <rFont val="Calibri"/>
        <family val="2"/>
        <scheme val="minor"/>
      </rPr>
      <t>13340</t>
    </r>
    <r>
      <rPr>
        <sz val="11"/>
        <color theme="1"/>
        <rFont val="Calibri"/>
        <family val="2"/>
        <scheme val="minor"/>
      </rPr>
      <t xml:space="preserve"> - School Administrative Support Staff
</t>
    </r>
    <r>
      <rPr>
        <b/>
        <sz val="11"/>
        <color theme="1"/>
        <rFont val="Calibri"/>
        <family val="2"/>
        <scheme val="minor"/>
      </rPr>
      <t>13334</t>
    </r>
    <r>
      <rPr>
        <sz val="11"/>
        <color theme="1"/>
        <rFont val="Calibri"/>
        <family val="2"/>
        <scheme val="minor"/>
      </rPr>
      <t xml:space="preserve"> - School Counselor
</t>
    </r>
    <r>
      <rPr>
        <b/>
        <sz val="11"/>
        <color theme="1"/>
        <rFont val="Calibri"/>
        <family val="2"/>
        <scheme val="minor"/>
      </rPr>
      <t>03057</t>
    </r>
    <r>
      <rPr>
        <sz val="11"/>
        <color theme="1"/>
        <rFont val="Calibri"/>
        <family val="2"/>
        <scheme val="minor"/>
      </rPr>
      <t xml:space="preserve"> - School district police officer assigned to the school
</t>
    </r>
    <r>
      <rPr>
        <b/>
        <sz val="11"/>
        <color theme="1"/>
        <rFont val="Calibri"/>
        <family val="2"/>
        <scheme val="minor"/>
      </rPr>
      <t>03058</t>
    </r>
    <r>
      <rPr>
        <sz val="11"/>
        <color theme="1"/>
        <rFont val="Calibri"/>
        <family val="2"/>
        <scheme val="minor"/>
      </rPr>
      <t xml:space="preserve"> - School district police officer not assigned to the school
</t>
    </r>
    <r>
      <rPr>
        <b/>
        <sz val="11"/>
        <color theme="1"/>
        <rFont val="Calibri"/>
        <family val="2"/>
        <scheme val="minor"/>
      </rPr>
      <t>04885</t>
    </r>
    <r>
      <rPr>
        <sz val="11"/>
        <color theme="1"/>
        <rFont val="Calibri"/>
        <family val="2"/>
        <scheme val="minor"/>
      </rPr>
      <t xml:space="preserve"> - Security guard
</t>
    </r>
    <r>
      <rPr>
        <b/>
        <sz val="11"/>
        <color theme="1"/>
        <rFont val="Calibri"/>
        <family val="2"/>
        <scheme val="minor"/>
      </rPr>
      <t>04788</t>
    </r>
    <r>
      <rPr>
        <sz val="11"/>
        <color theme="1"/>
        <rFont val="Calibri"/>
        <family val="2"/>
        <scheme val="minor"/>
      </rPr>
      <t xml:space="preserve"> - Social worker
</t>
    </r>
    <r>
      <rPr>
        <b/>
        <sz val="11"/>
        <color theme="1"/>
        <rFont val="Calibri"/>
        <family val="2"/>
        <scheme val="minor"/>
      </rPr>
      <t>03422</t>
    </r>
    <r>
      <rPr>
        <sz val="11"/>
        <color theme="1"/>
        <rFont val="Calibri"/>
        <family val="2"/>
        <scheme val="minor"/>
      </rPr>
      <t xml:space="preserve"> - Staff member
</t>
    </r>
    <r>
      <rPr>
        <b/>
        <sz val="11"/>
        <color theme="1"/>
        <rFont val="Calibri"/>
        <family val="2"/>
        <scheme val="minor"/>
      </rPr>
      <t>00126</t>
    </r>
    <r>
      <rPr>
        <sz val="11"/>
        <color theme="1"/>
        <rFont val="Calibri"/>
        <family val="2"/>
        <scheme val="minor"/>
      </rPr>
      <t xml:space="preserve"> - Student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03033</t>
    </r>
    <r>
      <rPr>
        <sz val="11"/>
        <color theme="1"/>
        <rFont val="Calibri"/>
        <family val="2"/>
        <scheme val="minor"/>
      </rPr>
      <t xml:space="preserve"> - Student enrolled in another school
</t>
    </r>
    <r>
      <rPr>
        <b/>
        <sz val="11"/>
        <color theme="1"/>
        <rFont val="Calibri"/>
        <family val="2"/>
        <scheme val="minor"/>
      </rPr>
      <t>03032</t>
    </r>
    <r>
      <rPr>
        <sz val="11"/>
        <color theme="1"/>
        <rFont val="Calibri"/>
        <family val="2"/>
        <scheme val="minor"/>
      </rPr>
      <t xml:space="preserve"> - Student enrolled in the school where the incident occurred
</t>
    </r>
    <r>
      <rPr>
        <b/>
        <sz val="11"/>
        <color theme="1"/>
        <rFont val="Calibri"/>
        <family val="2"/>
        <scheme val="minor"/>
      </rPr>
      <t>03034</t>
    </r>
    <r>
      <rPr>
        <sz val="11"/>
        <color theme="1"/>
        <rFont val="Calibri"/>
        <family val="2"/>
        <scheme val="minor"/>
      </rPr>
      <t xml:space="preserve"> - Student expelled or involuntarily withdrawn
</t>
    </r>
    <r>
      <rPr>
        <b/>
        <sz val="11"/>
        <color theme="1"/>
        <rFont val="Calibri"/>
        <family val="2"/>
        <scheme val="minor"/>
      </rPr>
      <t>13782</t>
    </r>
    <r>
      <rPr>
        <sz val="11"/>
        <color theme="1"/>
        <rFont val="Calibri"/>
        <family val="2"/>
        <scheme val="minor"/>
      </rPr>
      <t xml:space="preserve"> - Substitute teacher
</t>
    </r>
    <r>
      <rPr>
        <b/>
        <sz val="11"/>
        <color theme="1"/>
        <rFont val="Calibri"/>
        <family val="2"/>
        <scheme val="minor"/>
      </rPr>
      <t>04721</t>
    </r>
    <r>
      <rPr>
        <sz val="11"/>
        <color theme="1"/>
        <rFont val="Calibri"/>
        <family val="2"/>
        <scheme val="minor"/>
      </rPr>
      <t xml:space="preserve"> - Superintendent/commissioner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09997</t>
    </r>
    <r>
      <rPr>
        <sz val="11"/>
        <color theme="1"/>
        <rFont val="Calibri"/>
        <family val="2"/>
        <scheme val="minor"/>
      </rPr>
      <t xml:space="preserve"> - Unknown
</t>
    </r>
  </si>
  <si>
    <r>
      <t>00126</t>
    </r>
    <r>
      <rPr>
        <sz val="11"/>
        <color theme="1"/>
        <rFont val="Calibri"/>
        <family val="2"/>
        <scheme val="minor"/>
      </rPr>
      <t xml:space="preserve"> - Student
</t>
    </r>
    <r>
      <rPr>
        <b/>
        <sz val="11"/>
        <color theme="1"/>
        <rFont val="Calibri"/>
        <family val="2"/>
        <scheme val="minor"/>
      </rPr>
      <t>03032</t>
    </r>
    <r>
      <rPr>
        <sz val="11"/>
        <color theme="1"/>
        <rFont val="Calibri"/>
        <family val="2"/>
        <scheme val="minor"/>
      </rPr>
      <t xml:space="preserve"> - Student enrolled in the school where the incident occurred
</t>
    </r>
    <r>
      <rPr>
        <b/>
        <sz val="11"/>
        <color theme="1"/>
        <rFont val="Calibri"/>
        <family val="2"/>
        <scheme val="minor"/>
      </rPr>
      <t>03033</t>
    </r>
    <r>
      <rPr>
        <sz val="11"/>
        <color theme="1"/>
        <rFont val="Calibri"/>
        <family val="2"/>
        <scheme val="minor"/>
      </rPr>
      <t xml:space="preserve"> - Student enrolled in another school
</t>
    </r>
    <r>
      <rPr>
        <b/>
        <sz val="11"/>
        <color theme="1"/>
        <rFont val="Calibri"/>
        <family val="2"/>
        <scheme val="minor"/>
      </rPr>
      <t>03034</t>
    </r>
    <r>
      <rPr>
        <sz val="11"/>
        <color theme="1"/>
        <rFont val="Calibri"/>
        <family val="2"/>
        <scheme val="minor"/>
      </rPr>
      <t xml:space="preserve"> - Student expelled or involuntarily withdrawn
</t>
    </r>
    <r>
      <rPr>
        <b/>
        <sz val="11"/>
        <color theme="1"/>
        <rFont val="Calibri"/>
        <family val="2"/>
        <scheme val="minor"/>
      </rPr>
      <t>03422</t>
    </r>
    <r>
      <rPr>
        <sz val="11"/>
        <color theme="1"/>
        <rFont val="Calibri"/>
        <family val="2"/>
        <scheme val="minor"/>
      </rPr>
      <t xml:space="preserve"> - Staff member
</t>
    </r>
    <r>
      <rPr>
        <b/>
        <sz val="11"/>
        <color theme="1"/>
        <rFont val="Calibri"/>
        <family val="2"/>
        <scheme val="minor"/>
      </rPr>
      <t>03035</t>
    </r>
    <r>
      <rPr>
        <sz val="11"/>
        <color theme="1"/>
        <rFont val="Calibri"/>
        <family val="2"/>
        <scheme val="minor"/>
      </rPr>
      <t xml:space="preserve"> - Professional educational staff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13782</t>
    </r>
    <r>
      <rPr>
        <sz val="11"/>
        <color theme="1"/>
        <rFont val="Calibri"/>
        <family val="2"/>
        <scheme val="minor"/>
      </rPr>
      <t xml:space="preserve"> - Substitute teacher
</t>
    </r>
    <r>
      <rPr>
        <b/>
        <sz val="11"/>
        <color theme="1"/>
        <rFont val="Calibri"/>
        <family val="2"/>
        <scheme val="minor"/>
      </rPr>
      <t>13335</t>
    </r>
    <r>
      <rPr>
        <sz val="11"/>
        <color theme="1"/>
        <rFont val="Calibri"/>
        <family val="2"/>
        <scheme val="minor"/>
      </rPr>
      <t xml:space="preserve"> - Librarians/Media Specialist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13334</t>
    </r>
    <r>
      <rPr>
        <sz val="11"/>
        <color theme="1"/>
        <rFont val="Calibri"/>
        <family val="2"/>
        <scheme val="minor"/>
      </rPr>
      <t xml:space="preserve"> - School Counselor
</t>
    </r>
    <r>
      <rPr>
        <b/>
        <sz val="11"/>
        <color theme="1"/>
        <rFont val="Calibri"/>
        <family val="2"/>
        <scheme val="minor"/>
      </rPr>
      <t>04723</t>
    </r>
    <r>
      <rPr>
        <sz val="11"/>
        <color theme="1"/>
        <rFont val="Calibri"/>
        <family val="2"/>
        <scheme val="minor"/>
      </rPr>
      <t xml:space="preserve"> - Athletic coach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13403</t>
    </r>
    <r>
      <rPr>
        <sz val="11"/>
        <color theme="1"/>
        <rFont val="Calibri"/>
        <family val="2"/>
        <scheme val="minor"/>
      </rPr>
      <t xml:space="preserve"> - Other Professional Staff
</t>
    </r>
    <r>
      <rPr>
        <b/>
        <sz val="11"/>
        <color theme="1"/>
        <rFont val="Calibri"/>
        <family val="2"/>
        <scheme val="minor"/>
      </rPr>
      <t>04783</t>
    </r>
    <r>
      <rPr>
        <sz val="11"/>
        <color theme="1"/>
        <rFont val="Calibri"/>
        <family val="2"/>
        <scheme val="minor"/>
      </rPr>
      <t xml:space="preserve"> - Registered nurse
</t>
    </r>
    <r>
      <rPr>
        <b/>
        <sz val="11"/>
        <color theme="1"/>
        <rFont val="Calibri"/>
        <family val="2"/>
        <scheme val="minor"/>
      </rPr>
      <t>04788</t>
    </r>
    <r>
      <rPr>
        <sz val="11"/>
        <color theme="1"/>
        <rFont val="Calibri"/>
        <family val="2"/>
        <scheme val="minor"/>
      </rPr>
      <t xml:space="preserve"> - Social worker
</t>
    </r>
    <r>
      <rPr>
        <b/>
        <sz val="11"/>
        <color theme="1"/>
        <rFont val="Calibri"/>
        <family val="2"/>
        <scheme val="minor"/>
      </rPr>
      <t>03041</t>
    </r>
    <r>
      <rPr>
        <sz val="11"/>
        <color theme="1"/>
        <rFont val="Calibri"/>
        <family val="2"/>
        <scheme val="minor"/>
      </rPr>
      <t xml:space="preserve"> - Administrator
</t>
    </r>
    <r>
      <rPr>
        <b/>
        <sz val="11"/>
        <color theme="1"/>
        <rFont val="Calibri"/>
        <family val="2"/>
        <scheme val="minor"/>
      </rPr>
      <t>04718</t>
    </r>
    <r>
      <rPr>
        <sz val="11"/>
        <color theme="1"/>
        <rFont val="Calibri"/>
        <family val="2"/>
        <scheme val="minor"/>
      </rPr>
      <t xml:space="preserve"> - Principal/headmaster/headmistress/head of school
</t>
    </r>
    <r>
      <rPr>
        <b/>
        <sz val="11"/>
        <color theme="1"/>
        <rFont val="Calibri"/>
        <family val="2"/>
        <scheme val="minor"/>
      </rPr>
      <t>04711</t>
    </r>
    <r>
      <rPr>
        <sz val="11"/>
        <color theme="1"/>
        <rFont val="Calibri"/>
        <family val="2"/>
        <scheme val="minor"/>
      </rPr>
      <t xml:space="preserve"> - Deputy/associate/vice /assistant principal
</t>
    </r>
    <r>
      <rPr>
        <b/>
        <sz val="11"/>
        <color theme="1"/>
        <rFont val="Calibri"/>
        <family val="2"/>
        <scheme val="minor"/>
      </rPr>
      <t>04710</t>
    </r>
    <r>
      <rPr>
        <sz val="11"/>
        <color theme="1"/>
        <rFont val="Calibri"/>
        <family val="2"/>
        <scheme val="minor"/>
      </rPr>
      <t xml:space="preserve"> - Dean/dean of instructions/dean of students/dean of boys/dean of girls/dean of student activities
</t>
    </r>
    <r>
      <rPr>
        <b/>
        <sz val="11"/>
        <color theme="1"/>
        <rFont val="Calibri"/>
        <family val="2"/>
        <scheme val="minor"/>
      </rPr>
      <t>04721</t>
    </r>
    <r>
      <rPr>
        <sz val="11"/>
        <color theme="1"/>
        <rFont val="Calibri"/>
        <family val="2"/>
        <scheme val="minor"/>
      </rPr>
      <t xml:space="preserve"> - Superintendent/commissioner
</t>
    </r>
    <r>
      <rPr>
        <b/>
        <sz val="11"/>
        <color theme="1"/>
        <rFont val="Calibri"/>
        <family val="2"/>
        <scheme val="minor"/>
      </rPr>
      <t>04712</t>
    </r>
    <r>
      <rPr>
        <sz val="11"/>
        <color theme="1"/>
        <rFont val="Calibri"/>
        <family val="2"/>
        <scheme val="minor"/>
      </rPr>
      <t xml:space="preserve"> - Deputy/associate/assistant superintendent/ commissioner
</t>
    </r>
    <r>
      <rPr>
        <b/>
        <sz val="11"/>
        <color theme="1"/>
        <rFont val="Calibri"/>
        <family val="2"/>
        <scheme val="minor"/>
      </rPr>
      <t>04708</t>
    </r>
    <r>
      <rPr>
        <sz val="11"/>
        <color theme="1"/>
        <rFont val="Calibri"/>
        <family val="2"/>
        <scheme val="minor"/>
      </rPr>
      <t xml:space="preserve"> - Board of education/school board/board of trustees member
</t>
    </r>
    <r>
      <rPr>
        <b/>
        <sz val="11"/>
        <color theme="1"/>
        <rFont val="Calibri"/>
        <family val="2"/>
        <scheme val="minor"/>
      </rPr>
      <t>13342</t>
    </r>
    <r>
      <rPr>
        <sz val="11"/>
        <color theme="1"/>
        <rFont val="Calibri"/>
        <family val="2"/>
        <scheme val="minor"/>
      </rPr>
      <t xml:space="preserve"> - All Other Support Staff
</t>
    </r>
    <r>
      <rPr>
        <b/>
        <sz val="11"/>
        <color theme="1"/>
        <rFont val="Calibri"/>
        <family val="2"/>
        <scheme val="minor"/>
      </rPr>
      <t>04864</t>
    </r>
    <r>
      <rPr>
        <sz val="11"/>
        <color theme="1"/>
        <rFont val="Calibri"/>
        <family val="2"/>
        <scheme val="minor"/>
      </rPr>
      <t xml:space="preserve"> - Bus driver
</t>
    </r>
    <r>
      <rPr>
        <b/>
        <sz val="11"/>
        <color theme="1"/>
        <rFont val="Calibri"/>
        <family val="2"/>
        <scheme val="minor"/>
      </rPr>
      <t>13340</t>
    </r>
    <r>
      <rPr>
        <sz val="11"/>
        <color theme="1"/>
        <rFont val="Calibri"/>
        <family val="2"/>
        <scheme val="minor"/>
      </rPr>
      <t xml:space="preserve"> - School Administrative Support Staff
</t>
    </r>
    <r>
      <rPr>
        <b/>
        <sz val="11"/>
        <color theme="1"/>
        <rFont val="Calibri"/>
        <family val="2"/>
        <scheme val="minor"/>
      </rPr>
      <t>04878</t>
    </r>
    <r>
      <rPr>
        <sz val="11"/>
        <color theme="1"/>
        <rFont val="Calibri"/>
        <family val="2"/>
        <scheme val="minor"/>
      </rPr>
      <t xml:space="preserve"> - Custodian
</t>
    </r>
    <r>
      <rPr>
        <b/>
        <sz val="11"/>
        <color theme="1"/>
        <rFont val="Calibri"/>
        <family val="2"/>
        <scheme val="minor"/>
      </rPr>
      <t>04877</t>
    </r>
    <r>
      <rPr>
        <sz val="11"/>
        <color theme="1"/>
        <rFont val="Calibri"/>
        <family val="2"/>
        <scheme val="minor"/>
      </rPr>
      <t xml:space="preserve"> - Cook/food preparer (food service staff)
</t>
    </r>
    <r>
      <rPr>
        <b/>
        <sz val="11"/>
        <color theme="1"/>
        <rFont val="Calibri"/>
        <family val="2"/>
        <scheme val="minor"/>
      </rPr>
      <t>13333</t>
    </r>
    <r>
      <rPr>
        <sz val="11"/>
        <color theme="1"/>
        <rFont val="Calibri"/>
        <family val="2"/>
        <scheme val="minor"/>
      </rPr>
      <t xml:space="preserve"> - Paraprofessionals/Instructional Aide
</t>
    </r>
    <r>
      <rPr>
        <b/>
        <sz val="11"/>
        <color theme="1"/>
        <rFont val="Calibri"/>
        <family val="2"/>
        <scheme val="minor"/>
      </rPr>
      <t>04885</t>
    </r>
    <r>
      <rPr>
        <sz val="11"/>
        <color theme="1"/>
        <rFont val="Calibri"/>
        <family val="2"/>
        <scheme val="minor"/>
      </rPr>
      <t xml:space="preserve"> - Security guard
</t>
    </r>
    <r>
      <rPr>
        <b/>
        <sz val="11"/>
        <color theme="1"/>
        <rFont val="Calibri"/>
        <family val="2"/>
        <scheme val="minor"/>
      </rPr>
      <t>03054</t>
    </r>
    <r>
      <rPr>
        <sz val="11"/>
        <color theme="1"/>
        <rFont val="Calibri"/>
        <family val="2"/>
        <scheme val="minor"/>
      </rPr>
      <t xml:space="preserve"> - Law enforcement officer
</t>
    </r>
    <r>
      <rPr>
        <b/>
        <sz val="11"/>
        <color theme="1"/>
        <rFont val="Calibri"/>
        <family val="2"/>
        <scheme val="minor"/>
      </rPr>
      <t>03055</t>
    </r>
    <r>
      <rPr>
        <sz val="11"/>
        <color theme="1"/>
        <rFont val="Calibri"/>
        <family val="2"/>
        <scheme val="minor"/>
      </rPr>
      <t xml:space="preserve"> - Municipal law enforcement officer assigned to the school
</t>
    </r>
    <r>
      <rPr>
        <b/>
        <sz val="11"/>
        <color theme="1"/>
        <rFont val="Calibri"/>
        <family val="2"/>
        <scheme val="minor"/>
      </rPr>
      <t>03056</t>
    </r>
    <r>
      <rPr>
        <sz val="11"/>
        <color theme="1"/>
        <rFont val="Calibri"/>
        <family val="2"/>
        <scheme val="minor"/>
      </rPr>
      <t xml:space="preserve"> - Municipal law enforcement officer not assigned to the school
</t>
    </r>
    <r>
      <rPr>
        <b/>
        <sz val="11"/>
        <color theme="1"/>
        <rFont val="Calibri"/>
        <family val="2"/>
        <scheme val="minor"/>
      </rPr>
      <t>03057</t>
    </r>
    <r>
      <rPr>
        <sz val="11"/>
        <color theme="1"/>
        <rFont val="Calibri"/>
        <family val="2"/>
        <scheme val="minor"/>
      </rPr>
      <t xml:space="preserve"> - School district police officer assigned to the school
</t>
    </r>
    <r>
      <rPr>
        <b/>
        <sz val="11"/>
        <color theme="1"/>
        <rFont val="Calibri"/>
        <family val="2"/>
        <scheme val="minor"/>
      </rPr>
      <t>03058</t>
    </r>
    <r>
      <rPr>
        <sz val="11"/>
        <color theme="1"/>
        <rFont val="Calibri"/>
        <family val="2"/>
        <scheme val="minor"/>
      </rPr>
      <t xml:space="preserve"> - School district police officer not assigned to the school
</t>
    </r>
    <r>
      <rPr>
        <b/>
        <sz val="11"/>
        <color theme="1"/>
        <rFont val="Calibri"/>
        <family val="2"/>
        <scheme val="minor"/>
      </rPr>
      <t>03059</t>
    </r>
    <r>
      <rPr>
        <sz val="11"/>
        <color theme="1"/>
        <rFont val="Calibri"/>
        <family val="2"/>
        <scheme val="minor"/>
      </rPr>
      <t xml:space="preserve"> - Nonschool personnel
</t>
    </r>
    <r>
      <rPr>
        <b/>
        <sz val="11"/>
        <color theme="1"/>
        <rFont val="Calibri"/>
        <family val="2"/>
        <scheme val="minor"/>
      </rPr>
      <t>00850</t>
    </r>
    <r>
      <rPr>
        <sz val="11"/>
        <color theme="1"/>
        <rFont val="Calibri"/>
        <family val="2"/>
        <scheme val="minor"/>
      </rPr>
      <t xml:space="preserve"> - Parent/guardian
</t>
    </r>
    <r>
      <rPr>
        <b/>
        <sz val="11"/>
        <color theme="1"/>
        <rFont val="Calibri"/>
        <family val="2"/>
        <scheme val="minor"/>
      </rPr>
      <t>03060</t>
    </r>
    <r>
      <rPr>
        <sz val="11"/>
        <color theme="1"/>
        <rFont val="Calibri"/>
        <family val="2"/>
        <scheme val="minor"/>
      </rPr>
      <t xml:space="preserve"> - Representative of visiting school
</t>
    </r>
    <r>
      <rPr>
        <b/>
        <sz val="11"/>
        <color theme="1"/>
        <rFont val="Calibri"/>
        <family val="2"/>
        <scheme val="minor"/>
      </rPr>
      <t>03061</t>
    </r>
    <r>
      <rPr>
        <sz val="11"/>
        <color theme="1"/>
        <rFont val="Calibri"/>
        <family val="2"/>
        <scheme val="minor"/>
      </rPr>
      <t xml:space="preserve"> - Other adult
</t>
    </r>
    <r>
      <rPr>
        <b/>
        <sz val="11"/>
        <color theme="1"/>
        <rFont val="Calibri"/>
        <family val="2"/>
        <scheme val="minor"/>
      </rPr>
      <t>03168</t>
    </r>
    <r>
      <rPr>
        <sz val="11"/>
        <color theme="1"/>
        <rFont val="Calibri"/>
        <family val="2"/>
        <scheme val="minor"/>
      </rPr>
      <t xml:space="preserve"> - Former student
</t>
    </r>
    <r>
      <rPr>
        <b/>
        <sz val="11"/>
        <color theme="1"/>
        <rFont val="Calibri"/>
        <family val="2"/>
        <scheme val="minor"/>
      </rPr>
      <t>03062</t>
    </r>
    <r>
      <rPr>
        <sz val="11"/>
        <color theme="1"/>
        <rFont val="Calibri"/>
        <family val="2"/>
        <scheme val="minor"/>
      </rPr>
      <t xml:space="preserve"> - Other nonstudent youth
</t>
    </r>
    <r>
      <rPr>
        <b/>
        <sz val="11"/>
        <color theme="1"/>
        <rFont val="Calibri"/>
        <family val="2"/>
        <scheme val="minor"/>
      </rPr>
      <t>09997</t>
    </r>
    <r>
      <rPr>
        <sz val="11"/>
        <color theme="1"/>
        <rFont val="Calibri"/>
        <family val="2"/>
        <scheme val="minor"/>
      </rPr>
      <t xml:space="preserve"> - Unknown
</t>
    </r>
  </si>
  <si>
    <r>
      <t>13765</t>
    </r>
    <r>
      <rPr>
        <sz val="11"/>
        <color theme="1"/>
        <rFont val="Calibri"/>
        <family val="2"/>
        <scheme val="minor"/>
      </rPr>
      <t xml:space="preserve"> - After classes
</t>
    </r>
    <r>
      <rPr>
        <b/>
        <sz val="11"/>
        <color theme="1"/>
        <rFont val="Calibri"/>
        <family val="2"/>
        <scheme val="minor"/>
      </rPr>
      <t>13761</t>
    </r>
    <r>
      <rPr>
        <sz val="11"/>
        <color theme="1"/>
        <rFont val="Calibri"/>
        <family val="2"/>
        <scheme val="minor"/>
      </rPr>
      <t xml:space="preserve"> - Before classes
</t>
    </r>
    <r>
      <rPr>
        <b/>
        <sz val="11"/>
        <color theme="1"/>
        <rFont val="Calibri"/>
        <family val="2"/>
        <scheme val="minor"/>
      </rPr>
      <t>13762</t>
    </r>
    <r>
      <rPr>
        <sz val="11"/>
        <color theme="1"/>
        <rFont val="Calibri"/>
        <family val="2"/>
        <scheme val="minor"/>
      </rPr>
      <t xml:space="preserve"> - During class
</t>
    </r>
    <r>
      <rPr>
        <b/>
        <sz val="11"/>
        <color theme="1"/>
        <rFont val="Calibri"/>
        <family val="2"/>
        <scheme val="minor"/>
      </rPr>
      <t>13764</t>
    </r>
    <r>
      <rPr>
        <sz val="11"/>
        <color theme="1"/>
        <rFont val="Calibri"/>
        <family val="2"/>
        <scheme val="minor"/>
      </rPr>
      <t xml:space="preserve"> - During lunch/recess
</t>
    </r>
    <r>
      <rPr>
        <b/>
        <sz val="11"/>
        <color theme="1"/>
        <rFont val="Calibri"/>
        <family val="2"/>
        <scheme val="minor"/>
      </rPr>
      <t>13763</t>
    </r>
    <r>
      <rPr>
        <sz val="11"/>
        <color theme="1"/>
        <rFont val="Calibri"/>
        <family val="2"/>
        <scheme val="minor"/>
      </rPr>
      <t xml:space="preserve"> - During passing
</t>
    </r>
    <r>
      <rPr>
        <b/>
        <sz val="11"/>
        <color theme="1"/>
        <rFont val="Calibri"/>
        <family val="2"/>
        <scheme val="minor"/>
      </rPr>
      <t>13770</t>
    </r>
    <r>
      <rPr>
        <sz val="11"/>
        <color theme="1"/>
        <rFont val="Calibri"/>
        <family val="2"/>
        <scheme val="minor"/>
      </rPr>
      <t xml:space="preserve"> - Nonschool-sponsored activity
</t>
    </r>
    <r>
      <rPr>
        <b/>
        <sz val="11"/>
        <color theme="1"/>
        <rFont val="Calibri"/>
        <family val="2"/>
        <scheme val="minor"/>
      </rPr>
      <t>13768</t>
    </r>
    <r>
      <rPr>
        <sz val="11"/>
        <color theme="1"/>
        <rFont val="Calibri"/>
        <family val="2"/>
        <scheme val="minor"/>
      </rPr>
      <t xml:space="preserve"> - On the way from school
</t>
    </r>
    <r>
      <rPr>
        <b/>
        <sz val="11"/>
        <color theme="1"/>
        <rFont val="Calibri"/>
        <family val="2"/>
        <scheme val="minor"/>
      </rPr>
      <t>13767</t>
    </r>
    <r>
      <rPr>
        <sz val="11"/>
        <color theme="1"/>
        <rFont val="Calibri"/>
        <family val="2"/>
        <scheme val="minor"/>
      </rPr>
      <t xml:space="preserve"> - On the way to school
</t>
    </r>
    <r>
      <rPr>
        <b/>
        <sz val="11"/>
        <color theme="1"/>
        <rFont val="Calibri"/>
        <family val="2"/>
        <scheme val="minor"/>
      </rPr>
      <t>13766</t>
    </r>
    <r>
      <rPr>
        <sz val="11"/>
        <color theme="1"/>
        <rFont val="Calibri"/>
        <family val="2"/>
        <scheme val="minor"/>
      </rPr>
      <t xml:space="preserve"> - Other time during school hours
</t>
    </r>
    <r>
      <rPr>
        <b/>
        <sz val="11"/>
        <color theme="1"/>
        <rFont val="Calibri"/>
        <family val="2"/>
        <scheme val="minor"/>
      </rPr>
      <t>13771</t>
    </r>
    <r>
      <rPr>
        <sz val="11"/>
        <color theme="1"/>
        <rFont val="Calibri"/>
        <family val="2"/>
        <scheme val="minor"/>
      </rPr>
      <t xml:space="preserve"> - Other time outside school hours
</t>
    </r>
    <r>
      <rPr>
        <b/>
        <sz val="11"/>
        <color theme="1"/>
        <rFont val="Calibri"/>
        <family val="2"/>
        <scheme val="minor"/>
      </rPr>
      <t>13769</t>
    </r>
    <r>
      <rPr>
        <sz val="11"/>
        <color theme="1"/>
        <rFont val="Calibri"/>
        <family val="2"/>
        <scheme val="minor"/>
      </rPr>
      <t xml:space="preserve"> - School-sponsored activity
</t>
    </r>
    <r>
      <rPr>
        <b/>
        <sz val="11"/>
        <color theme="1"/>
        <rFont val="Calibri"/>
        <family val="2"/>
        <scheme val="minor"/>
      </rPr>
      <t>13772</t>
    </r>
    <r>
      <rPr>
        <sz val="11"/>
        <color theme="1"/>
        <rFont val="Calibri"/>
        <family val="2"/>
        <scheme val="minor"/>
      </rPr>
      <t xml:space="preserve"> - Unknown
</t>
    </r>
  </si>
  <si>
    <r>
      <t>HeadStart</t>
    </r>
    <r>
      <rPr>
        <sz val="11"/>
        <color theme="1"/>
        <rFont val="Calibri"/>
        <family val="2"/>
        <scheme val="minor"/>
      </rPr>
      <t xml:space="preserve"> - Head Start calculation
</t>
    </r>
    <r>
      <rPr>
        <b/>
        <sz val="11"/>
        <color theme="1"/>
        <rFont val="Calibri"/>
        <family val="2"/>
        <scheme val="minor"/>
      </rPr>
      <t>StateSpecific</t>
    </r>
    <r>
      <rPr>
        <sz val="11"/>
        <color theme="1"/>
        <rFont val="Calibri"/>
        <family val="2"/>
        <scheme val="minor"/>
      </rPr>
      <t xml:space="preserve"> - State-specific calculation
</t>
    </r>
  </si>
  <si>
    <r>
      <t>LongerSchoolYear</t>
    </r>
    <r>
      <rPr>
        <sz val="11"/>
        <color theme="1"/>
        <rFont val="Calibri"/>
        <family val="2"/>
        <scheme val="minor"/>
      </rPr>
      <t xml:space="preserve"> - Longer School Year
</t>
    </r>
    <r>
      <rPr>
        <b/>
        <sz val="11"/>
        <color theme="1"/>
        <rFont val="Calibri"/>
        <family val="2"/>
        <scheme val="minor"/>
      </rPr>
      <t>LongerSchoolDay</t>
    </r>
    <r>
      <rPr>
        <sz val="11"/>
        <color theme="1"/>
        <rFont val="Calibri"/>
        <family val="2"/>
        <scheme val="minor"/>
      </rPr>
      <t xml:space="preserve"> - Longer School Day
</t>
    </r>
    <r>
      <rPr>
        <b/>
        <sz val="11"/>
        <color theme="1"/>
        <rFont val="Calibri"/>
        <family val="2"/>
        <scheme val="minor"/>
      </rPr>
      <t>BeforeOrAfterSchool</t>
    </r>
    <r>
      <rPr>
        <sz val="11"/>
        <color theme="1"/>
        <rFont val="Calibri"/>
        <family val="2"/>
        <scheme val="minor"/>
      </rPr>
      <t xml:space="preserve"> - Before or After School
</t>
    </r>
    <r>
      <rPr>
        <b/>
        <sz val="11"/>
        <color theme="1"/>
        <rFont val="Calibri"/>
        <family val="2"/>
        <scheme val="minor"/>
      </rPr>
      <t>SummerSchool</t>
    </r>
    <r>
      <rPr>
        <sz val="11"/>
        <color theme="1"/>
        <rFont val="Calibri"/>
        <family val="2"/>
        <scheme val="minor"/>
      </rPr>
      <t xml:space="preserve"> - Summer School
</t>
    </r>
    <r>
      <rPr>
        <b/>
        <sz val="11"/>
        <color theme="1"/>
        <rFont val="Calibri"/>
        <family val="2"/>
        <scheme val="minor"/>
      </rPr>
      <t>WeekendSchool</t>
    </r>
    <r>
      <rPr>
        <sz val="11"/>
        <color theme="1"/>
        <rFont val="Calibri"/>
        <family val="2"/>
        <scheme val="minor"/>
      </rPr>
      <t xml:space="preserve"> - Weekend School
</t>
    </r>
    <r>
      <rPr>
        <b/>
        <sz val="11"/>
        <color theme="1"/>
        <rFont val="Calibri"/>
        <family val="2"/>
        <scheme val="minor"/>
      </rPr>
      <t>Other</t>
    </r>
    <r>
      <rPr>
        <sz val="11"/>
        <color theme="1"/>
        <rFont val="Calibri"/>
        <family val="2"/>
        <scheme val="minor"/>
      </rPr>
      <t xml:space="preserve"> - Other
</t>
    </r>
  </si>
  <si>
    <r>
      <t>Development</t>
    </r>
    <r>
      <rPr>
        <sz val="11"/>
        <color theme="1"/>
        <rFont val="Calibri"/>
        <family val="2"/>
        <scheme val="minor"/>
      </rPr>
      <t xml:space="preserve"> - Development date
</t>
    </r>
    <r>
      <rPr>
        <b/>
        <sz val="11"/>
        <color theme="1"/>
        <rFont val="Calibri"/>
        <family val="2"/>
        <scheme val="minor"/>
      </rPr>
      <t>Implementation</t>
    </r>
    <r>
      <rPr>
        <sz val="11"/>
        <color theme="1"/>
        <rFont val="Calibri"/>
        <family val="2"/>
        <scheme val="minor"/>
      </rPr>
      <t xml:space="preserve"> - Implementation date
</t>
    </r>
    <r>
      <rPr>
        <b/>
        <sz val="11"/>
        <color theme="1"/>
        <rFont val="Calibri"/>
        <family val="2"/>
        <scheme val="minor"/>
      </rPr>
      <t>TentativeRevision</t>
    </r>
    <r>
      <rPr>
        <sz val="11"/>
        <color theme="1"/>
        <rFont val="Calibri"/>
        <family val="2"/>
        <scheme val="minor"/>
      </rPr>
      <t xml:space="preserve"> - Tentative revision date
</t>
    </r>
    <r>
      <rPr>
        <b/>
        <sz val="11"/>
        <color theme="1"/>
        <rFont val="Calibri"/>
        <family val="2"/>
        <scheme val="minor"/>
      </rPr>
      <t>Revision</t>
    </r>
    <r>
      <rPr>
        <sz val="11"/>
        <color theme="1"/>
        <rFont val="Calibri"/>
        <family val="2"/>
        <scheme val="minor"/>
      </rPr>
      <t xml:space="preserve"> - Revision date
</t>
    </r>
    <r>
      <rPr>
        <b/>
        <sz val="11"/>
        <color theme="1"/>
        <rFont val="Calibri"/>
        <family val="2"/>
        <scheme val="minor"/>
      </rPr>
      <t>Other</t>
    </r>
    <r>
      <rPr>
        <sz val="11"/>
        <color theme="1"/>
        <rFont val="Calibri"/>
        <family val="2"/>
        <scheme val="minor"/>
      </rPr>
      <t xml:space="preserve"> - Other
</t>
    </r>
  </si>
  <si>
    <r>
      <t>02192</t>
    </r>
    <r>
      <rPr>
        <sz val="11"/>
        <color theme="1"/>
        <rFont val="Calibri"/>
        <family val="2"/>
        <scheme val="minor"/>
      </rPr>
      <t xml:space="preserve"> - Home
</t>
    </r>
    <r>
      <rPr>
        <b/>
        <sz val="11"/>
        <color theme="1"/>
        <rFont val="Calibri"/>
        <family val="2"/>
        <scheme val="minor"/>
      </rPr>
      <t>00754</t>
    </r>
    <r>
      <rPr>
        <sz val="11"/>
        <color theme="1"/>
        <rFont val="Calibri"/>
        <family val="2"/>
        <scheme val="minor"/>
      </rPr>
      <t xml:space="preserve"> - Hospital
</t>
    </r>
    <r>
      <rPr>
        <b/>
        <sz val="11"/>
        <color theme="1"/>
        <rFont val="Calibri"/>
        <family val="2"/>
        <scheme val="minor"/>
      </rPr>
      <t>06008</t>
    </r>
    <r>
      <rPr>
        <sz val="11"/>
        <color theme="1"/>
        <rFont val="Calibri"/>
        <family val="2"/>
        <scheme val="minor"/>
      </rPr>
      <t xml:space="preserve"> - Outpatient hospital
</t>
    </r>
    <r>
      <rPr>
        <b/>
        <sz val="11"/>
        <color theme="1"/>
        <rFont val="Calibri"/>
        <family val="2"/>
        <scheme val="minor"/>
      </rPr>
      <t>06009</t>
    </r>
    <r>
      <rPr>
        <sz val="11"/>
        <color theme="1"/>
        <rFont val="Calibri"/>
        <family val="2"/>
        <scheme val="minor"/>
      </rPr>
      <t xml:space="preserve"> - Ambulatory care center
</t>
    </r>
    <r>
      <rPr>
        <b/>
        <sz val="11"/>
        <color theme="1"/>
        <rFont val="Calibri"/>
        <family val="2"/>
        <scheme val="minor"/>
      </rPr>
      <t>06010</t>
    </r>
    <r>
      <rPr>
        <sz val="11"/>
        <color theme="1"/>
        <rFont val="Calibri"/>
        <family val="2"/>
        <scheme val="minor"/>
      </rPr>
      <t xml:space="preserve"> - Primary care health provider office
</t>
    </r>
    <r>
      <rPr>
        <b/>
        <sz val="11"/>
        <color theme="1"/>
        <rFont val="Calibri"/>
        <family val="2"/>
        <scheme val="minor"/>
      </rPr>
      <t>01535</t>
    </r>
    <r>
      <rPr>
        <sz val="11"/>
        <color theme="1"/>
        <rFont val="Calibri"/>
        <family val="2"/>
        <scheme val="minor"/>
      </rPr>
      <t xml:space="preserve"> - Child care
</t>
    </r>
    <r>
      <rPr>
        <b/>
        <sz val="11"/>
        <color theme="1"/>
        <rFont val="Calibri"/>
        <family val="2"/>
        <scheme val="minor"/>
      </rPr>
      <t>00127</t>
    </r>
    <r>
      <rPr>
        <sz val="11"/>
        <color theme="1"/>
        <rFont val="Calibri"/>
        <family val="2"/>
        <scheme val="minor"/>
      </rPr>
      <t xml:space="preserve"> - Early intervention classroom/center
</t>
    </r>
    <r>
      <rPr>
        <b/>
        <sz val="11"/>
        <color theme="1"/>
        <rFont val="Calibri"/>
        <family val="2"/>
        <scheme val="minor"/>
      </rPr>
      <t>00066</t>
    </r>
    <r>
      <rPr>
        <sz val="11"/>
        <color theme="1"/>
        <rFont val="Calibri"/>
        <family val="2"/>
        <scheme val="minor"/>
      </rPr>
      <t xml:space="preserve"> - Local education agency
</t>
    </r>
    <r>
      <rPr>
        <b/>
        <sz val="11"/>
        <color theme="1"/>
        <rFont val="Calibri"/>
        <family val="2"/>
        <scheme val="minor"/>
      </rPr>
      <t>06011</t>
    </r>
    <r>
      <rPr>
        <sz val="11"/>
        <color theme="1"/>
        <rFont val="Calibri"/>
        <family val="2"/>
        <scheme val="minor"/>
      </rPr>
      <t xml:space="preserve"> - Public health facility
</t>
    </r>
    <r>
      <rPr>
        <b/>
        <sz val="11"/>
        <color theme="1"/>
        <rFont val="Calibri"/>
        <family val="2"/>
        <scheme val="minor"/>
      </rPr>
      <t>06012</t>
    </r>
    <r>
      <rPr>
        <sz val="11"/>
        <color theme="1"/>
        <rFont val="Calibri"/>
        <family val="2"/>
        <scheme val="minor"/>
      </rPr>
      <t xml:space="preserve"> - Social service agency
</t>
    </r>
    <r>
      <rPr>
        <b/>
        <sz val="11"/>
        <color theme="1"/>
        <rFont val="Calibri"/>
        <family val="2"/>
        <scheme val="minor"/>
      </rPr>
      <t>06013</t>
    </r>
    <r>
      <rPr>
        <sz val="11"/>
        <color theme="1"/>
        <rFont val="Calibri"/>
        <family val="2"/>
        <scheme val="minor"/>
      </rPr>
      <t xml:space="preserve"> - Other health care provider location
</t>
    </r>
    <r>
      <rPr>
        <b/>
        <sz val="11"/>
        <color theme="1"/>
        <rFont val="Calibri"/>
        <family val="2"/>
        <scheme val="minor"/>
      </rPr>
      <t>00752</t>
    </r>
    <r>
      <rPr>
        <sz val="11"/>
        <color theme="1"/>
        <rFont val="Calibri"/>
        <family val="2"/>
        <scheme val="minor"/>
      </rPr>
      <t xml:space="preserve"> - Community facility
</t>
    </r>
    <r>
      <rPr>
        <b/>
        <sz val="11"/>
        <color theme="1"/>
        <rFont val="Calibri"/>
        <family val="2"/>
        <scheme val="minor"/>
      </rPr>
      <t>09999</t>
    </r>
    <r>
      <rPr>
        <sz val="11"/>
        <color theme="1"/>
        <rFont val="Calibri"/>
        <family val="2"/>
        <scheme val="minor"/>
      </rPr>
      <t xml:space="preserve"> - Other
</t>
    </r>
  </si>
  <si>
    <r>
      <t>03426</t>
    </r>
    <r>
      <rPr>
        <sz val="11"/>
        <color theme="1"/>
        <rFont val="Calibri"/>
        <family val="2"/>
        <scheme val="minor"/>
      </rPr>
      <t xml:space="preserve"> - Postsecondary education or training
</t>
    </r>
    <r>
      <rPr>
        <b/>
        <sz val="11"/>
        <color theme="1"/>
        <rFont val="Calibri"/>
        <family val="2"/>
        <scheme val="minor"/>
      </rPr>
      <t>00518</t>
    </r>
    <r>
      <rPr>
        <sz val="11"/>
        <color theme="1"/>
        <rFont val="Calibri"/>
        <family val="2"/>
        <scheme val="minor"/>
      </rPr>
      <t xml:space="preserve"> - Work
</t>
    </r>
    <r>
      <rPr>
        <b/>
        <sz val="11"/>
        <color theme="1"/>
        <rFont val="Calibri"/>
        <family val="2"/>
        <scheme val="minor"/>
      </rPr>
      <t>09998</t>
    </r>
    <r>
      <rPr>
        <sz val="11"/>
        <color theme="1"/>
        <rFont val="Calibri"/>
        <family val="2"/>
        <scheme val="minor"/>
      </rPr>
      <t xml:space="preserve"> - None
</t>
    </r>
  </si>
  <si>
    <r>
      <t>05978</t>
    </r>
    <r>
      <rPr>
        <sz val="11"/>
        <color theme="1"/>
        <rFont val="Calibri"/>
        <family val="2"/>
        <scheme val="minor"/>
      </rPr>
      <t xml:space="preserve"> - 504 plan
</t>
    </r>
    <r>
      <rPr>
        <b/>
        <sz val="11"/>
        <color theme="1"/>
        <rFont val="Calibri"/>
        <family val="2"/>
        <scheme val="minor"/>
      </rPr>
      <t>05980</t>
    </r>
    <r>
      <rPr>
        <sz val="11"/>
        <color theme="1"/>
        <rFont val="Calibri"/>
        <family val="2"/>
        <scheme val="minor"/>
      </rPr>
      <t xml:space="preserve"> - GIEP - Individualized education program for gifted student
</t>
    </r>
    <r>
      <rPr>
        <b/>
        <sz val="11"/>
        <color theme="1"/>
        <rFont val="Calibri"/>
        <family val="2"/>
        <scheme val="minor"/>
      </rPr>
      <t>02196</t>
    </r>
    <r>
      <rPr>
        <sz val="11"/>
        <color theme="1"/>
        <rFont val="Calibri"/>
        <family val="2"/>
        <scheme val="minor"/>
      </rPr>
      <t xml:space="preserve"> - Individualized education program (IEP)
</t>
    </r>
    <r>
      <rPr>
        <b/>
        <sz val="11"/>
        <color theme="1"/>
        <rFont val="Calibri"/>
        <family val="2"/>
        <scheme val="minor"/>
      </rPr>
      <t>02198</t>
    </r>
    <r>
      <rPr>
        <sz val="11"/>
        <color theme="1"/>
        <rFont val="Calibri"/>
        <family val="2"/>
        <scheme val="minor"/>
      </rPr>
      <t xml:space="preserve"> - Individualized family service plan (IFSP)
</t>
    </r>
    <r>
      <rPr>
        <b/>
        <sz val="11"/>
        <color theme="1"/>
        <rFont val="Calibri"/>
        <family val="2"/>
        <scheme val="minor"/>
      </rPr>
      <t>02197</t>
    </r>
    <r>
      <rPr>
        <sz val="11"/>
        <color theme="1"/>
        <rFont val="Calibri"/>
        <family val="2"/>
        <scheme val="minor"/>
      </rPr>
      <t xml:space="preserve"> - Individualized learning program (ILP)
</t>
    </r>
    <r>
      <rPr>
        <b/>
        <sz val="11"/>
        <color theme="1"/>
        <rFont val="Calibri"/>
        <family val="2"/>
        <scheme val="minor"/>
      </rPr>
      <t>05982</t>
    </r>
    <r>
      <rPr>
        <sz val="11"/>
        <color theme="1"/>
        <rFont val="Calibri"/>
        <family val="2"/>
        <scheme val="minor"/>
      </rPr>
      <t xml:space="preserve"> - Individualized transition plan
</t>
    </r>
    <r>
      <rPr>
        <b/>
        <sz val="11"/>
        <color theme="1"/>
        <rFont val="Calibri"/>
        <family val="2"/>
        <scheme val="minor"/>
      </rPr>
      <t>02349</t>
    </r>
    <r>
      <rPr>
        <sz val="11"/>
        <color theme="1"/>
        <rFont val="Calibri"/>
        <family val="2"/>
        <scheme val="minor"/>
      </rPr>
      <t xml:space="preserve"> - Limited English proficient/English language learner
</t>
    </r>
    <r>
      <rPr>
        <b/>
        <sz val="11"/>
        <color theme="1"/>
        <rFont val="Calibri"/>
        <family val="2"/>
        <scheme val="minor"/>
      </rPr>
      <t>05981</t>
    </r>
    <r>
      <rPr>
        <sz val="11"/>
        <color theme="1"/>
        <rFont val="Calibri"/>
        <family val="2"/>
        <scheme val="minor"/>
      </rPr>
      <t xml:space="preserve"> - Literacy plan
</t>
    </r>
    <r>
      <rPr>
        <b/>
        <sz val="11"/>
        <color theme="1"/>
        <rFont val="Calibri"/>
        <family val="2"/>
        <scheme val="minor"/>
      </rPr>
      <t>05979</t>
    </r>
    <r>
      <rPr>
        <sz val="11"/>
        <color theme="1"/>
        <rFont val="Calibri"/>
        <family val="2"/>
        <scheme val="minor"/>
      </rPr>
      <t xml:space="preserve"> - Student intervention/support plan
</t>
    </r>
    <r>
      <rPr>
        <b/>
        <sz val="11"/>
        <color theme="1"/>
        <rFont val="Calibri"/>
        <family val="2"/>
        <scheme val="minor"/>
      </rPr>
      <t>09999</t>
    </r>
    <r>
      <rPr>
        <sz val="11"/>
        <color theme="1"/>
        <rFont val="Calibri"/>
        <family val="2"/>
        <scheme val="minor"/>
      </rPr>
      <t xml:space="preserve"> - Other
</t>
    </r>
  </si>
  <si>
    <r>
      <t>Fax</t>
    </r>
    <r>
      <rPr>
        <sz val="11"/>
        <color theme="1"/>
        <rFont val="Calibri"/>
        <family val="2"/>
        <scheme val="minor"/>
      </rPr>
      <t xml:space="preserve"> - Fax number
</t>
    </r>
    <r>
      <rPr>
        <b/>
        <sz val="11"/>
        <color theme="1"/>
        <rFont val="Calibri"/>
        <family val="2"/>
        <scheme val="minor"/>
      </rPr>
      <t>Main</t>
    </r>
    <r>
      <rPr>
        <sz val="11"/>
        <color theme="1"/>
        <rFont val="Calibri"/>
        <family val="2"/>
        <scheme val="minor"/>
      </rPr>
      <t xml:space="preserve"> - Main phone number
</t>
    </r>
    <r>
      <rPr>
        <b/>
        <sz val="11"/>
        <color theme="1"/>
        <rFont val="Calibri"/>
        <family val="2"/>
        <scheme val="minor"/>
      </rPr>
      <t>Administrative</t>
    </r>
    <r>
      <rPr>
        <sz val="11"/>
        <color theme="1"/>
        <rFont val="Calibri"/>
        <family val="2"/>
        <scheme val="minor"/>
      </rPr>
      <t xml:space="preserve"> - Administrative phone number
</t>
    </r>
    <r>
      <rPr>
        <b/>
        <sz val="11"/>
        <color theme="1"/>
        <rFont val="Calibri"/>
        <family val="2"/>
        <scheme val="minor"/>
      </rPr>
      <t>HealthClinic</t>
    </r>
    <r>
      <rPr>
        <sz val="11"/>
        <color theme="1"/>
        <rFont val="Calibri"/>
        <family val="2"/>
        <scheme val="minor"/>
      </rPr>
      <t xml:space="preserve"> - Health clinic phone number
</t>
    </r>
    <r>
      <rPr>
        <b/>
        <sz val="11"/>
        <color theme="1"/>
        <rFont val="Calibri"/>
        <family val="2"/>
        <scheme val="minor"/>
      </rPr>
      <t>Attendance</t>
    </r>
    <r>
      <rPr>
        <sz val="11"/>
        <color theme="1"/>
        <rFont val="Calibri"/>
        <family val="2"/>
        <scheme val="minor"/>
      </rPr>
      <t xml:space="preserve"> - Attendance line
</t>
    </r>
    <r>
      <rPr>
        <b/>
        <sz val="11"/>
        <color theme="1"/>
        <rFont val="Calibri"/>
        <family val="2"/>
        <scheme val="minor"/>
      </rPr>
      <t>Fax</t>
    </r>
    <r>
      <rPr>
        <sz val="11"/>
        <color theme="1"/>
        <rFont val="Calibri"/>
        <family val="2"/>
        <scheme val="minor"/>
      </rPr>
      <t xml:space="preserve"> - Facsimile phone number
</t>
    </r>
    <r>
      <rPr>
        <b/>
        <sz val="11"/>
        <color theme="1"/>
        <rFont val="Calibri"/>
        <family val="2"/>
        <scheme val="minor"/>
      </rPr>
      <t>FoodServices</t>
    </r>
    <r>
      <rPr>
        <sz val="11"/>
        <color theme="1"/>
        <rFont val="Calibri"/>
        <family val="2"/>
        <scheme val="minor"/>
      </rPr>
      <t xml:space="preserve"> - Cafeteria/Food Services
</t>
    </r>
    <r>
      <rPr>
        <b/>
        <sz val="11"/>
        <color theme="1"/>
        <rFont val="Calibri"/>
        <family val="2"/>
        <scheme val="minor"/>
      </rPr>
      <t>Other</t>
    </r>
    <r>
      <rPr>
        <sz val="11"/>
        <color theme="1"/>
        <rFont val="Calibri"/>
        <family val="2"/>
        <scheme val="minor"/>
      </rPr>
      <t xml:space="preserve"> - Other
</t>
    </r>
  </si>
  <si>
    <r>
      <t>ExclusivelyCredit</t>
    </r>
    <r>
      <rPr>
        <sz val="11"/>
        <color theme="1"/>
        <rFont val="Calibri"/>
        <family val="2"/>
        <scheme val="minor"/>
      </rPr>
      <t xml:space="preserve"> - Exclusively credit
</t>
    </r>
    <r>
      <rPr>
        <b/>
        <sz val="11"/>
        <color theme="1"/>
        <rFont val="Calibri"/>
        <family val="2"/>
        <scheme val="minor"/>
      </rPr>
      <t>ExclusivelyNotForCredit</t>
    </r>
    <r>
      <rPr>
        <sz val="11"/>
        <color theme="1"/>
        <rFont val="Calibri"/>
        <family val="2"/>
        <scheme val="minor"/>
      </rPr>
      <t xml:space="preserve"> - Exclusively not-for-credit
</t>
    </r>
    <r>
      <rPr>
        <b/>
        <sz val="11"/>
        <color theme="1"/>
        <rFont val="Calibri"/>
        <family val="2"/>
        <scheme val="minor"/>
      </rPr>
      <t>Combined</t>
    </r>
    <r>
      <rPr>
        <sz val="11"/>
        <color theme="1"/>
        <rFont val="Calibri"/>
        <family val="2"/>
        <scheme val="minor"/>
      </rPr>
      <t xml:space="preserve"> - Combined credit/not-for-credit
</t>
    </r>
  </si>
  <si>
    <r>
      <t>LessThan9-Month</t>
    </r>
    <r>
      <rPr>
        <sz val="11"/>
        <color theme="1"/>
        <rFont val="Calibri"/>
        <family val="2"/>
        <scheme val="minor"/>
      </rPr>
      <t xml:space="preserve"> - Less than 9-Month
</t>
    </r>
    <r>
      <rPr>
        <b/>
        <sz val="11"/>
        <color theme="1"/>
        <rFont val="Calibri"/>
        <family val="2"/>
        <scheme val="minor"/>
      </rPr>
      <t>9-Month</t>
    </r>
    <r>
      <rPr>
        <sz val="11"/>
        <color theme="1"/>
        <rFont val="Calibri"/>
        <family val="2"/>
        <scheme val="minor"/>
      </rPr>
      <t xml:space="preserve"> - 9-Month
</t>
    </r>
    <r>
      <rPr>
        <b/>
        <sz val="11"/>
        <color theme="1"/>
        <rFont val="Calibri"/>
        <family val="2"/>
        <scheme val="minor"/>
      </rPr>
      <t>10-Month</t>
    </r>
    <r>
      <rPr>
        <sz val="11"/>
        <color theme="1"/>
        <rFont val="Calibri"/>
        <family val="2"/>
        <scheme val="minor"/>
      </rPr>
      <t xml:space="preserve"> - 10-Month
</t>
    </r>
    <r>
      <rPr>
        <b/>
        <sz val="11"/>
        <color theme="1"/>
        <rFont val="Calibri"/>
        <family val="2"/>
        <scheme val="minor"/>
      </rPr>
      <t>11-Month</t>
    </r>
    <r>
      <rPr>
        <sz val="11"/>
        <color theme="1"/>
        <rFont val="Calibri"/>
        <family val="2"/>
        <scheme val="minor"/>
      </rPr>
      <t xml:space="preserve"> - 11-Month
</t>
    </r>
    <r>
      <rPr>
        <b/>
        <sz val="11"/>
        <color theme="1"/>
        <rFont val="Calibri"/>
        <family val="2"/>
        <scheme val="minor"/>
      </rPr>
      <t>12-Month</t>
    </r>
    <r>
      <rPr>
        <sz val="11"/>
        <color theme="1"/>
        <rFont val="Calibri"/>
        <family val="2"/>
        <scheme val="minor"/>
      </rPr>
      <t xml:space="preserve"> - 12-Month
</t>
    </r>
  </si>
  <si>
    <r>
      <t>Tenured</t>
    </r>
    <r>
      <rPr>
        <sz val="11"/>
        <color theme="1"/>
        <rFont val="Calibri"/>
        <family val="2"/>
        <scheme val="minor"/>
      </rPr>
      <t xml:space="preserve"> - Tenured
</t>
    </r>
    <r>
      <rPr>
        <b/>
        <sz val="11"/>
        <color theme="1"/>
        <rFont val="Calibri"/>
        <family val="2"/>
        <scheme val="minor"/>
      </rPr>
      <t>OnTenureTrack</t>
    </r>
    <r>
      <rPr>
        <sz val="11"/>
        <color theme="1"/>
        <rFont val="Calibri"/>
        <family val="2"/>
        <scheme val="minor"/>
      </rPr>
      <t xml:space="preserve"> - On tenure track
</t>
    </r>
    <r>
      <rPr>
        <b/>
        <sz val="11"/>
        <color theme="1"/>
        <rFont val="Calibri"/>
        <family val="2"/>
        <scheme val="minor"/>
      </rPr>
      <t>NotOnTenureTrack</t>
    </r>
    <r>
      <rPr>
        <sz val="11"/>
        <color theme="1"/>
        <rFont val="Calibri"/>
        <family val="2"/>
        <scheme val="minor"/>
      </rPr>
      <t xml:space="preserve"> - Not on tenure track
</t>
    </r>
    <r>
      <rPr>
        <b/>
        <sz val="11"/>
        <color theme="1"/>
        <rFont val="Calibri"/>
        <family val="2"/>
        <scheme val="minor"/>
      </rPr>
      <t>WithoutFacultyStatus</t>
    </r>
    <r>
      <rPr>
        <sz val="11"/>
        <color theme="1"/>
        <rFont val="Calibri"/>
        <family val="2"/>
        <scheme val="minor"/>
      </rPr>
      <t xml:space="preserve"> - Without faculty status
</t>
    </r>
  </si>
  <si>
    <r>
      <t>Developing</t>
    </r>
    <r>
      <rPr>
        <sz val="11"/>
        <color theme="1"/>
        <rFont val="Calibri"/>
        <family val="2"/>
        <scheme val="minor"/>
      </rPr>
      <t xml:space="preserve"> - Developing
</t>
    </r>
    <r>
      <rPr>
        <b/>
        <sz val="11"/>
        <color theme="1"/>
        <rFont val="Calibri"/>
        <family val="2"/>
        <scheme val="minor"/>
      </rPr>
      <t>Approaching</t>
    </r>
    <r>
      <rPr>
        <sz val="11"/>
        <color theme="1"/>
        <rFont val="Calibri"/>
        <family val="2"/>
        <scheme val="minor"/>
      </rPr>
      <t xml:space="preserve"> - Approaching
</t>
    </r>
    <r>
      <rPr>
        <b/>
        <sz val="11"/>
        <color theme="1"/>
        <rFont val="Calibri"/>
        <family val="2"/>
        <scheme val="minor"/>
      </rPr>
      <t>Meets</t>
    </r>
    <r>
      <rPr>
        <sz val="11"/>
        <color theme="1"/>
        <rFont val="Calibri"/>
        <family val="2"/>
        <scheme val="minor"/>
      </rPr>
      <t xml:space="preserve"> - Meets
</t>
    </r>
    <r>
      <rPr>
        <b/>
        <sz val="11"/>
        <color theme="1"/>
        <rFont val="Calibri"/>
        <family val="2"/>
        <scheme val="minor"/>
      </rPr>
      <t>FullyIntegrated</t>
    </r>
    <r>
      <rPr>
        <sz val="11"/>
        <color theme="1"/>
        <rFont val="Calibri"/>
        <family val="2"/>
        <scheme val="minor"/>
      </rPr>
      <t xml:space="preserve"> - Fully integrated
</t>
    </r>
    <r>
      <rPr>
        <b/>
        <sz val="11"/>
        <color theme="1"/>
        <rFont val="Calibri"/>
        <family val="2"/>
        <scheme val="minor"/>
      </rPr>
      <t>NotRequired</t>
    </r>
    <r>
      <rPr>
        <sz val="11"/>
        <color theme="1"/>
        <rFont val="Calibri"/>
        <family val="2"/>
        <scheme val="minor"/>
      </rPr>
      <t xml:space="preserve"> - Not required to report
</t>
    </r>
  </si>
  <si>
    <r>
      <t>HighSpeed</t>
    </r>
    <r>
      <rPr>
        <sz val="11"/>
        <color theme="1"/>
        <rFont val="Calibri"/>
        <family val="2"/>
        <scheme val="minor"/>
      </rPr>
      <t xml:space="preserve"> - High speed connectivity
</t>
    </r>
    <r>
      <rPr>
        <b/>
        <sz val="11"/>
        <color theme="1"/>
        <rFont val="Calibri"/>
        <family val="2"/>
        <scheme val="minor"/>
      </rPr>
      <t>LessThanHighSpeed</t>
    </r>
    <r>
      <rPr>
        <sz val="11"/>
        <color theme="1"/>
        <rFont val="Calibri"/>
        <family val="2"/>
        <scheme val="minor"/>
      </rPr>
      <t xml:space="preserve"> - Less than high speed connectivity
</t>
    </r>
  </si>
  <si>
    <r>
      <t>01</t>
    </r>
    <r>
      <rPr>
        <sz val="11"/>
        <color theme="1"/>
        <rFont val="Calibri"/>
        <family val="2"/>
        <scheme val="minor"/>
      </rPr>
      <t xml:space="preserve"> - Postsecondary Teacher: Instruction
</t>
    </r>
    <r>
      <rPr>
        <b/>
        <sz val="11"/>
        <color theme="1"/>
        <rFont val="Calibri"/>
        <family val="2"/>
        <scheme val="minor"/>
      </rPr>
      <t>02</t>
    </r>
    <r>
      <rPr>
        <sz val="11"/>
        <color theme="1"/>
        <rFont val="Calibri"/>
        <family val="2"/>
        <scheme val="minor"/>
      </rPr>
      <t xml:space="preserve"> - Postsecondary Teacher: Instruction/Research/Public Service
</t>
    </r>
    <r>
      <rPr>
        <b/>
        <sz val="11"/>
        <color theme="1"/>
        <rFont val="Calibri"/>
        <family val="2"/>
        <scheme val="minor"/>
      </rPr>
      <t>03</t>
    </r>
    <r>
      <rPr>
        <sz val="11"/>
        <color theme="1"/>
        <rFont val="Calibri"/>
        <family val="2"/>
        <scheme val="minor"/>
      </rPr>
      <t xml:space="preserve"> - Postsecondary Teacher: Research
</t>
    </r>
    <r>
      <rPr>
        <b/>
        <sz val="11"/>
        <color theme="1"/>
        <rFont val="Calibri"/>
        <family val="2"/>
        <scheme val="minor"/>
      </rPr>
      <t>04</t>
    </r>
    <r>
      <rPr>
        <sz val="11"/>
        <color theme="1"/>
        <rFont val="Calibri"/>
        <family val="2"/>
        <scheme val="minor"/>
      </rPr>
      <t xml:space="preserve"> - Postsecondary Teacher: Public Service
</t>
    </r>
    <r>
      <rPr>
        <b/>
        <sz val="11"/>
        <color theme="1"/>
        <rFont val="Calibri"/>
        <family val="2"/>
        <scheme val="minor"/>
      </rPr>
      <t>05</t>
    </r>
    <r>
      <rPr>
        <sz val="11"/>
        <color theme="1"/>
        <rFont val="Calibri"/>
        <family val="2"/>
        <scheme val="minor"/>
      </rPr>
      <t xml:space="preserve"> - Archivists, Curators, and Museum Technicians
</t>
    </r>
    <r>
      <rPr>
        <b/>
        <sz val="11"/>
        <color theme="1"/>
        <rFont val="Calibri"/>
        <family val="2"/>
        <scheme val="minor"/>
      </rPr>
      <t>06</t>
    </r>
    <r>
      <rPr>
        <sz val="11"/>
        <color theme="1"/>
        <rFont val="Calibri"/>
        <family val="2"/>
        <scheme val="minor"/>
      </rPr>
      <t xml:space="preserve"> - Librarians
</t>
    </r>
    <r>
      <rPr>
        <b/>
        <sz val="11"/>
        <color theme="1"/>
        <rFont val="Calibri"/>
        <family val="2"/>
        <scheme val="minor"/>
      </rPr>
      <t>07</t>
    </r>
    <r>
      <rPr>
        <sz val="11"/>
        <color theme="1"/>
        <rFont val="Calibri"/>
        <family val="2"/>
        <scheme val="minor"/>
      </rPr>
      <t xml:space="preserve"> - Librarian Technicians
</t>
    </r>
    <r>
      <rPr>
        <b/>
        <sz val="11"/>
        <color theme="1"/>
        <rFont val="Calibri"/>
        <family val="2"/>
        <scheme val="minor"/>
      </rPr>
      <t>08</t>
    </r>
    <r>
      <rPr>
        <sz val="11"/>
        <color theme="1"/>
        <rFont val="Calibri"/>
        <family val="2"/>
        <scheme val="minor"/>
      </rPr>
      <t xml:space="preserve"> - Non-Postsecondary Teachers
</t>
    </r>
    <r>
      <rPr>
        <b/>
        <sz val="11"/>
        <color theme="1"/>
        <rFont val="Calibri"/>
        <family val="2"/>
        <scheme val="minor"/>
      </rPr>
      <t>09</t>
    </r>
    <r>
      <rPr>
        <sz val="11"/>
        <color theme="1"/>
        <rFont val="Calibri"/>
        <family val="2"/>
        <scheme val="minor"/>
      </rPr>
      <t xml:space="preserve"> - Management Occupations
</t>
    </r>
    <r>
      <rPr>
        <b/>
        <sz val="11"/>
        <color theme="1"/>
        <rFont val="Calibri"/>
        <family val="2"/>
        <scheme val="minor"/>
      </rPr>
      <t>10</t>
    </r>
    <r>
      <rPr>
        <sz val="11"/>
        <color theme="1"/>
        <rFont val="Calibri"/>
        <family val="2"/>
        <scheme val="minor"/>
      </rPr>
      <t xml:space="preserve"> - Business and Financial Occupations
</t>
    </r>
    <r>
      <rPr>
        <b/>
        <sz val="11"/>
        <color theme="1"/>
        <rFont val="Calibri"/>
        <family val="2"/>
        <scheme val="minor"/>
      </rPr>
      <t>11</t>
    </r>
    <r>
      <rPr>
        <sz val="11"/>
        <color theme="1"/>
        <rFont val="Calibri"/>
        <family val="2"/>
        <scheme val="minor"/>
      </rPr>
      <t xml:space="preserve"> - Computer, Engineering and Science Occupations
</t>
    </r>
    <r>
      <rPr>
        <b/>
        <sz val="11"/>
        <color theme="1"/>
        <rFont val="Calibri"/>
        <family val="2"/>
        <scheme val="minor"/>
      </rPr>
      <t>12</t>
    </r>
    <r>
      <rPr>
        <sz val="11"/>
        <color theme="1"/>
        <rFont val="Calibri"/>
        <family val="2"/>
        <scheme val="minor"/>
      </rPr>
      <t xml:space="preserve"> - Community Service, Legal, Arts, and Media Occupations
</t>
    </r>
    <r>
      <rPr>
        <b/>
        <sz val="11"/>
        <color theme="1"/>
        <rFont val="Calibri"/>
        <family val="2"/>
        <scheme val="minor"/>
      </rPr>
      <t>13</t>
    </r>
    <r>
      <rPr>
        <sz val="11"/>
        <color theme="1"/>
        <rFont val="Calibri"/>
        <family val="2"/>
        <scheme val="minor"/>
      </rPr>
      <t xml:space="preserve"> - Healthcare Practitioners and Technical Occupations
</t>
    </r>
    <r>
      <rPr>
        <b/>
        <sz val="11"/>
        <color theme="1"/>
        <rFont val="Calibri"/>
        <family val="2"/>
        <scheme val="minor"/>
      </rPr>
      <t>14</t>
    </r>
    <r>
      <rPr>
        <sz val="11"/>
        <color theme="1"/>
        <rFont val="Calibri"/>
        <family val="2"/>
        <scheme val="minor"/>
      </rPr>
      <t xml:space="preserve"> - Service Occupations
</t>
    </r>
    <r>
      <rPr>
        <b/>
        <sz val="11"/>
        <color theme="1"/>
        <rFont val="Calibri"/>
        <family val="2"/>
        <scheme val="minor"/>
      </rPr>
      <t>15</t>
    </r>
    <r>
      <rPr>
        <sz val="11"/>
        <color theme="1"/>
        <rFont val="Calibri"/>
        <family val="2"/>
        <scheme val="minor"/>
      </rPr>
      <t xml:space="preserve"> - Sales and Related Occupations
</t>
    </r>
    <r>
      <rPr>
        <b/>
        <sz val="11"/>
        <color theme="1"/>
        <rFont val="Calibri"/>
        <family val="2"/>
        <scheme val="minor"/>
      </rPr>
      <t>16</t>
    </r>
    <r>
      <rPr>
        <sz val="11"/>
        <color theme="1"/>
        <rFont val="Calibri"/>
        <family val="2"/>
        <scheme val="minor"/>
      </rPr>
      <t xml:space="preserve"> - Office and Administrative Support Occupations
</t>
    </r>
    <r>
      <rPr>
        <b/>
        <sz val="11"/>
        <color theme="1"/>
        <rFont val="Calibri"/>
        <family val="2"/>
        <scheme val="minor"/>
      </rPr>
      <t>17</t>
    </r>
    <r>
      <rPr>
        <sz val="11"/>
        <color theme="1"/>
        <rFont val="Calibri"/>
        <family val="2"/>
        <scheme val="minor"/>
      </rPr>
      <t xml:space="preserve"> - Natural Resources, Construction
</t>
    </r>
    <r>
      <rPr>
        <b/>
        <sz val="11"/>
        <color theme="1"/>
        <rFont val="Calibri"/>
        <family val="2"/>
        <scheme val="minor"/>
      </rPr>
      <t>18</t>
    </r>
    <r>
      <rPr>
        <sz val="11"/>
        <color theme="1"/>
        <rFont val="Calibri"/>
        <family val="2"/>
        <scheme val="minor"/>
      </rPr>
      <t xml:space="preserve"> - Maintenance Occupations
</t>
    </r>
  </si>
  <si>
    <r>
      <t>LEAOnly</t>
    </r>
    <r>
      <rPr>
        <sz val="11"/>
        <color theme="1"/>
        <rFont val="Calibri"/>
        <family val="2"/>
        <scheme val="minor"/>
      </rPr>
      <t xml:space="preserve"> - LEA only
</t>
    </r>
    <r>
      <rPr>
        <b/>
        <sz val="11"/>
        <color theme="1"/>
        <rFont val="Calibri"/>
        <family val="2"/>
        <scheme val="minor"/>
      </rPr>
      <t>SEAOnly</t>
    </r>
    <r>
      <rPr>
        <sz val="11"/>
        <color theme="1"/>
        <rFont val="Calibri"/>
        <family val="2"/>
        <scheme val="minor"/>
      </rPr>
      <t xml:space="preserve"> - SEA only
</t>
    </r>
    <r>
      <rPr>
        <b/>
        <sz val="11"/>
        <color theme="1"/>
        <rFont val="Calibri"/>
        <family val="2"/>
        <scheme val="minor"/>
      </rPr>
      <t>Both</t>
    </r>
    <r>
      <rPr>
        <sz val="11"/>
        <color theme="1"/>
        <rFont val="Calibri"/>
        <family val="2"/>
        <scheme val="minor"/>
      </rPr>
      <t xml:space="preserve"> - LEA and SEA
</t>
    </r>
    <r>
      <rPr>
        <b/>
        <sz val="11"/>
        <color theme="1"/>
        <rFont val="Calibri"/>
        <family val="2"/>
        <scheme val="minor"/>
      </rPr>
      <t>Neither</t>
    </r>
    <r>
      <rPr>
        <sz val="11"/>
        <color theme="1"/>
        <rFont val="Calibri"/>
        <family val="2"/>
        <scheme val="minor"/>
      </rPr>
      <t xml:space="preserve"> - Neither LEA or SEA
</t>
    </r>
  </si>
  <si>
    <r>
      <t>FullDay</t>
    </r>
    <r>
      <rPr>
        <sz val="11"/>
        <color theme="1"/>
        <rFont val="Calibri"/>
        <family val="2"/>
        <scheme val="minor"/>
      </rPr>
      <t xml:space="preserve"> - Full-day
</t>
    </r>
    <r>
      <rPr>
        <b/>
        <sz val="11"/>
        <color theme="1"/>
        <rFont val="Calibri"/>
        <family val="2"/>
        <scheme val="minor"/>
      </rPr>
      <t>Part-day</t>
    </r>
    <r>
      <rPr>
        <sz val="11"/>
        <color theme="1"/>
        <rFont val="Calibri"/>
        <family val="2"/>
        <scheme val="minor"/>
      </rPr>
      <t xml:space="preserve"> - Part-day
</t>
    </r>
    <r>
      <rPr>
        <b/>
        <sz val="11"/>
        <color theme="1"/>
        <rFont val="Calibri"/>
        <family val="2"/>
        <scheme val="minor"/>
      </rPr>
      <t>NotProvided</t>
    </r>
    <r>
      <rPr>
        <sz val="11"/>
        <color theme="1"/>
        <rFont val="Calibri"/>
        <family val="2"/>
        <scheme val="minor"/>
      </rPr>
      <t xml:space="preserve"> - Not provided
</t>
    </r>
  </si>
  <si>
    <r>
      <t>FullDayKindergarten</t>
    </r>
    <r>
      <rPr>
        <sz val="11"/>
        <color theme="1"/>
        <rFont val="Calibri"/>
        <family val="2"/>
        <scheme val="minor"/>
      </rPr>
      <t xml:space="preserve"> - Full-Day kindergarten
</t>
    </r>
    <r>
      <rPr>
        <b/>
        <sz val="11"/>
        <color theme="1"/>
        <rFont val="Calibri"/>
        <family val="2"/>
        <scheme val="minor"/>
      </rPr>
      <t>PartDayKindergarten</t>
    </r>
    <r>
      <rPr>
        <sz val="11"/>
        <color theme="1"/>
        <rFont val="Calibri"/>
        <family val="2"/>
        <scheme val="minor"/>
      </rPr>
      <t xml:space="preserve"> - Part-Day kindergarten
</t>
    </r>
    <r>
      <rPr>
        <b/>
        <sz val="11"/>
        <color theme="1"/>
        <rFont val="Calibri"/>
        <family val="2"/>
        <scheme val="minor"/>
      </rPr>
      <t>ExtendedDayKindergarten</t>
    </r>
    <r>
      <rPr>
        <sz val="11"/>
        <color theme="1"/>
        <rFont val="Calibri"/>
        <family val="2"/>
        <scheme val="minor"/>
      </rPr>
      <t xml:space="preserve"> - Extended day kindergarten
</t>
    </r>
  </si>
  <si>
    <r>
      <t>Correspondence</t>
    </r>
    <r>
      <rPr>
        <sz val="11"/>
        <color theme="1"/>
        <rFont val="Calibri"/>
        <family val="2"/>
        <scheme val="minor"/>
      </rPr>
      <t xml:space="preserve"> - Correspondence language
</t>
    </r>
    <r>
      <rPr>
        <b/>
        <sz val="11"/>
        <color theme="1"/>
        <rFont val="Calibri"/>
        <family val="2"/>
        <scheme val="minor"/>
      </rPr>
      <t>Dominant</t>
    </r>
    <r>
      <rPr>
        <sz val="11"/>
        <color theme="1"/>
        <rFont val="Calibri"/>
        <family val="2"/>
        <scheme val="minor"/>
      </rPr>
      <t xml:space="preserve"> - Dominant language
</t>
    </r>
    <r>
      <rPr>
        <b/>
        <sz val="11"/>
        <color theme="1"/>
        <rFont val="Calibri"/>
        <family val="2"/>
        <scheme val="minor"/>
      </rPr>
      <t>Home</t>
    </r>
    <r>
      <rPr>
        <sz val="11"/>
        <color theme="1"/>
        <rFont val="Calibri"/>
        <family val="2"/>
        <scheme val="minor"/>
      </rPr>
      <t xml:space="preserve"> - Home language
</t>
    </r>
    <r>
      <rPr>
        <b/>
        <sz val="11"/>
        <color theme="1"/>
        <rFont val="Calibri"/>
        <family val="2"/>
        <scheme val="minor"/>
      </rPr>
      <t>Native</t>
    </r>
    <r>
      <rPr>
        <sz val="11"/>
        <color theme="1"/>
        <rFont val="Calibri"/>
        <family val="2"/>
        <scheme val="minor"/>
      </rPr>
      <t xml:space="preserve"> - Native language
</t>
    </r>
    <r>
      <rPr>
        <b/>
        <sz val="11"/>
        <color theme="1"/>
        <rFont val="Calibri"/>
        <family val="2"/>
        <scheme val="minor"/>
      </rPr>
      <t>OtherLanguageProficiency</t>
    </r>
    <r>
      <rPr>
        <sz val="11"/>
        <color theme="1"/>
        <rFont val="Calibri"/>
        <family val="2"/>
        <scheme val="minor"/>
      </rPr>
      <t xml:space="preserve"> - Other language proficiency
</t>
    </r>
    <r>
      <rPr>
        <b/>
        <sz val="11"/>
        <color theme="1"/>
        <rFont val="Calibri"/>
        <family val="2"/>
        <scheme val="minor"/>
      </rPr>
      <t>Other</t>
    </r>
    <r>
      <rPr>
        <sz val="11"/>
        <color theme="1"/>
        <rFont val="Calibri"/>
        <family val="2"/>
        <scheme val="minor"/>
      </rPr>
      <t xml:space="preserve"> - Other
</t>
    </r>
  </si>
  <si>
    <r>
      <t>Start</t>
    </r>
    <r>
      <rPr>
        <sz val="11"/>
        <color theme="1"/>
        <rFont val="Calibri"/>
        <family val="2"/>
        <scheme val="minor"/>
      </rPr>
      <t xml:space="preserve"> - The start of the problem
</t>
    </r>
    <r>
      <rPr>
        <b/>
        <sz val="11"/>
        <color theme="1"/>
        <rFont val="Calibri"/>
        <family val="2"/>
        <scheme val="minor"/>
      </rPr>
      <t>Hint</t>
    </r>
    <r>
      <rPr>
        <sz val="11"/>
        <color theme="1"/>
        <rFont val="Calibri"/>
        <family val="2"/>
        <scheme val="minor"/>
      </rPr>
      <t xml:space="preserve"> - A hint was requested
</t>
    </r>
    <r>
      <rPr>
        <b/>
        <sz val="11"/>
        <color theme="1"/>
        <rFont val="Calibri"/>
        <family val="2"/>
        <scheme val="minor"/>
      </rPr>
      <t>Answer</t>
    </r>
    <r>
      <rPr>
        <sz val="11"/>
        <color theme="1"/>
        <rFont val="Calibri"/>
        <family val="2"/>
        <scheme val="minor"/>
      </rPr>
      <t xml:space="preserve"> - A response was given
</t>
    </r>
    <r>
      <rPr>
        <b/>
        <sz val="11"/>
        <color theme="1"/>
        <rFont val="Calibri"/>
        <family val="2"/>
        <scheme val="minor"/>
      </rPr>
      <t>Link</t>
    </r>
    <r>
      <rPr>
        <sz val="11"/>
        <color theme="1"/>
        <rFont val="Calibri"/>
        <family val="2"/>
        <scheme val="minor"/>
      </rPr>
      <t xml:space="preserve"> - Link to a resource
</t>
    </r>
    <r>
      <rPr>
        <b/>
        <sz val="11"/>
        <color theme="1"/>
        <rFont val="Calibri"/>
        <family val="2"/>
        <scheme val="minor"/>
      </rPr>
      <t>Resume</t>
    </r>
    <r>
      <rPr>
        <sz val="11"/>
        <color theme="1"/>
        <rFont val="Calibri"/>
        <family val="2"/>
        <scheme val="minor"/>
      </rPr>
      <t xml:space="preserve"> - The user is returning to a problem they previously started
</t>
    </r>
    <r>
      <rPr>
        <b/>
        <sz val="11"/>
        <color theme="1"/>
        <rFont val="Calibri"/>
        <family val="2"/>
        <scheme val="minor"/>
      </rPr>
      <t>Scaffold</t>
    </r>
    <r>
      <rPr>
        <sz val="11"/>
        <color theme="1"/>
        <rFont val="Calibri"/>
        <family val="2"/>
        <scheme val="minor"/>
      </rPr>
      <t xml:space="preserve"> - Scaffolding was started
</t>
    </r>
    <r>
      <rPr>
        <b/>
        <sz val="11"/>
        <color theme="1"/>
        <rFont val="Calibri"/>
        <family val="2"/>
        <scheme val="minor"/>
      </rPr>
      <t>End</t>
    </r>
    <r>
      <rPr>
        <sz val="11"/>
        <color theme="1"/>
        <rFont val="Calibri"/>
        <family val="2"/>
        <scheme val="minor"/>
      </rPr>
      <t xml:space="preserve"> - The end of the problem
</t>
    </r>
  </si>
  <si>
    <r>
      <t>CurriculumInstruction</t>
    </r>
    <r>
      <rPr>
        <sz val="11"/>
        <color theme="1"/>
        <rFont val="Calibri"/>
        <family val="2"/>
        <scheme val="minor"/>
      </rPr>
      <t xml:space="preserve"> - Curriculum/Instruction
</t>
    </r>
    <r>
      <rPr>
        <b/>
        <sz val="11"/>
        <color theme="1"/>
        <rFont val="Calibri"/>
        <family val="2"/>
        <scheme val="minor"/>
      </rPr>
      <t>Assessment</t>
    </r>
    <r>
      <rPr>
        <sz val="11"/>
        <color theme="1"/>
        <rFont val="Calibri"/>
        <family val="2"/>
        <scheme val="minor"/>
      </rPr>
      <t xml:space="preserve"> - Assessment
</t>
    </r>
    <r>
      <rPr>
        <b/>
        <sz val="11"/>
        <color theme="1"/>
        <rFont val="Calibri"/>
        <family val="2"/>
        <scheme val="minor"/>
      </rPr>
      <t>ProfessionalDevelopment</t>
    </r>
    <r>
      <rPr>
        <sz val="11"/>
        <color theme="1"/>
        <rFont val="Calibri"/>
        <family val="2"/>
        <scheme val="minor"/>
      </rPr>
      <t xml:space="preserve"> - Professional Development
</t>
    </r>
    <r>
      <rPr>
        <b/>
        <sz val="11"/>
        <color theme="1"/>
        <rFont val="Calibri"/>
        <family val="2"/>
        <scheme val="minor"/>
      </rPr>
      <t>Other</t>
    </r>
    <r>
      <rPr>
        <sz val="11"/>
        <color theme="1"/>
        <rFont val="Calibri"/>
        <family val="2"/>
        <scheme val="minor"/>
      </rPr>
      <t xml:space="preserve"> - Other
</t>
    </r>
  </si>
  <si>
    <r>
      <t>AudioCD</t>
    </r>
    <r>
      <rPr>
        <sz val="11"/>
        <color theme="1"/>
        <rFont val="Calibri"/>
        <family val="2"/>
        <scheme val="minor"/>
      </rPr>
      <t xml:space="preserve"> - Audio CD
</t>
    </r>
    <r>
      <rPr>
        <b/>
        <sz val="11"/>
        <color theme="1"/>
        <rFont val="Calibri"/>
        <family val="2"/>
        <scheme val="minor"/>
      </rPr>
      <t>Audiotape</t>
    </r>
    <r>
      <rPr>
        <sz val="11"/>
        <color theme="1"/>
        <rFont val="Calibri"/>
        <family val="2"/>
        <scheme val="minor"/>
      </rPr>
      <t xml:space="preserve"> - Audiotape
</t>
    </r>
    <r>
      <rPr>
        <b/>
        <sz val="11"/>
        <color theme="1"/>
        <rFont val="Calibri"/>
        <family val="2"/>
        <scheme val="minor"/>
      </rPr>
      <t>Calculator</t>
    </r>
    <r>
      <rPr>
        <sz val="11"/>
        <color theme="1"/>
        <rFont val="Calibri"/>
        <family val="2"/>
        <scheme val="minor"/>
      </rPr>
      <t xml:space="preserve"> - Calculator
</t>
    </r>
    <r>
      <rPr>
        <b/>
        <sz val="11"/>
        <color theme="1"/>
        <rFont val="Calibri"/>
        <family val="2"/>
        <scheme val="minor"/>
      </rPr>
      <t>CD-I</t>
    </r>
    <r>
      <rPr>
        <sz val="11"/>
        <color theme="1"/>
        <rFont val="Calibri"/>
        <family val="2"/>
        <scheme val="minor"/>
      </rPr>
      <t xml:space="preserve"> - CD-I
</t>
    </r>
    <r>
      <rPr>
        <b/>
        <sz val="11"/>
        <color theme="1"/>
        <rFont val="Calibri"/>
        <family val="2"/>
        <scheme val="minor"/>
      </rPr>
      <t>CD-ROM</t>
    </r>
    <r>
      <rPr>
        <sz val="11"/>
        <color theme="1"/>
        <rFont val="Calibri"/>
        <family val="2"/>
        <scheme val="minor"/>
      </rPr>
      <t xml:space="preserve"> - CD-ROM
</t>
    </r>
    <r>
      <rPr>
        <b/>
        <sz val="11"/>
        <color theme="1"/>
        <rFont val="Calibri"/>
        <family val="2"/>
        <scheme val="minor"/>
      </rPr>
      <t>Diskette</t>
    </r>
    <r>
      <rPr>
        <sz val="11"/>
        <color theme="1"/>
        <rFont val="Calibri"/>
        <family val="2"/>
        <scheme val="minor"/>
      </rPr>
      <t xml:space="preserve"> - Diskette
</t>
    </r>
    <r>
      <rPr>
        <b/>
        <sz val="11"/>
        <color theme="1"/>
        <rFont val="Calibri"/>
        <family val="2"/>
        <scheme val="minor"/>
      </rPr>
      <t>DuplicationMaster</t>
    </r>
    <r>
      <rPr>
        <sz val="11"/>
        <color theme="1"/>
        <rFont val="Calibri"/>
        <family val="2"/>
        <scheme val="minor"/>
      </rPr>
      <t xml:space="preserve"> - Duplication Master
</t>
    </r>
    <r>
      <rPr>
        <b/>
        <sz val="11"/>
        <color theme="1"/>
        <rFont val="Calibri"/>
        <family val="2"/>
        <scheme val="minor"/>
      </rPr>
      <t>DVD</t>
    </r>
    <r>
      <rPr>
        <sz val="11"/>
        <color theme="1"/>
        <rFont val="Calibri"/>
        <family val="2"/>
        <scheme val="minor"/>
      </rPr>
      <t xml:space="preserve"> - DVD/ Blu-ray
</t>
    </r>
    <r>
      <rPr>
        <b/>
        <sz val="11"/>
        <color theme="1"/>
        <rFont val="Calibri"/>
        <family val="2"/>
        <scheme val="minor"/>
      </rPr>
      <t>E-Mail</t>
    </r>
    <r>
      <rPr>
        <sz val="11"/>
        <color theme="1"/>
        <rFont val="Calibri"/>
        <family val="2"/>
        <scheme val="minor"/>
      </rPr>
      <t xml:space="preserve"> - E-Mail
</t>
    </r>
    <r>
      <rPr>
        <b/>
        <sz val="11"/>
        <color theme="1"/>
        <rFont val="Calibri"/>
        <family val="2"/>
        <scheme val="minor"/>
      </rPr>
      <t>ElectronicSlides</t>
    </r>
    <r>
      <rPr>
        <sz val="11"/>
        <color theme="1"/>
        <rFont val="Calibri"/>
        <family val="2"/>
        <scheme val="minor"/>
      </rPr>
      <t xml:space="preserve"> - Electronic Slides
</t>
    </r>
    <r>
      <rPr>
        <b/>
        <sz val="11"/>
        <color theme="1"/>
        <rFont val="Calibri"/>
        <family val="2"/>
        <scheme val="minor"/>
      </rPr>
      <t>FieldTrip</t>
    </r>
    <r>
      <rPr>
        <sz val="11"/>
        <color theme="1"/>
        <rFont val="Calibri"/>
        <family val="2"/>
        <scheme val="minor"/>
      </rPr>
      <t xml:space="preserve"> - Field Trip
</t>
    </r>
    <r>
      <rPr>
        <b/>
        <sz val="11"/>
        <color theme="1"/>
        <rFont val="Calibri"/>
        <family val="2"/>
        <scheme val="minor"/>
      </rPr>
      <t>Filmstrip</t>
    </r>
    <r>
      <rPr>
        <sz val="11"/>
        <color theme="1"/>
        <rFont val="Calibri"/>
        <family val="2"/>
        <scheme val="minor"/>
      </rPr>
      <t xml:space="preserve"> - Filmstrip
</t>
    </r>
    <r>
      <rPr>
        <b/>
        <sz val="11"/>
        <color theme="1"/>
        <rFont val="Calibri"/>
        <family val="2"/>
        <scheme val="minor"/>
      </rPr>
      <t>Flash</t>
    </r>
    <r>
      <rPr>
        <sz val="11"/>
        <color theme="1"/>
        <rFont val="Calibri"/>
        <family val="2"/>
        <scheme val="minor"/>
      </rPr>
      <t xml:space="preserve"> - Flash
</t>
    </r>
    <r>
      <rPr>
        <b/>
        <sz val="11"/>
        <color theme="1"/>
        <rFont val="Calibri"/>
        <family val="2"/>
        <scheme val="minor"/>
      </rPr>
      <t>Image</t>
    </r>
    <r>
      <rPr>
        <sz val="11"/>
        <color theme="1"/>
        <rFont val="Calibri"/>
        <family val="2"/>
        <scheme val="minor"/>
      </rPr>
      <t xml:space="preserve"> - Image
</t>
    </r>
    <r>
      <rPr>
        <b/>
        <sz val="11"/>
        <color theme="1"/>
        <rFont val="Calibri"/>
        <family val="2"/>
        <scheme val="minor"/>
      </rPr>
      <t>In-Person</t>
    </r>
    <r>
      <rPr>
        <sz val="11"/>
        <color theme="1"/>
        <rFont val="Calibri"/>
        <family val="2"/>
        <scheme val="minor"/>
      </rPr>
      <t xml:space="preserve"> - In-Person/Speaker
</t>
    </r>
    <r>
      <rPr>
        <b/>
        <sz val="11"/>
        <color theme="1"/>
        <rFont val="Calibri"/>
        <family val="2"/>
        <scheme val="minor"/>
      </rPr>
      <t>InteractiveWhiteboard</t>
    </r>
    <r>
      <rPr>
        <sz val="11"/>
        <color theme="1"/>
        <rFont val="Calibri"/>
        <family val="2"/>
        <scheme val="minor"/>
      </rPr>
      <t xml:space="preserve"> - Interactive Whiteboard
</t>
    </r>
    <r>
      <rPr>
        <b/>
        <sz val="11"/>
        <color theme="1"/>
        <rFont val="Calibri"/>
        <family val="2"/>
        <scheme val="minor"/>
      </rPr>
      <t>Manipulative</t>
    </r>
    <r>
      <rPr>
        <sz val="11"/>
        <color theme="1"/>
        <rFont val="Calibri"/>
        <family val="2"/>
        <scheme val="minor"/>
      </rPr>
      <t xml:space="preserve"> - Manipulative
</t>
    </r>
    <r>
      <rPr>
        <b/>
        <sz val="11"/>
        <color theme="1"/>
        <rFont val="Calibri"/>
        <family val="2"/>
        <scheme val="minor"/>
      </rPr>
      <t>MBL</t>
    </r>
    <r>
      <rPr>
        <sz val="11"/>
        <color theme="1"/>
        <rFont val="Calibri"/>
        <family val="2"/>
        <scheme val="minor"/>
      </rPr>
      <t xml:space="preserve"> - MBL (Microcomputer Based)
</t>
    </r>
    <r>
      <rPr>
        <b/>
        <sz val="11"/>
        <color theme="1"/>
        <rFont val="Calibri"/>
        <family val="2"/>
        <scheme val="minor"/>
      </rPr>
      <t>Microfiche</t>
    </r>
    <r>
      <rPr>
        <sz val="11"/>
        <color theme="1"/>
        <rFont val="Calibri"/>
        <family val="2"/>
        <scheme val="minor"/>
      </rPr>
      <t xml:space="preserve"> - Microfiche
</t>
    </r>
    <r>
      <rPr>
        <b/>
        <sz val="11"/>
        <color theme="1"/>
        <rFont val="Calibri"/>
        <family val="2"/>
        <scheme val="minor"/>
      </rPr>
      <t>Overhead</t>
    </r>
    <r>
      <rPr>
        <sz val="11"/>
        <color theme="1"/>
        <rFont val="Calibri"/>
        <family val="2"/>
        <scheme val="minor"/>
      </rPr>
      <t xml:space="preserve"> - Overhead
</t>
    </r>
    <r>
      <rPr>
        <b/>
        <sz val="11"/>
        <color theme="1"/>
        <rFont val="Calibri"/>
        <family val="2"/>
        <scheme val="minor"/>
      </rPr>
      <t>Pamphlet</t>
    </r>
    <r>
      <rPr>
        <sz val="11"/>
        <color theme="1"/>
        <rFont val="Calibri"/>
        <family val="2"/>
        <scheme val="minor"/>
      </rPr>
      <t xml:space="preserve"> - Pamphlet
</t>
    </r>
    <r>
      <rPr>
        <b/>
        <sz val="11"/>
        <color theme="1"/>
        <rFont val="Calibri"/>
        <family val="2"/>
        <scheme val="minor"/>
      </rPr>
      <t>PDF</t>
    </r>
    <r>
      <rPr>
        <sz val="11"/>
        <color theme="1"/>
        <rFont val="Calibri"/>
        <family val="2"/>
        <scheme val="minor"/>
      </rPr>
      <t xml:space="preserve"> - PDF
</t>
    </r>
    <r>
      <rPr>
        <b/>
        <sz val="11"/>
        <color theme="1"/>
        <rFont val="Calibri"/>
        <family val="2"/>
        <scheme val="minor"/>
      </rPr>
      <t>Person-to-Person</t>
    </r>
    <r>
      <rPr>
        <sz val="11"/>
        <color theme="1"/>
        <rFont val="Calibri"/>
        <family val="2"/>
        <scheme val="minor"/>
      </rPr>
      <t xml:space="preserve"> - Person-to-Person
</t>
    </r>
    <r>
      <rPr>
        <b/>
        <sz val="11"/>
        <color theme="1"/>
        <rFont val="Calibri"/>
        <family val="2"/>
        <scheme val="minor"/>
      </rPr>
      <t>PhonographRecord</t>
    </r>
    <r>
      <rPr>
        <sz val="11"/>
        <color theme="1"/>
        <rFont val="Calibri"/>
        <family val="2"/>
        <scheme val="minor"/>
      </rPr>
      <t xml:space="preserve"> - Phonograph Record
</t>
    </r>
    <r>
      <rPr>
        <b/>
        <sz val="11"/>
        <color theme="1"/>
        <rFont val="Calibri"/>
        <family val="2"/>
        <scheme val="minor"/>
      </rPr>
      <t>Photo</t>
    </r>
    <r>
      <rPr>
        <sz val="11"/>
        <color theme="1"/>
        <rFont val="Calibri"/>
        <family val="2"/>
        <scheme val="minor"/>
      </rPr>
      <t xml:space="preserve"> - Photo
</t>
    </r>
    <r>
      <rPr>
        <b/>
        <sz val="11"/>
        <color theme="1"/>
        <rFont val="Calibri"/>
        <family val="2"/>
        <scheme val="minor"/>
      </rPr>
      <t>Podcast</t>
    </r>
    <r>
      <rPr>
        <sz val="11"/>
        <color theme="1"/>
        <rFont val="Calibri"/>
        <family val="2"/>
        <scheme val="minor"/>
      </rPr>
      <t xml:space="preserve"> - Podcast
</t>
    </r>
    <r>
      <rPr>
        <b/>
        <sz val="11"/>
        <color theme="1"/>
        <rFont val="Calibri"/>
        <family val="2"/>
        <scheme val="minor"/>
      </rPr>
      <t>Printed</t>
    </r>
    <r>
      <rPr>
        <sz val="11"/>
        <color theme="1"/>
        <rFont val="Calibri"/>
        <family val="2"/>
        <scheme val="minor"/>
      </rPr>
      <t xml:space="preserve"> - Printed
</t>
    </r>
    <r>
      <rPr>
        <b/>
        <sz val="11"/>
        <color theme="1"/>
        <rFont val="Calibri"/>
        <family val="2"/>
        <scheme val="minor"/>
      </rPr>
      <t>Radio</t>
    </r>
    <r>
      <rPr>
        <sz val="11"/>
        <color theme="1"/>
        <rFont val="Calibri"/>
        <family val="2"/>
        <scheme val="minor"/>
      </rPr>
      <t xml:space="preserve"> - Radio
</t>
    </r>
    <r>
      <rPr>
        <b/>
        <sz val="11"/>
        <color theme="1"/>
        <rFont val="Calibri"/>
        <family val="2"/>
        <scheme val="minor"/>
      </rPr>
      <t>Robotics</t>
    </r>
    <r>
      <rPr>
        <sz val="11"/>
        <color theme="1"/>
        <rFont val="Calibri"/>
        <family val="2"/>
        <scheme val="minor"/>
      </rPr>
      <t xml:space="preserve"> - Robotics
</t>
    </r>
    <r>
      <rPr>
        <b/>
        <sz val="11"/>
        <color theme="1"/>
        <rFont val="Calibri"/>
        <family val="2"/>
        <scheme val="minor"/>
      </rPr>
      <t>Satellite</t>
    </r>
    <r>
      <rPr>
        <sz val="11"/>
        <color theme="1"/>
        <rFont val="Calibri"/>
        <family val="2"/>
        <scheme val="minor"/>
      </rPr>
      <t xml:space="preserve"> - Satellite
</t>
    </r>
    <r>
      <rPr>
        <b/>
        <sz val="11"/>
        <color theme="1"/>
        <rFont val="Calibri"/>
        <family val="2"/>
        <scheme val="minor"/>
      </rPr>
      <t>Slides</t>
    </r>
    <r>
      <rPr>
        <sz val="11"/>
        <color theme="1"/>
        <rFont val="Calibri"/>
        <family val="2"/>
        <scheme val="minor"/>
      </rPr>
      <t xml:space="preserve"> - Slides
</t>
    </r>
    <r>
      <rPr>
        <b/>
        <sz val="11"/>
        <color theme="1"/>
        <rFont val="Calibri"/>
        <family val="2"/>
        <scheme val="minor"/>
      </rPr>
      <t>Television</t>
    </r>
    <r>
      <rPr>
        <sz val="11"/>
        <color theme="1"/>
        <rFont val="Calibri"/>
        <family val="2"/>
        <scheme val="minor"/>
      </rPr>
      <t xml:space="preserve"> - Television
</t>
    </r>
    <r>
      <rPr>
        <b/>
        <sz val="11"/>
        <color theme="1"/>
        <rFont val="Calibri"/>
        <family val="2"/>
        <scheme val="minor"/>
      </rPr>
      <t>Transparency</t>
    </r>
    <r>
      <rPr>
        <sz val="11"/>
        <color theme="1"/>
        <rFont val="Calibri"/>
        <family val="2"/>
        <scheme val="minor"/>
      </rPr>
      <t xml:space="preserve"> - Transparency
</t>
    </r>
    <r>
      <rPr>
        <b/>
        <sz val="11"/>
        <color theme="1"/>
        <rFont val="Calibri"/>
        <family val="2"/>
        <scheme val="minor"/>
      </rPr>
      <t>VideoConference</t>
    </r>
    <r>
      <rPr>
        <sz val="11"/>
        <color theme="1"/>
        <rFont val="Calibri"/>
        <family val="2"/>
        <scheme val="minor"/>
      </rPr>
      <t xml:space="preserve"> - Video Conference
</t>
    </r>
    <r>
      <rPr>
        <b/>
        <sz val="11"/>
        <color theme="1"/>
        <rFont val="Calibri"/>
        <family val="2"/>
        <scheme val="minor"/>
      </rPr>
      <t>Videodisc</t>
    </r>
    <r>
      <rPr>
        <sz val="11"/>
        <color theme="1"/>
        <rFont val="Calibri"/>
        <family val="2"/>
        <scheme val="minor"/>
      </rPr>
      <t xml:space="preserve"> - Videodisc
</t>
    </r>
  </si>
  <si>
    <r>
      <t>AlternateAssessment</t>
    </r>
    <r>
      <rPr>
        <sz val="11"/>
        <color theme="1"/>
        <rFont val="Calibri"/>
        <family val="2"/>
        <scheme val="minor"/>
      </rPr>
      <t xml:space="preserve"> - Alternate Assessment
</t>
    </r>
    <r>
      <rPr>
        <b/>
        <sz val="11"/>
        <color theme="1"/>
        <rFont val="Calibri"/>
        <family val="2"/>
        <scheme val="minor"/>
      </rPr>
      <t>AssessmentItem</t>
    </r>
    <r>
      <rPr>
        <sz val="11"/>
        <color theme="1"/>
        <rFont val="Calibri"/>
        <family val="2"/>
        <scheme val="minor"/>
      </rPr>
      <t xml:space="preserve"> - Assessment Item
</t>
    </r>
    <r>
      <rPr>
        <b/>
        <sz val="11"/>
        <color theme="1"/>
        <rFont val="Calibri"/>
        <family val="2"/>
        <scheme val="minor"/>
      </rPr>
      <t>Course</t>
    </r>
    <r>
      <rPr>
        <sz val="11"/>
        <color theme="1"/>
        <rFont val="Calibri"/>
        <family val="2"/>
        <scheme val="minor"/>
      </rPr>
      <t xml:space="preserve"> - Course
</t>
    </r>
    <r>
      <rPr>
        <b/>
        <sz val="11"/>
        <color theme="1"/>
        <rFont val="Calibri"/>
        <family val="2"/>
        <scheme val="minor"/>
      </rPr>
      <t>DemonstrationSimulation</t>
    </r>
    <r>
      <rPr>
        <sz val="11"/>
        <color theme="1"/>
        <rFont val="Calibri"/>
        <family val="2"/>
        <scheme val="minor"/>
      </rPr>
      <t xml:space="preserve"> - Demonstration/Simulation
</t>
    </r>
    <r>
      <rPr>
        <b/>
        <sz val="11"/>
        <color theme="1"/>
        <rFont val="Calibri"/>
        <family val="2"/>
        <scheme val="minor"/>
      </rPr>
      <t>EducatorCurriculumGuide</t>
    </r>
    <r>
      <rPr>
        <sz val="11"/>
        <color theme="1"/>
        <rFont val="Calibri"/>
        <family val="2"/>
        <scheme val="minor"/>
      </rPr>
      <t xml:space="preserve"> - Educator/Curriculum Guide
</t>
    </r>
    <r>
      <rPr>
        <b/>
        <sz val="11"/>
        <color theme="1"/>
        <rFont val="Calibri"/>
        <family val="2"/>
        <scheme val="minor"/>
      </rPr>
      <t>FormativeAssessment</t>
    </r>
    <r>
      <rPr>
        <sz val="11"/>
        <color theme="1"/>
        <rFont val="Calibri"/>
        <family val="2"/>
        <scheme val="minor"/>
      </rPr>
      <t xml:space="preserve"> - Formative assessment
</t>
    </r>
    <r>
      <rPr>
        <b/>
        <sz val="11"/>
        <color theme="1"/>
        <rFont val="Calibri"/>
        <family val="2"/>
        <scheme val="minor"/>
      </rPr>
      <t>ImagesVisuals</t>
    </r>
    <r>
      <rPr>
        <sz val="11"/>
        <color theme="1"/>
        <rFont val="Calibri"/>
        <family val="2"/>
        <scheme val="minor"/>
      </rPr>
      <t xml:space="preserve"> - Images/Visuals
</t>
    </r>
    <r>
      <rPr>
        <b/>
        <sz val="11"/>
        <color theme="1"/>
        <rFont val="Calibri"/>
        <family val="2"/>
        <scheme val="minor"/>
      </rPr>
      <t>InterimSummativeAssessment</t>
    </r>
    <r>
      <rPr>
        <sz val="11"/>
        <color theme="1"/>
        <rFont val="Calibri"/>
        <family val="2"/>
        <scheme val="minor"/>
      </rPr>
      <t xml:space="preserve"> - Interim/Summative Assessment
</t>
    </r>
    <r>
      <rPr>
        <b/>
        <sz val="11"/>
        <color theme="1"/>
        <rFont val="Calibri"/>
        <family val="2"/>
        <scheme val="minor"/>
      </rPr>
      <t>LearningActivity</t>
    </r>
    <r>
      <rPr>
        <sz val="11"/>
        <color theme="1"/>
        <rFont val="Calibri"/>
        <family val="2"/>
        <scheme val="minor"/>
      </rPr>
      <t xml:space="preserve"> - Learning Activity
</t>
    </r>
    <r>
      <rPr>
        <b/>
        <sz val="11"/>
        <color theme="1"/>
        <rFont val="Calibri"/>
        <family val="2"/>
        <scheme val="minor"/>
      </rPr>
      <t>Lesson</t>
    </r>
    <r>
      <rPr>
        <sz val="11"/>
        <color theme="1"/>
        <rFont val="Calibri"/>
        <family val="2"/>
        <scheme val="minor"/>
      </rPr>
      <t xml:space="preserve"> - Lesson
</t>
    </r>
    <r>
      <rPr>
        <b/>
        <sz val="11"/>
        <color theme="1"/>
        <rFont val="Calibri"/>
        <family val="2"/>
        <scheme val="minor"/>
      </rPr>
      <t>PrimarySource</t>
    </r>
    <r>
      <rPr>
        <sz val="11"/>
        <color theme="1"/>
        <rFont val="Calibri"/>
        <family val="2"/>
        <scheme val="minor"/>
      </rPr>
      <t xml:space="preserve"> - Primary Source
</t>
    </r>
    <r>
      <rPr>
        <b/>
        <sz val="11"/>
        <color theme="1"/>
        <rFont val="Calibri"/>
        <family val="2"/>
        <scheme val="minor"/>
      </rPr>
      <t>RubricScoringGuide</t>
    </r>
    <r>
      <rPr>
        <sz val="11"/>
        <color theme="1"/>
        <rFont val="Calibri"/>
        <family val="2"/>
        <scheme val="minor"/>
      </rPr>
      <t xml:space="preserve"> - Rubric/Scoring Guide
</t>
    </r>
    <r>
      <rPr>
        <b/>
        <sz val="11"/>
        <color theme="1"/>
        <rFont val="Calibri"/>
        <family val="2"/>
        <scheme val="minor"/>
      </rPr>
      <t>SelfAssessment</t>
    </r>
    <r>
      <rPr>
        <sz val="11"/>
        <color theme="1"/>
        <rFont val="Calibri"/>
        <family val="2"/>
        <scheme val="minor"/>
      </rPr>
      <t xml:space="preserve"> - Self Assessment
</t>
    </r>
    <r>
      <rPr>
        <b/>
        <sz val="11"/>
        <color theme="1"/>
        <rFont val="Calibri"/>
        <family val="2"/>
        <scheme val="minor"/>
      </rPr>
      <t>Text</t>
    </r>
    <r>
      <rPr>
        <sz val="11"/>
        <color theme="1"/>
        <rFont val="Calibri"/>
        <family val="2"/>
        <scheme val="minor"/>
      </rPr>
      <t xml:space="preserve"> - Text
</t>
    </r>
    <r>
      <rPr>
        <b/>
        <sz val="11"/>
        <color theme="1"/>
        <rFont val="Calibri"/>
        <family val="2"/>
        <scheme val="minor"/>
      </rPr>
      <t>Textbook</t>
    </r>
    <r>
      <rPr>
        <sz val="11"/>
        <color theme="1"/>
        <rFont val="Calibri"/>
        <family val="2"/>
        <scheme val="minor"/>
      </rPr>
      <t xml:space="preserve"> - Textbook
</t>
    </r>
    <r>
      <rPr>
        <b/>
        <sz val="11"/>
        <color theme="1"/>
        <rFont val="Calibri"/>
        <family val="2"/>
        <scheme val="minor"/>
      </rPr>
      <t>Unit</t>
    </r>
    <r>
      <rPr>
        <sz val="11"/>
        <color theme="1"/>
        <rFont val="Calibri"/>
        <family val="2"/>
        <scheme val="minor"/>
      </rPr>
      <t xml:space="preserve"> - Unit
</t>
    </r>
    <r>
      <rPr>
        <b/>
        <sz val="11"/>
        <color theme="1"/>
        <rFont val="Calibri"/>
        <family val="2"/>
        <scheme val="minor"/>
      </rPr>
      <t>Other</t>
    </r>
    <r>
      <rPr>
        <sz val="11"/>
        <color theme="1"/>
        <rFont val="Calibri"/>
        <family val="2"/>
        <scheme val="minor"/>
      </rPr>
      <t xml:space="preserve"> - Other
</t>
    </r>
  </si>
  <si>
    <r>
      <t>Prerequisite</t>
    </r>
    <r>
      <rPr>
        <sz val="11"/>
        <color theme="1"/>
        <rFont val="Calibri"/>
        <family val="2"/>
        <scheme val="minor"/>
      </rPr>
      <t xml:space="preserve"> - Prerequisite
</t>
    </r>
    <r>
      <rPr>
        <b/>
        <sz val="11"/>
        <color theme="1"/>
        <rFont val="Calibri"/>
        <family val="2"/>
        <scheme val="minor"/>
      </rPr>
      <t>ConformsTo</t>
    </r>
    <r>
      <rPr>
        <sz val="11"/>
        <color theme="1"/>
        <rFont val="Calibri"/>
        <family val="2"/>
        <scheme val="minor"/>
      </rPr>
      <t xml:space="preserve"> - Conforms To
</t>
    </r>
    <r>
      <rPr>
        <b/>
        <sz val="11"/>
        <color theme="1"/>
        <rFont val="Calibri"/>
        <family val="2"/>
        <scheme val="minor"/>
      </rPr>
      <t>HasFormat</t>
    </r>
    <r>
      <rPr>
        <sz val="11"/>
        <color theme="1"/>
        <rFont val="Calibri"/>
        <family val="2"/>
        <scheme val="minor"/>
      </rPr>
      <t xml:space="preserve"> - Has Format
</t>
    </r>
    <r>
      <rPr>
        <b/>
        <sz val="11"/>
        <color theme="1"/>
        <rFont val="Calibri"/>
        <family val="2"/>
        <scheme val="minor"/>
      </rPr>
      <t>HasPart</t>
    </r>
    <r>
      <rPr>
        <sz val="11"/>
        <color theme="1"/>
        <rFont val="Calibri"/>
        <family val="2"/>
        <scheme val="minor"/>
      </rPr>
      <t xml:space="preserve"> - Has Part
</t>
    </r>
    <r>
      <rPr>
        <b/>
        <sz val="11"/>
        <color theme="1"/>
        <rFont val="Calibri"/>
        <family val="2"/>
        <scheme val="minor"/>
      </rPr>
      <t>HasVersion</t>
    </r>
    <r>
      <rPr>
        <sz val="11"/>
        <color theme="1"/>
        <rFont val="Calibri"/>
        <family val="2"/>
        <scheme val="minor"/>
      </rPr>
      <t xml:space="preserve"> - Has Version
</t>
    </r>
    <r>
      <rPr>
        <b/>
        <sz val="11"/>
        <color theme="1"/>
        <rFont val="Calibri"/>
        <family val="2"/>
        <scheme val="minor"/>
      </rPr>
      <t>FormatOf</t>
    </r>
    <r>
      <rPr>
        <sz val="11"/>
        <color theme="1"/>
        <rFont val="Calibri"/>
        <family val="2"/>
        <scheme val="minor"/>
      </rPr>
      <t xml:space="preserve"> - Is Format of
</t>
    </r>
    <r>
      <rPr>
        <b/>
        <sz val="11"/>
        <color theme="1"/>
        <rFont val="Calibri"/>
        <family val="2"/>
        <scheme val="minor"/>
      </rPr>
      <t>ReferencedBy</t>
    </r>
    <r>
      <rPr>
        <sz val="11"/>
        <color theme="1"/>
        <rFont val="Calibri"/>
        <family val="2"/>
        <scheme val="minor"/>
      </rPr>
      <t xml:space="preserve"> - Is Referenced By
</t>
    </r>
    <r>
      <rPr>
        <b/>
        <sz val="11"/>
        <color theme="1"/>
        <rFont val="Calibri"/>
        <family val="2"/>
        <scheme val="minor"/>
      </rPr>
      <t>ReplacedBy</t>
    </r>
    <r>
      <rPr>
        <sz val="11"/>
        <color theme="1"/>
        <rFont val="Calibri"/>
        <family val="2"/>
        <scheme val="minor"/>
      </rPr>
      <t xml:space="preserve"> - Is Replaced By
</t>
    </r>
    <r>
      <rPr>
        <b/>
        <sz val="11"/>
        <color theme="1"/>
        <rFont val="Calibri"/>
        <family val="2"/>
        <scheme val="minor"/>
      </rPr>
      <t>RequiredBy</t>
    </r>
    <r>
      <rPr>
        <sz val="11"/>
        <color theme="1"/>
        <rFont val="Calibri"/>
        <family val="2"/>
        <scheme val="minor"/>
      </rPr>
      <t xml:space="preserve"> - Is Required By
</t>
    </r>
    <r>
      <rPr>
        <b/>
        <sz val="11"/>
        <color theme="1"/>
        <rFont val="Calibri"/>
        <family val="2"/>
        <scheme val="minor"/>
      </rPr>
      <t>VersionOf</t>
    </r>
    <r>
      <rPr>
        <sz val="11"/>
        <color theme="1"/>
        <rFont val="Calibri"/>
        <family val="2"/>
        <scheme val="minor"/>
      </rPr>
      <t xml:space="preserve"> - Is Version Of
</t>
    </r>
    <r>
      <rPr>
        <b/>
        <sz val="11"/>
        <color theme="1"/>
        <rFont val="Calibri"/>
        <family val="2"/>
        <scheme val="minor"/>
      </rPr>
      <t>Referenced</t>
    </r>
    <r>
      <rPr>
        <sz val="11"/>
        <color theme="1"/>
        <rFont val="Calibri"/>
        <family val="2"/>
        <scheme val="minor"/>
      </rPr>
      <t xml:space="preserve"> - Referenced
</t>
    </r>
    <r>
      <rPr>
        <b/>
        <sz val="11"/>
        <color theme="1"/>
        <rFont val="Calibri"/>
        <family val="2"/>
        <scheme val="minor"/>
      </rPr>
      <t>Assesses</t>
    </r>
    <r>
      <rPr>
        <sz val="11"/>
        <color theme="1"/>
        <rFont val="Calibri"/>
        <family val="2"/>
        <scheme val="minor"/>
      </rPr>
      <t xml:space="preserve"> - Assesses
</t>
    </r>
    <r>
      <rPr>
        <b/>
        <sz val="11"/>
        <color theme="1"/>
        <rFont val="Calibri"/>
        <family val="2"/>
        <scheme val="minor"/>
      </rPr>
      <t>Teaches</t>
    </r>
    <r>
      <rPr>
        <sz val="11"/>
        <color theme="1"/>
        <rFont val="Calibri"/>
        <family val="2"/>
        <scheme val="minor"/>
      </rPr>
      <t xml:space="preserve"> - Teaches
</t>
    </r>
    <r>
      <rPr>
        <b/>
        <sz val="11"/>
        <color theme="1"/>
        <rFont val="Calibri"/>
        <family val="2"/>
        <scheme val="minor"/>
      </rPr>
      <t>Requires</t>
    </r>
    <r>
      <rPr>
        <sz val="11"/>
        <color theme="1"/>
        <rFont val="Calibri"/>
        <family val="2"/>
        <scheme val="minor"/>
      </rPr>
      <t xml:space="preserve"> - Requires
</t>
    </r>
    <r>
      <rPr>
        <b/>
        <sz val="11"/>
        <color theme="1"/>
        <rFont val="Calibri"/>
        <family val="2"/>
        <scheme val="minor"/>
      </rPr>
      <t>TextComplexity</t>
    </r>
    <r>
      <rPr>
        <sz val="11"/>
        <color theme="1"/>
        <rFont val="Calibri"/>
        <family val="2"/>
        <scheme val="minor"/>
      </rPr>
      <t xml:space="preserve"> - Text Complexity
</t>
    </r>
    <r>
      <rPr>
        <b/>
        <sz val="11"/>
        <color theme="1"/>
        <rFont val="Calibri"/>
        <family val="2"/>
        <scheme val="minor"/>
      </rPr>
      <t>ReadingLevel</t>
    </r>
    <r>
      <rPr>
        <sz val="11"/>
        <color theme="1"/>
        <rFont val="Calibri"/>
        <family val="2"/>
        <scheme val="minor"/>
      </rPr>
      <t xml:space="preserve"> - Reading Level
</t>
    </r>
    <r>
      <rPr>
        <b/>
        <sz val="11"/>
        <color theme="1"/>
        <rFont val="Calibri"/>
        <family val="2"/>
        <scheme val="minor"/>
      </rPr>
      <t>EducationalSubject</t>
    </r>
    <r>
      <rPr>
        <sz val="11"/>
        <color theme="1"/>
        <rFont val="Calibri"/>
        <family val="2"/>
        <scheme val="minor"/>
      </rPr>
      <t xml:space="preserve"> - Educational Subject
</t>
    </r>
    <r>
      <rPr>
        <b/>
        <sz val="11"/>
        <color theme="1"/>
        <rFont val="Calibri"/>
        <family val="2"/>
        <scheme val="minor"/>
      </rPr>
      <t>EducationLevel</t>
    </r>
    <r>
      <rPr>
        <sz val="11"/>
        <color theme="1"/>
        <rFont val="Calibri"/>
        <family val="2"/>
        <scheme val="minor"/>
      </rPr>
      <t xml:space="preserve"> - Education Level
</t>
    </r>
    <r>
      <rPr>
        <b/>
        <sz val="11"/>
        <color theme="1"/>
        <rFont val="Calibri"/>
        <family val="2"/>
        <scheme val="minor"/>
      </rPr>
      <t>Precedes</t>
    </r>
    <r>
      <rPr>
        <sz val="11"/>
        <color theme="1"/>
        <rFont val="Calibri"/>
        <family val="2"/>
        <scheme val="minor"/>
      </rPr>
      <t xml:space="preserve"> - Precedes
</t>
    </r>
    <r>
      <rPr>
        <b/>
        <sz val="11"/>
        <color theme="1"/>
        <rFont val="Calibri"/>
        <family val="2"/>
        <scheme val="minor"/>
      </rPr>
      <t>Follows</t>
    </r>
    <r>
      <rPr>
        <sz val="11"/>
        <color theme="1"/>
        <rFont val="Calibri"/>
        <family val="2"/>
        <scheme val="minor"/>
      </rPr>
      <t xml:space="preserve"> - Follows
</t>
    </r>
    <r>
      <rPr>
        <b/>
        <sz val="11"/>
        <color theme="1"/>
        <rFont val="Calibri"/>
        <family val="2"/>
        <scheme val="minor"/>
      </rPr>
      <t>IsConcurrentTo</t>
    </r>
    <r>
      <rPr>
        <sz val="11"/>
        <color theme="1"/>
        <rFont val="Calibri"/>
        <family val="2"/>
        <scheme val="minor"/>
      </rPr>
      <t xml:space="preserve"> - Is Concurrent To
</t>
    </r>
  </si>
  <si>
    <r>
      <t>Linguistic</t>
    </r>
    <r>
      <rPr>
        <sz val="11"/>
        <color theme="1"/>
        <rFont val="Calibri"/>
        <family val="2"/>
        <scheme val="minor"/>
      </rPr>
      <t xml:space="preserve"> - Linguistic
</t>
    </r>
    <r>
      <rPr>
        <b/>
        <sz val="11"/>
        <color theme="1"/>
        <rFont val="Calibri"/>
        <family val="2"/>
        <scheme val="minor"/>
      </rPr>
      <t>Logic-mathematical</t>
    </r>
    <r>
      <rPr>
        <sz val="11"/>
        <color theme="1"/>
        <rFont val="Calibri"/>
        <family val="2"/>
        <scheme val="minor"/>
      </rPr>
      <t xml:space="preserve"> - Logic-mathematical
</t>
    </r>
    <r>
      <rPr>
        <b/>
        <sz val="11"/>
        <color theme="1"/>
        <rFont val="Calibri"/>
        <family val="2"/>
        <scheme val="minor"/>
      </rPr>
      <t>Musical</t>
    </r>
    <r>
      <rPr>
        <sz val="11"/>
        <color theme="1"/>
        <rFont val="Calibri"/>
        <family val="2"/>
        <scheme val="minor"/>
      </rPr>
      <t xml:space="preserve"> - Musical
</t>
    </r>
    <r>
      <rPr>
        <b/>
        <sz val="11"/>
        <color theme="1"/>
        <rFont val="Calibri"/>
        <family val="2"/>
        <scheme val="minor"/>
      </rPr>
      <t>Spatial</t>
    </r>
    <r>
      <rPr>
        <sz val="11"/>
        <color theme="1"/>
        <rFont val="Calibri"/>
        <family val="2"/>
        <scheme val="minor"/>
      </rPr>
      <t xml:space="preserve">
</t>
    </r>
    <r>
      <rPr>
        <b/>
        <sz val="11"/>
        <color theme="1"/>
        <rFont val="Calibri"/>
        <family val="2"/>
        <scheme val="minor"/>
      </rPr>
      <t>BodilyKinesthetic</t>
    </r>
    <r>
      <rPr>
        <sz val="11"/>
        <color theme="1"/>
        <rFont val="Calibri"/>
        <family val="2"/>
        <scheme val="minor"/>
      </rPr>
      <t xml:space="preserve"> - Bodily/kinesthetic
</t>
    </r>
    <r>
      <rPr>
        <b/>
        <sz val="11"/>
        <color theme="1"/>
        <rFont val="Calibri"/>
        <family val="2"/>
        <scheme val="minor"/>
      </rPr>
      <t>Interpersonal</t>
    </r>
    <r>
      <rPr>
        <sz val="11"/>
        <color theme="1"/>
        <rFont val="Calibri"/>
        <family val="2"/>
        <scheme val="minor"/>
      </rPr>
      <t xml:space="preserve"> - Interpersonal
</t>
    </r>
    <r>
      <rPr>
        <b/>
        <sz val="11"/>
        <color theme="1"/>
        <rFont val="Calibri"/>
        <family val="2"/>
        <scheme val="minor"/>
      </rPr>
      <t>Intrapersonal</t>
    </r>
    <r>
      <rPr>
        <sz val="11"/>
        <color theme="1"/>
        <rFont val="Calibri"/>
        <family val="2"/>
        <scheme val="minor"/>
      </rPr>
      <t xml:space="preserve"> - Intrapersonal
</t>
    </r>
    <r>
      <rPr>
        <b/>
        <sz val="11"/>
        <color theme="1"/>
        <rFont val="Calibri"/>
        <family val="2"/>
        <scheme val="minor"/>
      </rPr>
      <t>Naturalistic</t>
    </r>
    <r>
      <rPr>
        <sz val="11"/>
        <color theme="1"/>
        <rFont val="Calibri"/>
        <family val="2"/>
        <scheme val="minor"/>
      </rPr>
      <t xml:space="preserve"> - Naturalistic
</t>
    </r>
  </si>
  <si>
    <r>
      <t>SingleIndicator</t>
    </r>
    <r>
      <rPr>
        <sz val="11"/>
        <color theme="1"/>
        <rFont val="Calibri"/>
        <family val="2"/>
        <scheme val="minor"/>
      </rPr>
      <t xml:space="preserve"> - Single Indicator
</t>
    </r>
    <r>
      <rPr>
        <b/>
        <sz val="11"/>
        <color theme="1"/>
        <rFont val="Calibri"/>
        <family val="2"/>
        <scheme val="minor"/>
      </rPr>
      <t>MultipleIndicator</t>
    </r>
    <r>
      <rPr>
        <sz val="11"/>
        <color theme="1"/>
        <rFont val="Calibri"/>
        <family val="2"/>
        <scheme val="minor"/>
      </rPr>
      <t xml:space="preserve"> - Multiple Indicator
</t>
    </r>
    <r>
      <rPr>
        <b/>
        <sz val="11"/>
        <color theme="1"/>
        <rFont val="Calibri"/>
        <family val="2"/>
        <scheme val="minor"/>
      </rPr>
      <t>MultipleCompetency</t>
    </r>
    <r>
      <rPr>
        <sz val="11"/>
        <color theme="1"/>
        <rFont val="Calibri"/>
        <family val="2"/>
        <scheme val="minor"/>
      </rPr>
      <t xml:space="preserve"> - Multiple Competency
</t>
    </r>
    <r>
      <rPr>
        <b/>
        <sz val="11"/>
        <color theme="1"/>
        <rFont val="Calibri"/>
        <family val="2"/>
        <scheme val="minor"/>
      </rPr>
      <t>CannotBeAssessed</t>
    </r>
    <r>
      <rPr>
        <sz val="11"/>
        <color theme="1"/>
        <rFont val="Calibri"/>
        <family val="2"/>
        <scheme val="minor"/>
      </rPr>
      <t xml:space="preserve"> - Cannot be assessed
</t>
    </r>
  </si>
  <si>
    <r>
      <t>Administrative</t>
    </r>
    <r>
      <rPr>
        <sz val="11"/>
        <color theme="1"/>
        <rFont val="Calibri"/>
        <family val="2"/>
        <scheme val="minor"/>
      </rPr>
      <t xml:space="preserve"> - Administrative
</t>
    </r>
    <r>
      <rPr>
        <b/>
        <sz val="11"/>
        <color theme="1"/>
        <rFont val="Calibri"/>
        <family val="2"/>
        <scheme val="minor"/>
      </rPr>
      <t>AnnualLeave</t>
    </r>
    <r>
      <rPr>
        <sz val="11"/>
        <color theme="1"/>
        <rFont val="Calibri"/>
        <family val="2"/>
        <scheme val="minor"/>
      </rPr>
      <t xml:space="preserve"> - Annual leave
</t>
    </r>
    <r>
      <rPr>
        <b/>
        <sz val="11"/>
        <color theme="1"/>
        <rFont val="Calibri"/>
        <family val="2"/>
        <scheme val="minor"/>
      </rPr>
      <t>Bereavement</t>
    </r>
    <r>
      <rPr>
        <sz val="11"/>
        <color theme="1"/>
        <rFont val="Calibri"/>
        <family val="2"/>
        <scheme val="minor"/>
      </rPr>
      <t xml:space="preserve"> - Bereavement
</t>
    </r>
    <r>
      <rPr>
        <b/>
        <sz val="11"/>
        <color theme="1"/>
        <rFont val="Calibri"/>
        <family val="2"/>
        <scheme val="minor"/>
      </rPr>
      <t>CompensatoryLeaveTime</t>
    </r>
    <r>
      <rPr>
        <sz val="11"/>
        <color theme="1"/>
        <rFont val="Calibri"/>
        <family val="2"/>
        <scheme val="minor"/>
      </rPr>
      <t xml:space="preserve"> - Compensatory leave time
</t>
    </r>
    <r>
      <rPr>
        <b/>
        <sz val="11"/>
        <color theme="1"/>
        <rFont val="Calibri"/>
        <family val="2"/>
        <scheme val="minor"/>
      </rPr>
      <t>FamilyAndMedicalLeave</t>
    </r>
    <r>
      <rPr>
        <sz val="11"/>
        <color theme="1"/>
        <rFont val="Calibri"/>
        <family val="2"/>
        <scheme val="minor"/>
      </rPr>
      <t xml:space="preserve"> - Family and medical leave
</t>
    </r>
    <r>
      <rPr>
        <b/>
        <sz val="11"/>
        <color theme="1"/>
        <rFont val="Calibri"/>
        <family val="2"/>
        <scheme val="minor"/>
      </rPr>
      <t>FlexTime</t>
    </r>
    <r>
      <rPr>
        <sz val="11"/>
        <color theme="1"/>
        <rFont val="Calibri"/>
        <family val="2"/>
        <scheme val="minor"/>
      </rPr>
      <t xml:space="preserve"> - Flex time
</t>
    </r>
    <r>
      <rPr>
        <b/>
        <sz val="11"/>
        <color theme="1"/>
        <rFont val="Calibri"/>
        <family val="2"/>
        <scheme val="minor"/>
      </rPr>
      <t>GovernmentRequested</t>
    </r>
    <r>
      <rPr>
        <sz val="11"/>
        <color theme="1"/>
        <rFont val="Calibri"/>
        <family val="2"/>
        <scheme val="minor"/>
      </rPr>
      <t xml:space="preserve"> - Government-requested
</t>
    </r>
    <r>
      <rPr>
        <b/>
        <sz val="11"/>
        <color theme="1"/>
        <rFont val="Calibri"/>
        <family val="2"/>
        <scheme val="minor"/>
      </rPr>
      <t>JuryDuty</t>
    </r>
    <r>
      <rPr>
        <sz val="11"/>
        <color theme="1"/>
        <rFont val="Calibri"/>
        <family val="2"/>
        <scheme val="minor"/>
      </rPr>
      <t xml:space="preserve"> - Jury Duty
</t>
    </r>
    <r>
      <rPr>
        <b/>
        <sz val="11"/>
        <color theme="1"/>
        <rFont val="Calibri"/>
        <family val="2"/>
        <scheme val="minor"/>
      </rPr>
      <t>MilitaryLeave</t>
    </r>
    <r>
      <rPr>
        <sz val="11"/>
        <color theme="1"/>
        <rFont val="Calibri"/>
        <family val="2"/>
        <scheme val="minor"/>
      </rPr>
      <t xml:space="preserve"> - Military leave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Personal</t>
    </r>
    <r>
      <rPr>
        <sz val="11"/>
        <color theme="1"/>
        <rFont val="Calibri"/>
        <family val="2"/>
        <scheme val="minor"/>
      </rPr>
      <t xml:space="preserve"> - Personal
</t>
    </r>
    <r>
      <rPr>
        <b/>
        <sz val="11"/>
        <color theme="1"/>
        <rFont val="Calibri"/>
        <family val="2"/>
        <scheme val="minor"/>
      </rPr>
      <t>ProfessionalDevelopment</t>
    </r>
    <r>
      <rPr>
        <sz val="11"/>
        <color theme="1"/>
        <rFont val="Calibri"/>
        <family val="2"/>
        <scheme val="minor"/>
      </rPr>
      <t xml:space="preserve"> - Professional development
</t>
    </r>
    <r>
      <rPr>
        <b/>
        <sz val="11"/>
        <color theme="1"/>
        <rFont val="Calibri"/>
        <family val="2"/>
        <scheme val="minor"/>
      </rPr>
      <t>ReleaseTime</t>
    </r>
    <r>
      <rPr>
        <sz val="11"/>
        <color theme="1"/>
        <rFont val="Calibri"/>
        <family val="2"/>
        <scheme val="minor"/>
      </rPr>
      <t xml:space="preserve"> - Release time
</t>
    </r>
    <r>
      <rPr>
        <b/>
        <sz val="11"/>
        <color theme="1"/>
        <rFont val="Calibri"/>
        <family val="2"/>
        <scheme val="minor"/>
      </rPr>
      <t>SabbaticalLeave</t>
    </r>
    <r>
      <rPr>
        <sz val="11"/>
        <color theme="1"/>
        <rFont val="Calibri"/>
        <family val="2"/>
        <scheme val="minor"/>
      </rPr>
      <t xml:space="preserve"> - Sabbatical leave
</t>
    </r>
    <r>
      <rPr>
        <b/>
        <sz val="11"/>
        <color theme="1"/>
        <rFont val="Calibri"/>
        <family val="2"/>
        <scheme val="minor"/>
      </rPr>
      <t>SickLeave</t>
    </r>
    <r>
      <rPr>
        <sz val="11"/>
        <color theme="1"/>
        <rFont val="Calibri"/>
        <family val="2"/>
        <scheme val="minor"/>
      </rPr>
      <t xml:space="preserve"> - Sick leave
</t>
    </r>
    <r>
      <rPr>
        <b/>
        <sz val="11"/>
        <color theme="1"/>
        <rFont val="Calibri"/>
        <family val="2"/>
        <scheme val="minor"/>
      </rPr>
      <t>Suspension</t>
    </r>
    <r>
      <rPr>
        <sz val="11"/>
        <color theme="1"/>
        <rFont val="Calibri"/>
        <family val="2"/>
        <scheme val="minor"/>
      </rPr>
      <t xml:space="preserve"> - Suspension
</t>
    </r>
    <r>
      <rPr>
        <b/>
        <sz val="11"/>
        <color theme="1"/>
        <rFont val="Calibri"/>
        <family val="2"/>
        <scheme val="minor"/>
      </rPr>
      <t>WorkersCompensation</t>
    </r>
    <r>
      <rPr>
        <sz val="11"/>
        <color theme="1"/>
        <rFont val="Calibri"/>
        <family val="2"/>
        <scheme val="minor"/>
      </rPr>
      <t xml:space="preserve"> - Workers compensation
</t>
    </r>
  </si>
  <si>
    <r>
      <t>FourYear</t>
    </r>
    <r>
      <rPr>
        <sz val="11"/>
        <color theme="1"/>
        <rFont val="Calibri"/>
        <family val="2"/>
        <scheme val="minor"/>
      </rPr>
      <t xml:space="preserve"> - Four or more years
</t>
    </r>
    <r>
      <rPr>
        <b/>
        <sz val="11"/>
        <color theme="1"/>
        <rFont val="Calibri"/>
        <family val="2"/>
        <scheme val="minor"/>
      </rPr>
      <t>TwoToFour</t>
    </r>
    <r>
      <rPr>
        <sz val="11"/>
        <color theme="1"/>
        <rFont val="Calibri"/>
        <family val="2"/>
        <scheme val="minor"/>
      </rPr>
      <t xml:space="preserve"> - At least 2 but less than 4 years
</t>
    </r>
    <r>
      <rPr>
        <b/>
        <sz val="11"/>
        <color theme="1"/>
        <rFont val="Calibri"/>
        <family val="2"/>
        <scheme val="minor"/>
      </rPr>
      <t>LessThanTwo</t>
    </r>
    <r>
      <rPr>
        <sz val="11"/>
        <color theme="1"/>
        <rFont val="Calibri"/>
        <family val="2"/>
        <scheme val="minor"/>
      </rPr>
      <t xml:space="preserve"> - Less than 2 years (below associate)
</t>
    </r>
  </si>
  <si>
    <r>
      <t>Major</t>
    </r>
    <r>
      <rPr>
        <sz val="11"/>
        <color theme="1"/>
        <rFont val="Calibri"/>
        <family val="2"/>
        <scheme val="minor"/>
      </rPr>
      <t xml:space="preserve"> - Major
</t>
    </r>
    <r>
      <rPr>
        <b/>
        <sz val="11"/>
        <color theme="1"/>
        <rFont val="Calibri"/>
        <family val="2"/>
        <scheme val="minor"/>
      </rPr>
      <t>Minor</t>
    </r>
    <r>
      <rPr>
        <sz val="11"/>
        <color theme="1"/>
        <rFont val="Calibri"/>
        <family val="2"/>
        <scheme val="minor"/>
      </rPr>
      <t xml:space="preserve"> - Minor
</t>
    </r>
    <r>
      <rPr>
        <b/>
        <sz val="11"/>
        <color theme="1"/>
        <rFont val="Calibri"/>
        <family val="2"/>
        <scheme val="minor"/>
      </rPr>
      <t>AreaOfEmphasis</t>
    </r>
    <r>
      <rPr>
        <sz val="11"/>
        <color theme="1"/>
        <rFont val="Calibri"/>
        <family val="2"/>
        <scheme val="minor"/>
      </rPr>
      <t xml:space="preserve"> - Area of emphasis or concentration
</t>
    </r>
    <r>
      <rPr>
        <b/>
        <sz val="11"/>
        <color theme="1"/>
        <rFont val="Calibri"/>
        <family val="2"/>
        <scheme val="minor"/>
      </rPr>
      <t>PostDegreeStudy</t>
    </r>
    <r>
      <rPr>
        <sz val="11"/>
        <color theme="1"/>
        <rFont val="Calibri"/>
        <family val="2"/>
        <scheme val="minor"/>
      </rPr>
      <t xml:space="preserve"> - Post-degree study
</t>
    </r>
    <r>
      <rPr>
        <b/>
        <sz val="11"/>
        <color theme="1"/>
        <rFont val="Calibri"/>
        <family val="2"/>
        <scheme val="minor"/>
      </rPr>
      <t>AreaOfInterest</t>
    </r>
    <r>
      <rPr>
        <sz val="11"/>
        <color theme="1"/>
        <rFont val="Calibri"/>
        <family val="2"/>
        <scheme val="minor"/>
      </rPr>
      <t xml:space="preserve"> - Area of Interest
</t>
    </r>
  </si>
  <si>
    <r>
      <t>Yes</t>
    </r>
    <r>
      <rPr>
        <sz val="11"/>
        <color theme="1"/>
        <rFont val="Calibri"/>
        <family val="2"/>
        <scheme val="minor"/>
      </rPr>
      <t xml:space="preserve"> - Currently meets standard for limited English proficiency
</t>
    </r>
    <r>
      <rPr>
        <b/>
        <sz val="11"/>
        <color theme="1"/>
        <rFont val="Calibri"/>
        <family val="2"/>
        <scheme val="minor"/>
      </rPr>
      <t>No</t>
    </r>
    <r>
      <rPr>
        <sz val="11"/>
        <color theme="1"/>
        <rFont val="Calibri"/>
        <family val="2"/>
        <scheme val="minor"/>
      </rPr>
      <t xml:space="preserve"> - Currently does not meet standard for limited English proficiency
</t>
    </r>
    <r>
      <rPr>
        <b/>
        <sz val="11"/>
        <color theme="1"/>
        <rFont val="Calibri"/>
        <family val="2"/>
        <scheme val="minor"/>
      </rPr>
      <t>Ever</t>
    </r>
    <r>
      <rPr>
        <sz val="11"/>
        <color theme="1"/>
        <rFont val="Calibri"/>
        <family val="2"/>
        <scheme val="minor"/>
      </rPr>
      <t xml:space="preserve"> - Ever met standard for limited English proficiency
</t>
    </r>
  </si>
  <si>
    <r>
      <t>TABE</t>
    </r>
    <r>
      <rPr>
        <sz val="11"/>
        <color theme="1"/>
        <rFont val="Calibri"/>
        <family val="2"/>
        <scheme val="minor"/>
      </rPr>
      <t xml:space="preserve"> - TABE
</t>
    </r>
    <r>
      <rPr>
        <b/>
        <sz val="11"/>
        <color theme="1"/>
        <rFont val="Calibri"/>
        <family val="2"/>
        <scheme val="minor"/>
      </rPr>
      <t>CASAS</t>
    </r>
    <r>
      <rPr>
        <sz val="11"/>
        <color theme="1"/>
        <rFont val="Calibri"/>
        <family val="2"/>
        <scheme val="minor"/>
      </rPr>
      <t xml:space="preserve"> - CASAS
</t>
    </r>
    <r>
      <rPr>
        <b/>
        <sz val="11"/>
        <color theme="1"/>
        <rFont val="Calibri"/>
        <family val="2"/>
        <scheme val="minor"/>
      </rPr>
      <t>BEST</t>
    </r>
    <r>
      <rPr>
        <sz val="11"/>
        <color theme="1"/>
        <rFont val="Calibri"/>
        <family val="2"/>
        <scheme val="minor"/>
      </rPr>
      <t xml:space="preserve"> - BEST
</t>
    </r>
    <r>
      <rPr>
        <b/>
        <sz val="11"/>
        <color theme="1"/>
        <rFont val="Calibri"/>
        <family val="2"/>
        <scheme val="minor"/>
      </rPr>
      <t>BESTPlus</t>
    </r>
    <r>
      <rPr>
        <sz val="11"/>
        <color theme="1"/>
        <rFont val="Calibri"/>
        <family val="2"/>
        <scheme val="minor"/>
      </rPr>
      <t xml:space="preserve"> - BESTPlus
</t>
    </r>
    <r>
      <rPr>
        <b/>
        <sz val="11"/>
        <color theme="1"/>
        <rFont val="Calibri"/>
        <family val="2"/>
        <scheme val="minor"/>
      </rPr>
      <t>BESTLiteracy</t>
    </r>
    <r>
      <rPr>
        <sz val="11"/>
        <color theme="1"/>
        <rFont val="Calibri"/>
        <family val="2"/>
        <scheme val="minor"/>
      </rPr>
      <t xml:space="preserve"> - BEST Literacy
</t>
    </r>
    <r>
      <rPr>
        <b/>
        <sz val="11"/>
        <color theme="1"/>
        <rFont val="Calibri"/>
        <family val="2"/>
        <scheme val="minor"/>
      </rPr>
      <t>PPVT-III</t>
    </r>
    <r>
      <rPr>
        <sz val="11"/>
        <color theme="1"/>
        <rFont val="Calibri"/>
        <family val="2"/>
        <scheme val="minor"/>
      </rPr>
      <t xml:space="preserve"> - PPVT-III
</t>
    </r>
    <r>
      <rPr>
        <b/>
        <sz val="11"/>
        <color theme="1"/>
        <rFont val="Calibri"/>
        <family val="2"/>
        <scheme val="minor"/>
      </rPr>
      <t>PPVT-IV</t>
    </r>
    <r>
      <rPr>
        <sz val="11"/>
        <color theme="1"/>
        <rFont val="Calibri"/>
        <family val="2"/>
        <scheme val="minor"/>
      </rPr>
      <t xml:space="preserve"> - PPVT-IV
</t>
    </r>
    <r>
      <rPr>
        <b/>
        <sz val="11"/>
        <color theme="1"/>
        <rFont val="Calibri"/>
        <family val="2"/>
        <scheme val="minor"/>
      </rPr>
      <t>TVIP</t>
    </r>
    <r>
      <rPr>
        <sz val="11"/>
        <color theme="1"/>
        <rFont val="Calibri"/>
        <family val="2"/>
        <scheme val="minor"/>
      </rPr>
      <t xml:space="preserve"> - TVIP
</t>
    </r>
    <r>
      <rPr>
        <b/>
        <sz val="11"/>
        <color theme="1"/>
        <rFont val="Calibri"/>
        <family val="2"/>
        <scheme val="minor"/>
      </rPr>
      <t>PALSPreKUpperCase</t>
    </r>
    <r>
      <rPr>
        <sz val="11"/>
        <color theme="1"/>
        <rFont val="Calibri"/>
        <family val="2"/>
        <scheme val="minor"/>
      </rPr>
      <t xml:space="preserve"> - PALS PreK Upper Case
</t>
    </r>
    <r>
      <rPr>
        <b/>
        <sz val="11"/>
        <color theme="1"/>
        <rFont val="Calibri"/>
        <family val="2"/>
        <scheme val="minor"/>
      </rPr>
      <t>PEPScaleI</t>
    </r>
    <r>
      <rPr>
        <sz val="11"/>
        <color theme="1"/>
        <rFont val="Calibri"/>
        <family val="2"/>
        <scheme val="minor"/>
      </rPr>
      <t xml:space="preserve"> - PEP Scale I
</t>
    </r>
    <r>
      <rPr>
        <b/>
        <sz val="11"/>
        <color theme="1"/>
        <rFont val="Calibri"/>
        <family val="2"/>
        <scheme val="minor"/>
      </rPr>
      <t>PEPScaleII</t>
    </r>
    <r>
      <rPr>
        <sz val="11"/>
        <color theme="1"/>
        <rFont val="Calibri"/>
        <family val="2"/>
        <scheme val="minor"/>
      </rPr>
      <t xml:space="preserve"> - PEP Scale II
</t>
    </r>
    <r>
      <rPr>
        <b/>
        <sz val="11"/>
        <color theme="1"/>
        <rFont val="Calibri"/>
        <family val="2"/>
        <scheme val="minor"/>
      </rPr>
      <t>PEPScaleIII</t>
    </r>
    <r>
      <rPr>
        <sz val="11"/>
        <color theme="1"/>
        <rFont val="Calibri"/>
        <family val="2"/>
        <scheme val="minor"/>
      </rPr>
      <t xml:space="preserve"> - PEP Scale III
</t>
    </r>
    <r>
      <rPr>
        <b/>
        <sz val="11"/>
        <color theme="1"/>
        <rFont val="Calibri"/>
        <family val="2"/>
        <scheme val="minor"/>
      </rPr>
      <t>PEPScaleIV</t>
    </r>
    <r>
      <rPr>
        <sz val="11"/>
        <color theme="1"/>
        <rFont val="Calibri"/>
        <family val="2"/>
        <scheme val="minor"/>
      </rPr>
      <t xml:space="preserve"> - PEP Scale IV
</t>
    </r>
    <r>
      <rPr>
        <b/>
        <sz val="11"/>
        <color theme="1"/>
        <rFont val="Calibri"/>
        <family val="2"/>
        <scheme val="minor"/>
      </rPr>
      <t>Other</t>
    </r>
    <r>
      <rPr>
        <sz val="11"/>
        <color theme="1"/>
        <rFont val="Calibri"/>
        <family val="2"/>
        <scheme val="minor"/>
      </rPr>
      <t xml:space="preserve"> - Other
</t>
    </r>
  </si>
  <si>
    <r>
      <t>FromEligibleProgram</t>
    </r>
    <r>
      <rPr>
        <sz val="11"/>
        <color theme="1"/>
        <rFont val="Calibri"/>
        <family val="2"/>
        <scheme val="minor"/>
      </rPr>
      <t xml:space="preserve"> - From Eligible Program
</t>
    </r>
    <r>
      <rPr>
        <b/>
        <sz val="11"/>
        <color theme="1"/>
        <rFont val="Calibri"/>
        <family val="2"/>
        <scheme val="minor"/>
      </rPr>
      <t>ToEligibleProgram</t>
    </r>
    <r>
      <rPr>
        <sz val="11"/>
        <color theme="1"/>
        <rFont val="Calibri"/>
        <family val="2"/>
        <scheme val="minor"/>
      </rPr>
      <t xml:space="preserve"> - To Eligible Program
</t>
    </r>
  </si>
  <si>
    <r>
      <t>District</t>
    </r>
    <r>
      <rPr>
        <sz val="11"/>
        <color theme="1"/>
        <rFont val="Calibri"/>
        <family val="2"/>
        <scheme val="minor"/>
      </rPr>
      <t xml:space="preserve"> - District-assigned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Other</t>
    </r>
    <r>
      <rPr>
        <sz val="11"/>
        <color theme="1"/>
        <rFont val="Calibri"/>
        <family val="2"/>
        <scheme val="minor"/>
      </rPr>
      <t xml:space="preserve"> - Other
</t>
    </r>
  </si>
  <si>
    <r>
      <t>CorrectiveAction</t>
    </r>
    <r>
      <rPr>
        <sz val="11"/>
        <color theme="1"/>
        <rFont val="Calibri"/>
        <family val="2"/>
        <scheme val="minor"/>
      </rPr>
      <t xml:space="preserve"> - Corrective action
</t>
    </r>
    <r>
      <rPr>
        <b/>
        <sz val="11"/>
        <color theme="1"/>
        <rFont val="Calibri"/>
        <family val="2"/>
        <scheme val="minor"/>
      </rPr>
      <t>Year1</t>
    </r>
    <r>
      <rPr>
        <sz val="11"/>
        <color theme="1"/>
        <rFont val="Calibri"/>
        <family val="2"/>
        <scheme val="minor"/>
      </rPr>
      <t xml:space="preserve"> - Improvement status Year 1
</t>
    </r>
    <r>
      <rPr>
        <b/>
        <sz val="11"/>
        <color theme="1"/>
        <rFont val="Calibri"/>
        <family val="2"/>
        <scheme val="minor"/>
      </rPr>
      <t>Year2</t>
    </r>
    <r>
      <rPr>
        <sz val="11"/>
        <color theme="1"/>
        <rFont val="Calibri"/>
        <family val="2"/>
        <scheme val="minor"/>
      </rPr>
      <t xml:space="preserve"> - Improvement status Year 2
</t>
    </r>
    <r>
      <rPr>
        <b/>
        <sz val="11"/>
        <color theme="1"/>
        <rFont val="Calibri"/>
        <family val="2"/>
        <scheme val="minor"/>
      </rPr>
      <t>NotIdentified</t>
    </r>
    <r>
      <rPr>
        <sz val="11"/>
        <color theme="1"/>
        <rFont val="Calibri"/>
        <family val="2"/>
        <scheme val="minor"/>
      </rPr>
      <t xml:space="preserve"> - Not identified for improvement
</t>
    </r>
  </si>
  <si>
    <r>
      <t>Open</t>
    </r>
    <r>
      <rPr>
        <sz val="11"/>
        <color theme="1"/>
        <rFont val="Calibri"/>
        <family val="2"/>
        <scheme val="minor"/>
      </rPr>
      <t xml:space="preserve"> - Open
</t>
    </r>
    <r>
      <rPr>
        <b/>
        <sz val="11"/>
        <color theme="1"/>
        <rFont val="Calibri"/>
        <family val="2"/>
        <scheme val="minor"/>
      </rPr>
      <t>Closed</t>
    </r>
    <r>
      <rPr>
        <sz val="11"/>
        <color theme="1"/>
        <rFont val="Calibri"/>
        <family val="2"/>
        <scheme val="minor"/>
      </rPr>
      <t xml:space="preserve"> - Closed
</t>
    </r>
    <r>
      <rPr>
        <b/>
        <sz val="11"/>
        <color theme="1"/>
        <rFont val="Calibri"/>
        <family val="2"/>
        <scheme val="minor"/>
      </rPr>
      <t>New</t>
    </r>
    <r>
      <rPr>
        <sz val="11"/>
        <color theme="1"/>
        <rFont val="Calibri"/>
        <family val="2"/>
        <scheme val="minor"/>
      </rPr>
      <t xml:space="preserve"> - New
</t>
    </r>
    <r>
      <rPr>
        <b/>
        <sz val="11"/>
        <color theme="1"/>
        <rFont val="Calibri"/>
        <family val="2"/>
        <scheme val="minor"/>
      </rPr>
      <t>Added</t>
    </r>
    <r>
      <rPr>
        <sz val="11"/>
        <color theme="1"/>
        <rFont val="Calibri"/>
        <family val="2"/>
        <scheme val="minor"/>
      </rPr>
      <t xml:space="preserve"> - Added
</t>
    </r>
    <r>
      <rPr>
        <b/>
        <sz val="11"/>
        <color theme="1"/>
        <rFont val="Calibri"/>
        <family val="2"/>
        <scheme val="minor"/>
      </rPr>
      <t>ChangedBoundary</t>
    </r>
    <r>
      <rPr>
        <sz val="11"/>
        <color theme="1"/>
        <rFont val="Calibri"/>
        <family val="2"/>
        <scheme val="minor"/>
      </rPr>
      <t xml:space="preserve"> - Changed boundary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FutureAgency</t>
    </r>
    <r>
      <rPr>
        <sz val="11"/>
        <color theme="1"/>
        <rFont val="Calibri"/>
        <family val="2"/>
        <scheme val="minor"/>
      </rPr>
      <t xml:space="preserve"> - Future agency
</t>
    </r>
    <r>
      <rPr>
        <b/>
        <sz val="11"/>
        <color theme="1"/>
        <rFont val="Calibri"/>
        <family val="2"/>
        <scheme val="minor"/>
      </rPr>
      <t>Reopened</t>
    </r>
    <r>
      <rPr>
        <sz val="11"/>
        <color theme="1"/>
        <rFont val="Calibri"/>
        <family val="2"/>
        <scheme val="minor"/>
      </rPr>
      <t xml:space="preserve"> - Reopened
</t>
    </r>
  </si>
  <si>
    <r>
      <t>1</t>
    </r>
    <r>
      <rPr>
        <sz val="11"/>
        <color theme="1"/>
        <rFont val="Calibri"/>
        <family val="2"/>
        <scheme val="minor"/>
      </rPr>
      <t xml:space="preserve"> - Regular local school district
</t>
    </r>
    <r>
      <rPr>
        <b/>
        <sz val="11"/>
        <color theme="1"/>
        <rFont val="Calibri"/>
        <family val="2"/>
        <scheme val="minor"/>
      </rPr>
      <t>2</t>
    </r>
    <r>
      <rPr>
        <sz val="11"/>
        <color theme="1"/>
        <rFont val="Calibri"/>
        <family val="2"/>
        <scheme val="minor"/>
      </rPr>
      <t xml:space="preserve"> - Local school district that is a component of a supervisory union
</t>
    </r>
    <r>
      <rPr>
        <b/>
        <sz val="11"/>
        <color theme="1"/>
        <rFont val="Calibri"/>
        <family val="2"/>
        <scheme val="minor"/>
      </rPr>
      <t>3</t>
    </r>
    <r>
      <rPr>
        <sz val="11"/>
        <color theme="1"/>
        <rFont val="Calibri"/>
        <family val="2"/>
        <scheme val="minor"/>
      </rPr>
      <t xml:space="preserve"> - Supervisory union administrative center
</t>
    </r>
    <r>
      <rPr>
        <b/>
        <sz val="11"/>
        <color theme="1"/>
        <rFont val="Calibri"/>
        <family val="2"/>
        <scheme val="minor"/>
      </rPr>
      <t>4</t>
    </r>
    <r>
      <rPr>
        <sz val="11"/>
        <color theme="1"/>
        <rFont val="Calibri"/>
        <family val="2"/>
        <scheme val="minor"/>
      </rPr>
      <t xml:space="preserve"> - Regional education service agency
</t>
    </r>
    <r>
      <rPr>
        <b/>
        <sz val="11"/>
        <color theme="1"/>
        <rFont val="Calibri"/>
        <family val="2"/>
        <scheme val="minor"/>
      </rPr>
      <t>5</t>
    </r>
    <r>
      <rPr>
        <sz val="11"/>
        <color theme="1"/>
        <rFont val="Calibri"/>
        <family val="2"/>
        <scheme val="minor"/>
      </rPr>
      <t xml:space="preserve"> - State agency providing elementary and/or secondary level instruction to school
</t>
    </r>
    <r>
      <rPr>
        <b/>
        <sz val="11"/>
        <color theme="1"/>
        <rFont val="Calibri"/>
        <family val="2"/>
        <scheme val="minor"/>
      </rPr>
      <t>6</t>
    </r>
    <r>
      <rPr>
        <sz val="11"/>
        <color theme="1"/>
        <rFont val="Calibri"/>
        <family val="2"/>
        <scheme val="minor"/>
      </rPr>
      <t xml:space="preserve"> - Federal agency providing elementary and/or secondary level instruction to school
</t>
    </r>
    <r>
      <rPr>
        <b/>
        <sz val="11"/>
        <color theme="1"/>
        <rFont val="Calibri"/>
        <family val="2"/>
        <scheme val="minor"/>
      </rPr>
      <t>7</t>
    </r>
    <r>
      <rPr>
        <sz val="11"/>
        <color theme="1"/>
        <rFont val="Calibri"/>
        <family val="2"/>
        <scheme val="minor"/>
      </rPr>
      <t xml:space="preserve"> - Independent Charter District
</t>
    </r>
    <r>
      <rPr>
        <b/>
        <sz val="11"/>
        <color theme="1"/>
        <rFont val="Calibri"/>
        <family val="2"/>
        <scheme val="minor"/>
      </rPr>
      <t>8</t>
    </r>
    <r>
      <rPr>
        <sz val="11"/>
        <color theme="1"/>
        <rFont val="Calibri"/>
        <family val="2"/>
        <scheme val="minor"/>
      </rPr>
      <t xml:space="preserve"> - Other education agencies
</t>
    </r>
  </si>
  <si>
    <r>
      <t>All</t>
    </r>
    <r>
      <rPr>
        <sz val="11"/>
        <color theme="1"/>
        <rFont val="Calibri"/>
        <family val="2"/>
        <scheme val="minor"/>
      </rPr>
      <t xml:space="preserve"> - All students participate
</t>
    </r>
    <r>
      <rPr>
        <b/>
        <sz val="11"/>
        <color theme="1"/>
        <rFont val="Calibri"/>
        <family val="2"/>
        <scheme val="minor"/>
      </rPr>
      <t>None</t>
    </r>
    <r>
      <rPr>
        <sz val="11"/>
        <color theme="1"/>
        <rFont val="Calibri"/>
        <family val="2"/>
        <scheme val="minor"/>
      </rPr>
      <t xml:space="preserve"> - No students participate
</t>
    </r>
    <r>
      <rPr>
        <b/>
        <sz val="11"/>
        <color theme="1"/>
        <rFont val="Calibri"/>
        <family val="2"/>
        <scheme val="minor"/>
      </rPr>
      <t>Some</t>
    </r>
    <r>
      <rPr>
        <sz val="11"/>
        <color theme="1"/>
        <rFont val="Calibri"/>
        <family val="2"/>
        <scheme val="minor"/>
      </rPr>
      <t xml:space="preserve"> - Some, but not all, students participate
</t>
    </r>
  </si>
  <si>
    <r>
      <t>01</t>
    </r>
    <r>
      <rPr>
        <sz val="11"/>
        <color theme="1"/>
        <rFont val="Calibri"/>
        <family val="2"/>
        <scheme val="minor"/>
      </rPr>
      <t xml:space="preserve"> - Basic School Program
</t>
    </r>
    <r>
      <rPr>
        <b/>
        <sz val="11"/>
        <color theme="1"/>
        <rFont val="Calibri"/>
        <family val="2"/>
        <scheme val="minor"/>
      </rPr>
      <t>02</t>
    </r>
    <r>
      <rPr>
        <sz val="11"/>
        <color theme="1"/>
        <rFont val="Calibri"/>
        <family val="2"/>
        <scheme val="minor"/>
      </rPr>
      <t xml:space="preserve"> - Regular Term MEP-Funded Project
</t>
    </r>
    <r>
      <rPr>
        <b/>
        <sz val="11"/>
        <color theme="1"/>
        <rFont val="Calibri"/>
        <family val="2"/>
        <scheme val="minor"/>
      </rPr>
      <t>03</t>
    </r>
    <r>
      <rPr>
        <sz val="11"/>
        <color theme="1"/>
        <rFont val="Calibri"/>
        <family val="2"/>
        <scheme val="minor"/>
      </rPr>
      <t xml:space="preserve"> - Summer/Intersession MEP-Funded Project
</t>
    </r>
    <r>
      <rPr>
        <b/>
        <sz val="11"/>
        <color theme="1"/>
        <rFont val="Calibri"/>
        <family val="2"/>
        <scheme val="minor"/>
      </rPr>
      <t>04</t>
    </r>
    <r>
      <rPr>
        <sz val="11"/>
        <color theme="1"/>
        <rFont val="Calibri"/>
        <family val="2"/>
        <scheme val="minor"/>
      </rPr>
      <t xml:space="preserve"> - Year Round MEP-Funded Project
</t>
    </r>
    <r>
      <rPr>
        <b/>
        <sz val="11"/>
        <color theme="1"/>
        <rFont val="Calibri"/>
        <family val="2"/>
        <scheme val="minor"/>
      </rPr>
      <t>05</t>
    </r>
    <r>
      <rPr>
        <sz val="11"/>
        <color theme="1"/>
        <rFont val="Calibri"/>
        <family val="2"/>
        <scheme val="minor"/>
      </rPr>
      <t xml:space="preserve"> - Basic School Program and Regular-Term MEP-Funded Project
</t>
    </r>
    <r>
      <rPr>
        <b/>
        <sz val="11"/>
        <color theme="1"/>
        <rFont val="Calibri"/>
        <family val="2"/>
        <scheme val="minor"/>
      </rPr>
      <t>06</t>
    </r>
    <r>
      <rPr>
        <sz val="11"/>
        <color theme="1"/>
        <rFont val="Calibri"/>
        <family val="2"/>
        <scheme val="minor"/>
      </rPr>
      <t xml:space="preserve"> - Residency Only (none of the above)
</t>
    </r>
  </si>
  <si>
    <r>
      <t>SchoolBased</t>
    </r>
    <r>
      <rPr>
        <sz val="11"/>
        <color theme="1"/>
        <rFont val="Calibri"/>
        <family val="2"/>
        <scheme val="minor"/>
      </rPr>
      <t xml:space="preserve"> - School-based MEP Project
</t>
    </r>
    <r>
      <rPr>
        <b/>
        <sz val="11"/>
        <color theme="1"/>
        <rFont val="Calibri"/>
        <family val="2"/>
        <scheme val="minor"/>
      </rPr>
      <t>NonSchoolBased</t>
    </r>
    <r>
      <rPr>
        <sz val="11"/>
        <color theme="1"/>
        <rFont val="Calibri"/>
        <family val="2"/>
        <scheme val="minor"/>
      </rPr>
      <t xml:space="preserve"> - Non-school-based MEP project
</t>
    </r>
  </si>
  <si>
    <r>
      <t>SchoolDay</t>
    </r>
    <r>
      <rPr>
        <sz val="11"/>
        <color theme="1"/>
        <rFont val="Calibri"/>
        <family val="2"/>
        <scheme val="minor"/>
      </rPr>
      <t xml:space="preserve"> - Regular school year - school day only
</t>
    </r>
    <r>
      <rPr>
        <b/>
        <sz val="11"/>
        <color theme="1"/>
        <rFont val="Calibri"/>
        <family val="2"/>
        <scheme val="minor"/>
      </rPr>
      <t>ExtendedDay</t>
    </r>
    <r>
      <rPr>
        <sz val="11"/>
        <color theme="1"/>
        <rFont val="Calibri"/>
        <family val="2"/>
        <scheme val="minor"/>
      </rPr>
      <t xml:space="preserve"> - Regular school year - school day/extended day
</t>
    </r>
    <r>
      <rPr>
        <b/>
        <sz val="11"/>
        <color theme="1"/>
        <rFont val="Calibri"/>
        <family val="2"/>
        <scheme val="minor"/>
      </rPr>
      <t>SummerIntersession</t>
    </r>
    <r>
      <rPr>
        <sz val="11"/>
        <color theme="1"/>
        <rFont val="Calibri"/>
        <family val="2"/>
        <scheme val="minor"/>
      </rPr>
      <t xml:space="preserve"> - Summer/intersession only
</t>
    </r>
    <r>
      <rPr>
        <b/>
        <sz val="11"/>
        <color theme="1"/>
        <rFont val="Calibri"/>
        <family val="2"/>
        <scheme val="minor"/>
      </rPr>
      <t>YearRound</t>
    </r>
    <r>
      <rPr>
        <sz val="11"/>
        <color theme="1"/>
        <rFont val="Calibri"/>
        <family val="2"/>
        <scheme val="minor"/>
      </rPr>
      <t xml:space="preserve"> - Year round
</t>
    </r>
  </si>
  <si>
    <r>
      <t>CounselingServices</t>
    </r>
    <r>
      <rPr>
        <sz val="11"/>
        <color theme="1"/>
        <rFont val="Calibri"/>
        <family val="2"/>
        <scheme val="minor"/>
      </rPr>
      <t xml:space="preserve"> - Counseling Services
</t>
    </r>
    <r>
      <rPr>
        <b/>
        <sz val="11"/>
        <color theme="1"/>
        <rFont val="Calibri"/>
        <family val="2"/>
        <scheme val="minor"/>
      </rPr>
      <t>HighSchoolAccrual</t>
    </r>
    <r>
      <rPr>
        <sz val="11"/>
        <color theme="1"/>
        <rFont val="Calibri"/>
        <family val="2"/>
        <scheme val="minor"/>
      </rPr>
      <t xml:space="preserve"> - High School Accrual
</t>
    </r>
    <r>
      <rPr>
        <b/>
        <sz val="11"/>
        <color theme="1"/>
        <rFont val="Calibri"/>
        <family val="2"/>
        <scheme val="minor"/>
      </rPr>
      <t>InstructionalServices</t>
    </r>
    <r>
      <rPr>
        <sz val="11"/>
        <color theme="1"/>
        <rFont val="Calibri"/>
        <family val="2"/>
        <scheme val="minor"/>
      </rPr>
      <t xml:space="preserve"> - Instructional Services
</t>
    </r>
    <r>
      <rPr>
        <b/>
        <sz val="11"/>
        <color theme="1"/>
        <rFont val="Calibri"/>
        <family val="2"/>
        <scheme val="minor"/>
      </rPr>
      <t>MathematicsInstruction</t>
    </r>
    <r>
      <rPr>
        <sz val="11"/>
        <color theme="1"/>
        <rFont val="Calibri"/>
        <family val="2"/>
        <scheme val="minor"/>
      </rPr>
      <t xml:space="preserve"> - Mathematics Instruction
</t>
    </r>
    <r>
      <rPr>
        <b/>
        <sz val="11"/>
        <color theme="1"/>
        <rFont val="Calibri"/>
        <family val="2"/>
        <scheme val="minor"/>
      </rPr>
      <t>ReadingInstruction</t>
    </r>
    <r>
      <rPr>
        <sz val="11"/>
        <color theme="1"/>
        <rFont val="Calibri"/>
        <family val="2"/>
        <scheme val="minor"/>
      </rPr>
      <t xml:space="preserve"> - Reading Instruction
</t>
    </r>
    <r>
      <rPr>
        <b/>
        <sz val="11"/>
        <color theme="1"/>
        <rFont val="Calibri"/>
        <family val="2"/>
        <scheme val="minor"/>
      </rPr>
      <t>ReferralServices</t>
    </r>
    <r>
      <rPr>
        <sz val="11"/>
        <color theme="1"/>
        <rFont val="Calibri"/>
        <family val="2"/>
        <scheme val="minor"/>
      </rPr>
      <t xml:space="preserve"> - Referral Services
</t>
    </r>
    <r>
      <rPr>
        <b/>
        <sz val="11"/>
        <color theme="1"/>
        <rFont val="Calibri"/>
        <family val="2"/>
        <scheme val="minor"/>
      </rPr>
      <t>SupportServices</t>
    </r>
    <r>
      <rPr>
        <sz val="11"/>
        <color theme="1"/>
        <rFont val="Calibri"/>
        <family val="2"/>
        <scheme val="minor"/>
      </rPr>
      <t xml:space="preserve"> - Support Services
</t>
    </r>
  </si>
  <si>
    <r>
      <t>RegularSchoolYear</t>
    </r>
    <r>
      <rPr>
        <sz val="11"/>
        <color theme="1"/>
        <rFont val="Calibri"/>
        <family val="2"/>
        <scheme val="minor"/>
      </rPr>
      <t xml:space="preserve"> - Regular School Year
</t>
    </r>
    <r>
      <rPr>
        <b/>
        <sz val="11"/>
        <color theme="1"/>
        <rFont val="Calibri"/>
        <family val="2"/>
        <scheme val="minor"/>
      </rPr>
      <t>SummerTerm</t>
    </r>
    <r>
      <rPr>
        <sz val="11"/>
        <color theme="1"/>
        <rFont val="Calibri"/>
        <family val="2"/>
        <scheme val="minor"/>
      </rPr>
      <t xml:space="preserve"> - Summer Term or Intersession
</t>
    </r>
  </si>
  <si>
    <r>
      <t>Teachers</t>
    </r>
    <r>
      <rPr>
        <sz val="11"/>
        <color theme="1"/>
        <rFont val="Calibri"/>
        <family val="2"/>
        <scheme val="minor"/>
      </rPr>
      <t xml:space="preserve"> - Teachers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Counselors</t>
    </r>
    <r>
      <rPr>
        <sz val="11"/>
        <color theme="1"/>
        <rFont val="Calibri"/>
        <family val="2"/>
        <scheme val="minor"/>
      </rPr>
      <t xml:space="preserve"> - Counselors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Recruiters</t>
    </r>
    <r>
      <rPr>
        <sz val="11"/>
        <color theme="1"/>
        <rFont val="Calibri"/>
        <family val="2"/>
        <scheme val="minor"/>
      </rPr>
      <t xml:space="preserve"> - Recruiters
</t>
    </r>
    <r>
      <rPr>
        <b/>
        <sz val="11"/>
        <color theme="1"/>
        <rFont val="Calibri"/>
        <family val="2"/>
        <scheme val="minor"/>
      </rPr>
      <t>RecordsTransferStaff</t>
    </r>
    <r>
      <rPr>
        <sz val="11"/>
        <color theme="1"/>
        <rFont val="Calibri"/>
        <family val="2"/>
        <scheme val="minor"/>
      </rPr>
      <t xml:space="preserve"> - Records Transfer Staff
</t>
    </r>
  </si>
  <si>
    <r>
      <t>DevelopingInterpretation</t>
    </r>
    <r>
      <rPr>
        <sz val="11"/>
        <color theme="1"/>
        <rFont val="Calibri"/>
        <family val="2"/>
        <scheme val="minor"/>
      </rPr>
      <t xml:space="preserve"> - Developing Interpretation
</t>
    </r>
    <r>
      <rPr>
        <b/>
        <sz val="11"/>
        <color theme="1"/>
        <rFont val="Calibri"/>
        <family val="2"/>
        <scheme val="minor"/>
      </rPr>
      <t>MakingReaderTextConnections</t>
    </r>
    <r>
      <rPr>
        <sz val="11"/>
        <color theme="1"/>
        <rFont val="Calibri"/>
        <family val="2"/>
        <scheme val="minor"/>
      </rPr>
      <t xml:space="preserve"> - Making reader/text connections
</t>
    </r>
    <r>
      <rPr>
        <b/>
        <sz val="11"/>
        <color theme="1"/>
        <rFont val="Calibri"/>
        <family val="2"/>
        <scheme val="minor"/>
      </rPr>
      <t>ExaminingContentAndStructure</t>
    </r>
    <r>
      <rPr>
        <sz val="11"/>
        <color theme="1"/>
        <rFont val="Calibri"/>
        <family val="2"/>
        <scheme val="minor"/>
      </rPr>
      <t xml:space="preserve"> - Examining content and structure
</t>
    </r>
  </si>
  <si>
    <r>
      <t>LowComplexity</t>
    </r>
    <r>
      <rPr>
        <sz val="11"/>
        <color theme="1"/>
        <rFont val="Calibri"/>
        <family val="2"/>
        <scheme val="minor"/>
      </rPr>
      <t xml:space="preserve"> - Low complexity
</t>
    </r>
    <r>
      <rPr>
        <b/>
        <sz val="11"/>
        <color theme="1"/>
        <rFont val="Calibri"/>
        <family val="2"/>
        <scheme val="minor"/>
      </rPr>
      <t>ModerateComplexity</t>
    </r>
    <r>
      <rPr>
        <sz val="11"/>
        <color theme="1"/>
        <rFont val="Calibri"/>
        <family val="2"/>
        <scheme val="minor"/>
      </rPr>
      <t xml:space="preserve"> - Moderate complexity
</t>
    </r>
    <r>
      <rPr>
        <b/>
        <sz val="11"/>
        <color theme="1"/>
        <rFont val="Calibri"/>
        <family val="2"/>
        <scheme val="minor"/>
      </rPr>
      <t>HighComplexity</t>
    </r>
    <r>
      <rPr>
        <sz val="11"/>
        <color theme="1"/>
        <rFont val="Calibri"/>
        <family val="2"/>
        <scheme val="minor"/>
      </rPr>
      <t xml:space="preserve"> - High complexity
</t>
    </r>
  </si>
  <si>
    <r>
      <t>NeglectedPrograms</t>
    </r>
    <r>
      <rPr>
        <sz val="11"/>
        <color theme="1"/>
        <rFont val="Calibri"/>
        <family val="2"/>
        <scheme val="minor"/>
      </rPr>
      <t xml:space="preserve"> - Neglected programs
</t>
    </r>
    <r>
      <rPr>
        <b/>
        <sz val="11"/>
        <color theme="1"/>
        <rFont val="Calibri"/>
        <family val="2"/>
        <scheme val="minor"/>
      </rPr>
      <t>JuvenileDetention</t>
    </r>
    <r>
      <rPr>
        <sz val="11"/>
        <color theme="1"/>
        <rFont val="Calibri"/>
        <family val="2"/>
        <scheme val="minor"/>
      </rPr>
      <t xml:space="preserve"> - Juvenile Detention
</t>
    </r>
    <r>
      <rPr>
        <b/>
        <sz val="11"/>
        <color theme="1"/>
        <rFont val="Calibri"/>
        <family val="2"/>
        <scheme val="minor"/>
      </rPr>
      <t>JuvenileCorrection</t>
    </r>
    <r>
      <rPr>
        <sz val="11"/>
        <color theme="1"/>
        <rFont val="Calibri"/>
        <family val="2"/>
        <scheme val="minor"/>
      </rPr>
      <t xml:space="preserve"> - Juvenile Correction
</t>
    </r>
    <r>
      <rPr>
        <b/>
        <sz val="11"/>
        <color theme="1"/>
        <rFont val="Calibri"/>
        <family val="2"/>
        <scheme val="minor"/>
      </rPr>
      <t>AdultCorrection</t>
    </r>
    <r>
      <rPr>
        <sz val="11"/>
        <color theme="1"/>
        <rFont val="Calibri"/>
        <family val="2"/>
        <scheme val="minor"/>
      </rPr>
      <t xml:space="preserve"> - Adult Correction
</t>
    </r>
    <r>
      <rPr>
        <b/>
        <sz val="11"/>
        <color theme="1"/>
        <rFont val="Calibri"/>
        <family val="2"/>
        <scheme val="minor"/>
      </rPr>
      <t>AtRiskPrograms</t>
    </r>
    <r>
      <rPr>
        <sz val="11"/>
        <color theme="1"/>
        <rFont val="Calibri"/>
        <family val="2"/>
        <scheme val="minor"/>
      </rPr>
      <t xml:space="preserve"> - At-risk programs
</t>
    </r>
    <r>
      <rPr>
        <b/>
        <sz val="11"/>
        <color theme="1"/>
        <rFont val="Calibri"/>
        <family val="2"/>
        <scheme val="minor"/>
      </rPr>
      <t>OtherPrograms</t>
    </r>
    <r>
      <rPr>
        <sz val="11"/>
        <color theme="1"/>
        <rFont val="Calibri"/>
        <family val="2"/>
        <scheme val="minor"/>
      </rPr>
      <t xml:space="preserve"> - Other Programs
</t>
    </r>
  </si>
  <si>
    <r>
      <t>FailedTestingRequirements</t>
    </r>
    <r>
      <rPr>
        <sz val="11"/>
        <color theme="1"/>
        <rFont val="Calibri"/>
        <family val="2"/>
        <scheme val="minor"/>
      </rPr>
      <t xml:space="preserve"> - Failed to meet testing requirements
</t>
    </r>
    <r>
      <rPr>
        <b/>
        <sz val="11"/>
        <color theme="1"/>
        <rFont val="Calibri"/>
        <family val="2"/>
        <scheme val="minor"/>
      </rPr>
      <t>Illness</t>
    </r>
    <r>
      <rPr>
        <sz val="11"/>
        <color theme="1"/>
        <rFont val="Calibri"/>
        <family val="2"/>
        <scheme val="minor"/>
      </rPr>
      <t xml:space="preserve"> - Illness
</t>
    </r>
    <r>
      <rPr>
        <b/>
        <sz val="11"/>
        <color theme="1"/>
        <rFont val="Calibri"/>
        <family val="2"/>
        <scheme val="minor"/>
      </rPr>
      <t>Immaturity</t>
    </r>
    <r>
      <rPr>
        <sz val="11"/>
        <color theme="1"/>
        <rFont val="Calibri"/>
        <family val="2"/>
        <scheme val="minor"/>
      </rPr>
      <t xml:space="preserve"> - Immaturity
</t>
    </r>
    <r>
      <rPr>
        <b/>
        <sz val="11"/>
        <color theme="1"/>
        <rFont val="Calibri"/>
        <family val="2"/>
        <scheme val="minor"/>
      </rPr>
      <t>InadequatePerformance</t>
    </r>
    <r>
      <rPr>
        <sz val="11"/>
        <color theme="1"/>
        <rFont val="Calibri"/>
        <family val="2"/>
        <scheme val="minor"/>
      </rPr>
      <t xml:space="preserve"> - Inadequate performance
</t>
    </r>
    <r>
      <rPr>
        <b/>
        <sz val="11"/>
        <color theme="1"/>
        <rFont val="Calibri"/>
        <family val="2"/>
        <scheme val="minor"/>
      </rPr>
      <t>InsufficientCredits</t>
    </r>
    <r>
      <rPr>
        <sz val="11"/>
        <color theme="1"/>
        <rFont val="Calibri"/>
        <family val="2"/>
        <scheme val="minor"/>
      </rPr>
      <t xml:space="preserve"> - Insufficient credits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ProlongedAbsence</t>
    </r>
    <r>
      <rPr>
        <sz val="11"/>
        <color theme="1"/>
        <rFont val="Calibri"/>
        <family val="2"/>
        <scheme val="minor"/>
      </rPr>
      <t xml:space="preserve"> - Prolonged absence
</t>
    </r>
  </si>
  <si>
    <r>
      <t>Employer</t>
    </r>
    <r>
      <rPr>
        <sz val="11"/>
        <color theme="1"/>
        <rFont val="Calibri"/>
        <family val="2"/>
        <scheme val="minor"/>
      </rPr>
      <t xml:space="preserve"> - Employer
</t>
    </r>
    <r>
      <rPr>
        <b/>
        <sz val="11"/>
        <color theme="1"/>
        <rFont val="Calibri"/>
        <family val="2"/>
        <scheme val="minor"/>
      </rPr>
      <t>K12School</t>
    </r>
    <r>
      <rPr>
        <sz val="11"/>
        <color theme="1"/>
        <rFont val="Calibri"/>
        <family val="2"/>
        <scheme val="minor"/>
      </rPr>
      <t xml:space="preserve"> - K12 School
</t>
    </r>
    <r>
      <rPr>
        <b/>
        <sz val="11"/>
        <color theme="1"/>
        <rFont val="Calibri"/>
        <family val="2"/>
        <scheme val="minor"/>
      </rPr>
      <t>LEA</t>
    </r>
    <r>
      <rPr>
        <sz val="11"/>
        <color theme="1"/>
        <rFont val="Calibri"/>
        <family val="2"/>
        <scheme val="minor"/>
      </rPr>
      <t xml:space="preserve"> - Local Education Agency (LEA)
</t>
    </r>
    <r>
      <rPr>
        <b/>
        <sz val="11"/>
        <color theme="1"/>
        <rFont val="Calibri"/>
        <family val="2"/>
        <scheme val="minor"/>
      </rPr>
      <t>IEU</t>
    </r>
    <r>
      <rPr>
        <sz val="11"/>
        <color theme="1"/>
        <rFont val="Calibri"/>
        <family val="2"/>
        <scheme val="minor"/>
      </rPr>
      <t xml:space="preserve"> - Intermediate Educational Unit (IEU)
</t>
    </r>
    <r>
      <rPr>
        <b/>
        <sz val="11"/>
        <color theme="1"/>
        <rFont val="Calibri"/>
        <family val="2"/>
        <scheme val="minor"/>
      </rPr>
      <t>SEA</t>
    </r>
    <r>
      <rPr>
        <sz val="11"/>
        <color theme="1"/>
        <rFont val="Calibri"/>
        <family val="2"/>
        <scheme val="minor"/>
      </rPr>
      <t xml:space="preserve"> - State Education Agency (SEA)
</t>
    </r>
    <r>
      <rPr>
        <b/>
        <sz val="11"/>
        <color theme="1"/>
        <rFont val="Calibri"/>
        <family val="2"/>
        <scheme val="minor"/>
      </rPr>
      <t>Recruiter</t>
    </r>
    <r>
      <rPr>
        <sz val="11"/>
        <color theme="1"/>
        <rFont val="Calibri"/>
        <family val="2"/>
        <scheme val="minor"/>
      </rPr>
      <t xml:space="preserve"> - Recruiter
</t>
    </r>
    <r>
      <rPr>
        <b/>
        <sz val="11"/>
        <color theme="1"/>
        <rFont val="Calibri"/>
        <family val="2"/>
        <scheme val="minor"/>
      </rPr>
      <t>EmployeeBenefitCarrier</t>
    </r>
    <r>
      <rPr>
        <sz val="11"/>
        <color theme="1"/>
        <rFont val="Calibri"/>
        <family val="2"/>
        <scheme val="minor"/>
      </rPr>
      <t xml:space="preserve"> - Employee Benefit Carrier
</t>
    </r>
    <r>
      <rPr>
        <b/>
        <sz val="11"/>
        <color theme="1"/>
        <rFont val="Calibri"/>
        <family val="2"/>
        <scheme val="minor"/>
      </rPr>
      <t>EmployeeBenefitContributor</t>
    </r>
    <r>
      <rPr>
        <sz val="11"/>
        <color theme="1"/>
        <rFont val="Calibri"/>
        <family val="2"/>
        <scheme val="minor"/>
      </rPr>
      <t xml:space="preserve"> - Employee Benefit Contributor
</t>
    </r>
    <r>
      <rPr>
        <b/>
        <sz val="11"/>
        <color theme="1"/>
        <rFont val="Calibri"/>
        <family val="2"/>
        <scheme val="minor"/>
      </rPr>
      <t>ProfessionalMembershipOrganization</t>
    </r>
    <r>
      <rPr>
        <sz val="11"/>
        <color theme="1"/>
        <rFont val="Calibri"/>
        <family val="2"/>
        <scheme val="minor"/>
      </rPr>
      <t xml:space="preserve"> - Professional Membership Organization
</t>
    </r>
    <r>
      <rPr>
        <b/>
        <sz val="11"/>
        <color theme="1"/>
        <rFont val="Calibri"/>
        <family val="2"/>
        <scheme val="minor"/>
      </rPr>
      <t>EducationInstitution</t>
    </r>
    <r>
      <rPr>
        <sz val="11"/>
        <color theme="1"/>
        <rFont val="Calibri"/>
        <family val="2"/>
        <scheme val="minor"/>
      </rPr>
      <t xml:space="preserve"> - Education Institution
</t>
    </r>
    <r>
      <rPr>
        <b/>
        <sz val="11"/>
        <color theme="1"/>
        <rFont val="Calibri"/>
        <family val="2"/>
        <scheme val="minor"/>
      </rPr>
      <t>StaffDevelopmentProvider</t>
    </r>
    <r>
      <rPr>
        <sz val="11"/>
        <color theme="1"/>
        <rFont val="Calibri"/>
        <family val="2"/>
        <scheme val="minor"/>
      </rPr>
      <t xml:space="preserve"> - Staff Development Provider
</t>
    </r>
    <r>
      <rPr>
        <b/>
        <sz val="11"/>
        <color theme="1"/>
        <rFont val="Calibri"/>
        <family val="2"/>
        <scheme val="minor"/>
      </rPr>
      <t>Facility</t>
    </r>
    <r>
      <rPr>
        <sz val="11"/>
        <color theme="1"/>
        <rFont val="Calibri"/>
        <family val="2"/>
        <scheme val="minor"/>
      </rPr>
      <t xml:space="preserve"> - Facility
</t>
    </r>
    <r>
      <rPr>
        <b/>
        <sz val="11"/>
        <color theme="1"/>
        <rFont val="Calibri"/>
        <family val="2"/>
        <scheme val="minor"/>
      </rPr>
      <t>Program</t>
    </r>
    <r>
      <rPr>
        <sz val="11"/>
        <color theme="1"/>
        <rFont val="Calibri"/>
        <family val="2"/>
        <scheme val="minor"/>
      </rPr>
      <t xml:space="preserve"> - Program
</t>
    </r>
    <r>
      <rPr>
        <b/>
        <sz val="11"/>
        <color theme="1"/>
        <rFont val="Calibri"/>
        <family val="2"/>
        <scheme val="minor"/>
      </rPr>
      <t>PostsecondaryInstitution</t>
    </r>
    <r>
      <rPr>
        <sz val="11"/>
        <color theme="1"/>
        <rFont val="Calibri"/>
        <family val="2"/>
        <scheme val="minor"/>
      </rPr>
      <t xml:space="preserve"> - Postsecondary Institution
</t>
    </r>
    <r>
      <rPr>
        <b/>
        <sz val="11"/>
        <color theme="1"/>
        <rFont val="Calibri"/>
        <family val="2"/>
        <scheme val="minor"/>
      </rPr>
      <t>ServiceProvider</t>
    </r>
    <r>
      <rPr>
        <sz val="11"/>
        <color theme="1"/>
        <rFont val="Calibri"/>
        <family val="2"/>
        <scheme val="minor"/>
      </rPr>
      <t xml:space="preserve"> - Service Provider
</t>
    </r>
    <r>
      <rPr>
        <b/>
        <sz val="11"/>
        <color theme="1"/>
        <rFont val="Calibri"/>
        <family val="2"/>
        <scheme val="minor"/>
      </rPr>
      <t>AffiliatedInstitution</t>
    </r>
    <r>
      <rPr>
        <sz val="11"/>
        <color theme="1"/>
        <rFont val="Calibri"/>
        <family val="2"/>
        <scheme val="minor"/>
      </rPr>
      <t xml:space="preserve"> - Affiliated Institution
</t>
    </r>
    <r>
      <rPr>
        <b/>
        <sz val="11"/>
        <color theme="1"/>
        <rFont val="Calibri"/>
        <family val="2"/>
        <scheme val="minor"/>
      </rPr>
      <t>GoverningBoard</t>
    </r>
    <r>
      <rPr>
        <sz val="11"/>
        <color theme="1"/>
        <rFont val="Calibri"/>
        <family val="2"/>
        <scheme val="minor"/>
      </rPr>
      <t xml:space="preserve"> - Governing Board
</t>
    </r>
    <r>
      <rPr>
        <b/>
        <sz val="11"/>
        <color theme="1"/>
        <rFont val="Calibri"/>
        <family val="2"/>
        <scheme val="minor"/>
      </rPr>
      <t>CredentialingOrganization</t>
    </r>
    <r>
      <rPr>
        <sz val="11"/>
        <color theme="1"/>
        <rFont val="Calibri"/>
        <family val="2"/>
        <scheme val="minor"/>
      </rPr>
      <t xml:space="preserve"> - Credentialing Organization
</t>
    </r>
    <r>
      <rPr>
        <b/>
        <sz val="11"/>
        <color theme="1"/>
        <rFont val="Calibri"/>
        <family val="2"/>
        <scheme val="minor"/>
      </rPr>
      <t>AccreditingOrganization</t>
    </r>
    <r>
      <rPr>
        <sz val="11"/>
        <color theme="1"/>
        <rFont val="Calibri"/>
        <family val="2"/>
        <scheme val="minor"/>
      </rPr>
      <t xml:space="preserve"> - Accrediting Organization
</t>
    </r>
    <r>
      <rPr>
        <b/>
        <sz val="11"/>
        <color theme="1"/>
        <rFont val="Calibri"/>
        <family val="2"/>
        <scheme val="minor"/>
      </rPr>
      <t>EducationOrganizationNetwork</t>
    </r>
    <r>
      <rPr>
        <sz val="11"/>
        <color theme="1"/>
        <rFont val="Calibri"/>
        <family val="2"/>
        <scheme val="minor"/>
      </rPr>
      <t xml:space="preserve"> - Education Organization Network
</t>
    </r>
    <r>
      <rPr>
        <b/>
        <sz val="11"/>
        <color theme="1"/>
        <rFont val="Calibri"/>
        <family val="2"/>
        <scheme val="minor"/>
      </rPr>
      <t>IDEAPartCLeadAgency</t>
    </r>
    <r>
      <rPr>
        <sz val="11"/>
        <color theme="1"/>
        <rFont val="Calibri"/>
        <family val="2"/>
        <scheme val="minor"/>
      </rPr>
      <t xml:space="preserve"> - IDEA Part C Lead Agency
</t>
    </r>
  </si>
  <si>
    <r>
      <t>Alias</t>
    </r>
    <r>
      <rPr>
        <sz val="11"/>
        <color theme="1"/>
        <rFont val="Calibri"/>
        <family val="2"/>
        <scheme val="minor"/>
      </rPr>
      <t xml:space="preserve"> - Alias
</t>
    </r>
    <r>
      <rPr>
        <b/>
        <sz val="11"/>
        <color theme="1"/>
        <rFont val="Calibri"/>
        <family val="2"/>
        <scheme val="minor"/>
      </rPr>
      <t>Nickname</t>
    </r>
    <r>
      <rPr>
        <sz val="11"/>
        <color theme="1"/>
        <rFont val="Calibri"/>
        <family val="2"/>
        <scheme val="minor"/>
      </rPr>
      <t xml:space="preserve"> - Nickname
</t>
    </r>
    <r>
      <rPr>
        <b/>
        <sz val="11"/>
        <color theme="1"/>
        <rFont val="Calibri"/>
        <family val="2"/>
        <scheme val="minor"/>
      </rPr>
      <t>OtherName</t>
    </r>
    <r>
      <rPr>
        <sz val="11"/>
        <color theme="1"/>
        <rFont val="Calibri"/>
        <family val="2"/>
        <scheme val="minor"/>
      </rPr>
      <t xml:space="preserve"> - Other name
</t>
    </r>
    <r>
      <rPr>
        <b/>
        <sz val="11"/>
        <color theme="1"/>
        <rFont val="Calibri"/>
        <family val="2"/>
        <scheme val="minor"/>
      </rPr>
      <t>PreviousLegalName</t>
    </r>
    <r>
      <rPr>
        <sz val="11"/>
        <color theme="1"/>
        <rFont val="Calibri"/>
        <family val="2"/>
        <scheme val="minor"/>
      </rPr>
      <t xml:space="preserve"> - Previous legal name
</t>
    </r>
  </si>
  <si>
    <r>
      <t>Qualified</t>
    </r>
    <r>
      <rPr>
        <sz val="11"/>
        <color theme="1"/>
        <rFont val="Calibri"/>
        <family val="2"/>
        <scheme val="minor"/>
      </rPr>
      <t xml:space="preserve"> - Qualified
</t>
    </r>
    <r>
      <rPr>
        <b/>
        <sz val="11"/>
        <color theme="1"/>
        <rFont val="Calibri"/>
        <family val="2"/>
        <scheme val="minor"/>
      </rPr>
      <t>NotQualified</t>
    </r>
    <r>
      <rPr>
        <sz val="11"/>
        <color theme="1"/>
        <rFont val="Calibri"/>
        <family val="2"/>
        <scheme val="minor"/>
      </rPr>
      <t xml:space="preserve"> - Not Qualified
</t>
    </r>
  </si>
  <si>
    <r>
      <t>InPerson</t>
    </r>
    <r>
      <rPr>
        <sz val="11"/>
        <color theme="1"/>
        <rFont val="Calibri"/>
        <family val="2"/>
        <scheme val="minor"/>
      </rPr>
      <t xml:space="preserve"> - In-person
</t>
    </r>
    <r>
      <rPr>
        <b/>
        <sz val="11"/>
        <color theme="1"/>
        <rFont val="Calibri"/>
        <family val="2"/>
        <scheme val="minor"/>
      </rPr>
      <t>Phone</t>
    </r>
    <r>
      <rPr>
        <sz val="11"/>
        <color theme="1"/>
        <rFont val="Calibri"/>
        <family val="2"/>
        <scheme val="minor"/>
      </rPr>
      <t xml:space="preserve"> - Phone
</t>
    </r>
    <r>
      <rPr>
        <b/>
        <sz val="11"/>
        <color theme="1"/>
        <rFont val="Calibri"/>
        <family val="2"/>
        <scheme val="minor"/>
      </rPr>
      <t>Website</t>
    </r>
    <r>
      <rPr>
        <sz val="11"/>
        <color theme="1"/>
        <rFont val="Calibri"/>
        <family val="2"/>
        <scheme val="minor"/>
      </rPr>
      <t xml:space="preserve"> - Website
</t>
    </r>
    <r>
      <rPr>
        <b/>
        <sz val="11"/>
        <color theme="1"/>
        <rFont val="Calibri"/>
        <family val="2"/>
        <scheme val="minor"/>
      </rPr>
      <t>Email</t>
    </r>
    <r>
      <rPr>
        <sz val="11"/>
        <color theme="1"/>
        <rFont val="Calibri"/>
        <family val="2"/>
        <scheme val="minor"/>
      </rPr>
      <t xml:space="preserve"> - Email
</t>
    </r>
    <r>
      <rPr>
        <b/>
        <sz val="11"/>
        <color theme="1"/>
        <rFont val="Calibri"/>
        <family val="2"/>
        <scheme val="minor"/>
      </rPr>
      <t>Newsletter</t>
    </r>
    <r>
      <rPr>
        <sz val="11"/>
        <color theme="1"/>
        <rFont val="Calibri"/>
        <family val="2"/>
        <scheme val="minor"/>
      </rPr>
      <t xml:space="preserve"> - Newsletter
</t>
    </r>
    <r>
      <rPr>
        <b/>
        <sz val="11"/>
        <color theme="1"/>
        <rFont val="Calibri"/>
        <family val="2"/>
        <scheme val="minor"/>
      </rPr>
      <t>BulletinBoard</t>
    </r>
    <r>
      <rPr>
        <sz val="11"/>
        <color theme="1"/>
        <rFont val="Calibri"/>
        <family val="2"/>
        <scheme val="minor"/>
      </rPr>
      <t xml:space="preserve"> - Bulletin board
</t>
    </r>
    <r>
      <rPr>
        <b/>
        <sz val="11"/>
        <color theme="1"/>
        <rFont val="Calibri"/>
        <family val="2"/>
        <scheme val="minor"/>
      </rPr>
      <t>HomeVisit</t>
    </r>
    <r>
      <rPr>
        <sz val="11"/>
        <color theme="1"/>
        <rFont val="Calibri"/>
        <family val="2"/>
        <scheme val="minor"/>
      </rPr>
      <t xml:space="preserve"> - Home visit
</t>
    </r>
    <r>
      <rPr>
        <b/>
        <sz val="11"/>
        <color theme="1"/>
        <rFont val="Calibri"/>
        <family val="2"/>
        <scheme val="minor"/>
      </rPr>
      <t>Fax</t>
    </r>
    <r>
      <rPr>
        <sz val="11"/>
        <color theme="1"/>
        <rFont val="Calibri"/>
        <family val="2"/>
        <scheme val="minor"/>
      </rPr>
      <t xml:space="preserve"> - Fax
</t>
    </r>
    <r>
      <rPr>
        <b/>
        <sz val="11"/>
        <color theme="1"/>
        <rFont val="Calibri"/>
        <family val="2"/>
        <scheme val="minor"/>
      </rPr>
      <t>Other</t>
    </r>
    <r>
      <rPr>
        <sz val="11"/>
        <color theme="1"/>
        <rFont val="Calibri"/>
        <family val="2"/>
        <scheme val="minor"/>
      </rPr>
      <t xml:space="preserve"> - Other
</t>
    </r>
  </si>
  <si>
    <r>
      <t>FreeBreakfast</t>
    </r>
    <r>
      <rPr>
        <sz val="11"/>
        <color theme="1"/>
        <rFont val="Calibri"/>
        <family val="2"/>
        <scheme val="minor"/>
      </rPr>
      <t xml:space="preserve"> - Free breakfast
</t>
    </r>
    <r>
      <rPr>
        <b/>
        <sz val="11"/>
        <color theme="1"/>
        <rFont val="Calibri"/>
        <family val="2"/>
        <scheme val="minor"/>
      </rPr>
      <t>FreeLunch</t>
    </r>
    <r>
      <rPr>
        <sz val="11"/>
        <color theme="1"/>
        <rFont val="Calibri"/>
        <family val="2"/>
        <scheme val="minor"/>
      </rPr>
      <t xml:space="preserve"> - Free lunch
</t>
    </r>
    <r>
      <rPr>
        <b/>
        <sz val="11"/>
        <color theme="1"/>
        <rFont val="Calibri"/>
        <family val="2"/>
        <scheme val="minor"/>
      </rPr>
      <t>FreeMilk</t>
    </r>
    <r>
      <rPr>
        <sz val="11"/>
        <color theme="1"/>
        <rFont val="Calibri"/>
        <family val="2"/>
        <scheme val="minor"/>
      </rPr>
      <t xml:space="preserve"> - Free milk
</t>
    </r>
    <r>
      <rPr>
        <b/>
        <sz val="11"/>
        <color theme="1"/>
        <rFont val="Calibri"/>
        <family val="2"/>
        <scheme val="minor"/>
      </rPr>
      <t>FreeSnack</t>
    </r>
    <r>
      <rPr>
        <sz val="11"/>
        <color theme="1"/>
        <rFont val="Calibri"/>
        <family val="2"/>
        <scheme val="minor"/>
      </rPr>
      <t xml:space="preserve"> - Free snack
</t>
    </r>
    <r>
      <rPr>
        <b/>
        <sz val="11"/>
        <color theme="1"/>
        <rFont val="Calibri"/>
        <family val="2"/>
        <scheme val="minor"/>
      </rPr>
      <t>FreeSupper</t>
    </r>
    <r>
      <rPr>
        <sz val="11"/>
        <color theme="1"/>
        <rFont val="Calibri"/>
        <family val="2"/>
        <scheme val="minor"/>
      </rPr>
      <t xml:space="preserve"> - Free supper
</t>
    </r>
    <r>
      <rPr>
        <b/>
        <sz val="11"/>
        <color theme="1"/>
        <rFont val="Calibri"/>
        <family val="2"/>
        <scheme val="minor"/>
      </rPr>
      <t>FullPriceBreakfast</t>
    </r>
    <r>
      <rPr>
        <sz val="11"/>
        <color theme="1"/>
        <rFont val="Calibri"/>
        <family val="2"/>
        <scheme val="minor"/>
      </rPr>
      <t xml:space="preserve"> - Full price breakfast
</t>
    </r>
    <r>
      <rPr>
        <b/>
        <sz val="11"/>
        <color theme="1"/>
        <rFont val="Calibri"/>
        <family val="2"/>
        <scheme val="minor"/>
      </rPr>
      <t>FullPriceLunch</t>
    </r>
    <r>
      <rPr>
        <sz val="11"/>
        <color theme="1"/>
        <rFont val="Calibri"/>
        <family val="2"/>
        <scheme val="minor"/>
      </rPr>
      <t xml:space="preserve"> - Full price lunch
</t>
    </r>
    <r>
      <rPr>
        <b/>
        <sz val="11"/>
        <color theme="1"/>
        <rFont val="Calibri"/>
        <family val="2"/>
        <scheme val="minor"/>
      </rPr>
      <t>FullPriceMilk</t>
    </r>
    <r>
      <rPr>
        <sz val="11"/>
        <color theme="1"/>
        <rFont val="Calibri"/>
        <family val="2"/>
        <scheme val="minor"/>
      </rPr>
      <t xml:space="preserve"> - Full price milk
</t>
    </r>
    <r>
      <rPr>
        <b/>
        <sz val="11"/>
        <color theme="1"/>
        <rFont val="Calibri"/>
        <family val="2"/>
        <scheme val="minor"/>
      </rPr>
      <t>FullPriceSnack</t>
    </r>
    <r>
      <rPr>
        <sz val="11"/>
        <color theme="1"/>
        <rFont val="Calibri"/>
        <family val="2"/>
        <scheme val="minor"/>
      </rPr>
      <t xml:space="preserve"> - Full price snack
</t>
    </r>
    <r>
      <rPr>
        <b/>
        <sz val="11"/>
        <color theme="1"/>
        <rFont val="Calibri"/>
        <family val="2"/>
        <scheme val="minor"/>
      </rPr>
      <t>FullPriceSupper</t>
    </r>
    <r>
      <rPr>
        <sz val="11"/>
        <color theme="1"/>
        <rFont val="Calibri"/>
        <family val="2"/>
        <scheme val="minor"/>
      </rPr>
      <t xml:space="preserve"> - Full price supper
</t>
    </r>
    <r>
      <rPr>
        <b/>
        <sz val="11"/>
        <color theme="1"/>
        <rFont val="Calibri"/>
        <family val="2"/>
        <scheme val="minor"/>
      </rPr>
      <t>ReducedPriceBreakfast</t>
    </r>
    <r>
      <rPr>
        <sz val="11"/>
        <color theme="1"/>
        <rFont val="Calibri"/>
        <family val="2"/>
        <scheme val="minor"/>
      </rPr>
      <t xml:space="preserve"> - Reduced price breakfast
</t>
    </r>
    <r>
      <rPr>
        <b/>
        <sz val="11"/>
        <color theme="1"/>
        <rFont val="Calibri"/>
        <family val="2"/>
        <scheme val="minor"/>
      </rPr>
      <t>ReducedPriceLunch</t>
    </r>
    <r>
      <rPr>
        <sz val="11"/>
        <color theme="1"/>
        <rFont val="Calibri"/>
        <family val="2"/>
        <scheme val="minor"/>
      </rPr>
      <t xml:space="preserve"> - Reduced price lunch
</t>
    </r>
    <r>
      <rPr>
        <b/>
        <sz val="11"/>
        <color theme="1"/>
        <rFont val="Calibri"/>
        <family val="2"/>
        <scheme val="minor"/>
      </rPr>
      <t>ReducedPriceSnack</t>
    </r>
    <r>
      <rPr>
        <sz val="11"/>
        <color theme="1"/>
        <rFont val="Calibri"/>
        <family val="2"/>
        <scheme val="minor"/>
      </rPr>
      <t xml:space="preserve"> - Reduced price snack
</t>
    </r>
    <r>
      <rPr>
        <b/>
        <sz val="11"/>
        <color theme="1"/>
        <rFont val="Calibri"/>
        <family val="2"/>
        <scheme val="minor"/>
      </rPr>
      <t>ReducedPriceSupper</t>
    </r>
    <r>
      <rPr>
        <sz val="11"/>
        <color theme="1"/>
        <rFont val="Calibri"/>
        <family val="2"/>
        <scheme val="minor"/>
      </rPr>
      <t xml:space="preserve"> - Reduced price supper
</t>
    </r>
    <r>
      <rPr>
        <b/>
        <sz val="11"/>
        <color theme="1"/>
        <rFont val="Calibri"/>
        <family val="2"/>
        <scheme val="minor"/>
      </rPr>
      <t>Other</t>
    </r>
    <r>
      <rPr>
        <sz val="11"/>
        <color theme="1"/>
        <rFont val="Calibri"/>
        <family val="2"/>
        <scheme val="minor"/>
      </rPr>
      <t xml:space="preserve"> - Other
</t>
    </r>
  </si>
  <si>
    <r>
      <t>Met</t>
    </r>
    <r>
      <rPr>
        <sz val="11"/>
        <color theme="1"/>
        <rFont val="Calibri"/>
        <family val="2"/>
        <scheme val="minor"/>
      </rPr>
      <t xml:space="preserve"> - Met 95%
</t>
    </r>
    <r>
      <rPr>
        <b/>
        <sz val="11"/>
        <color theme="1"/>
        <rFont val="Calibri"/>
        <family val="2"/>
        <scheme val="minor"/>
      </rPr>
      <t>DidNotMeet</t>
    </r>
    <r>
      <rPr>
        <sz val="11"/>
        <color theme="1"/>
        <rFont val="Calibri"/>
        <family val="2"/>
        <scheme val="minor"/>
      </rPr>
      <t xml:space="preserve"> - Did not Meet 95%
</t>
    </r>
    <r>
      <rPr>
        <b/>
        <sz val="11"/>
        <color theme="1"/>
        <rFont val="Calibri"/>
        <family val="2"/>
        <scheme val="minor"/>
      </rPr>
      <t>TooFewStudents</t>
    </r>
    <r>
      <rPr>
        <sz val="11"/>
        <color theme="1"/>
        <rFont val="Calibri"/>
        <family val="2"/>
        <scheme val="minor"/>
      </rPr>
      <t xml:space="preserve"> - Too Few Students for Reliability
</t>
    </r>
    <r>
      <rPr>
        <b/>
        <sz val="11"/>
        <color theme="1"/>
        <rFont val="Calibri"/>
        <family val="2"/>
        <scheme val="minor"/>
      </rPr>
      <t>NoStudents</t>
    </r>
    <r>
      <rPr>
        <sz val="11"/>
        <color theme="1"/>
        <rFont val="Calibri"/>
        <family val="2"/>
        <scheme val="minor"/>
      </rPr>
      <t xml:space="preserve"> - No Students in the subgroup
</t>
    </r>
    <r>
      <rPr>
        <b/>
        <sz val="11"/>
        <color theme="1"/>
        <rFont val="Calibri"/>
        <family val="2"/>
        <scheme val="minor"/>
      </rPr>
      <t>NA</t>
    </r>
    <r>
      <rPr>
        <sz val="11"/>
        <color theme="1"/>
        <rFont val="Calibri"/>
        <family val="2"/>
        <scheme val="minor"/>
      </rPr>
      <t xml:space="preserve"> - Not applicable
</t>
    </r>
  </si>
  <si>
    <r>
      <t>Aunt</t>
    </r>
    <r>
      <rPr>
        <sz val="11"/>
        <color theme="1"/>
        <rFont val="Calibri"/>
        <family val="2"/>
        <scheme val="minor"/>
      </rPr>
      <t xml:space="preserve"> - Aunt
</t>
    </r>
    <r>
      <rPr>
        <b/>
        <sz val="11"/>
        <color theme="1"/>
        <rFont val="Calibri"/>
        <family val="2"/>
        <scheme val="minor"/>
      </rPr>
      <t>Brother</t>
    </r>
    <r>
      <rPr>
        <sz val="11"/>
        <color theme="1"/>
        <rFont val="Calibri"/>
        <family val="2"/>
        <scheme val="minor"/>
      </rPr>
      <t xml:space="preserve"> - Brother
</t>
    </r>
    <r>
      <rPr>
        <b/>
        <sz val="11"/>
        <color theme="1"/>
        <rFont val="Calibri"/>
        <family val="2"/>
        <scheme val="minor"/>
      </rPr>
      <t>BrotherInLaw</t>
    </r>
    <r>
      <rPr>
        <sz val="11"/>
        <color theme="1"/>
        <rFont val="Calibri"/>
        <family val="2"/>
        <scheme val="minor"/>
      </rPr>
      <t xml:space="preserve"> - Brother-in-law
</t>
    </r>
    <r>
      <rPr>
        <b/>
        <sz val="11"/>
        <color theme="1"/>
        <rFont val="Calibri"/>
        <family val="2"/>
        <scheme val="minor"/>
      </rPr>
      <t>CourtAppointedGuardian</t>
    </r>
    <r>
      <rPr>
        <sz val="11"/>
        <color theme="1"/>
        <rFont val="Calibri"/>
        <family val="2"/>
        <scheme val="minor"/>
      </rPr>
      <t xml:space="preserve"> - Court appointed guardian
</t>
    </r>
    <r>
      <rPr>
        <b/>
        <sz val="11"/>
        <color theme="1"/>
        <rFont val="Calibri"/>
        <family val="2"/>
        <scheme val="minor"/>
      </rPr>
      <t>Daughter</t>
    </r>
    <r>
      <rPr>
        <sz val="11"/>
        <color theme="1"/>
        <rFont val="Calibri"/>
        <family val="2"/>
        <scheme val="minor"/>
      </rPr>
      <t xml:space="preserve"> - Daughter
</t>
    </r>
    <r>
      <rPr>
        <b/>
        <sz val="11"/>
        <color theme="1"/>
        <rFont val="Calibri"/>
        <family val="2"/>
        <scheme val="minor"/>
      </rPr>
      <t>DaughterInLaw</t>
    </r>
    <r>
      <rPr>
        <sz val="11"/>
        <color theme="1"/>
        <rFont val="Calibri"/>
        <family val="2"/>
        <scheme val="minor"/>
      </rPr>
      <t xml:space="preserve"> - Daughter-in-law
</t>
    </r>
    <r>
      <rPr>
        <b/>
        <sz val="11"/>
        <color theme="1"/>
        <rFont val="Calibri"/>
        <family val="2"/>
        <scheme val="minor"/>
      </rPr>
      <t>Employer</t>
    </r>
    <r>
      <rPr>
        <sz val="11"/>
        <color theme="1"/>
        <rFont val="Calibri"/>
        <family val="2"/>
        <scheme val="minor"/>
      </rPr>
      <t xml:space="preserve"> - Employer
</t>
    </r>
    <r>
      <rPr>
        <b/>
        <sz val="11"/>
        <color theme="1"/>
        <rFont val="Calibri"/>
        <family val="2"/>
        <scheme val="minor"/>
      </rPr>
      <t>Father</t>
    </r>
    <r>
      <rPr>
        <sz val="11"/>
        <color theme="1"/>
        <rFont val="Calibri"/>
        <family val="2"/>
        <scheme val="minor"/>
      </rPr>
      <t xml:space="preserve"> - Father
</t>
    </r>
    <r>
      <rPr>
        <b/>
        <sz val="11"/>
        <color theme="1"/>
        <rFont val="Calibri"/>
        <family val="2"/>
        <scheme val="minor"/>
      </rPr>
      <t>FathersSignificantOther</t>
    </r>
    <r>
      <rPr>
        <sz val="11"/>
        <color theme="1"/>
        <rFont val="Calibri"/>
        <family val="2"/>
        <scheme val="minor"/>
      </rPr>
      <t xml:space="preserve"> - Father's significant other
</t>
    </r>
    <r>
      <rPr>
        <b/>
        <sz val="11"/>
        <color theme="1"/>
        <rFont val="Calibri"/>
        <family val="2"/>
        <scheme val="minor"/>
      </rPr>
      <t>FathersCivilPartner</t>
    </r>
    <r>
      <rPr>
        <sz val="11"/>
        <color theme="1"/>
        <rFont val="Calibri"/>
        <family val="2"/>
        <scheme val="minor"/>
      </rPr>
      <t xml:space="preserve"> - Father's civil partner
</t>
    </r>
    <r>
      <rPr>
        <b/>
        <sz val="11"/>
        <color theme="1"/>
        <rFont val="Calibri"/>
        <family val="2"/>
        <scheme val="minor"/>
      </rPr>
      <t>FatherInLaw</t>
    </r>
    <r>
      <rPr>
        <sz val="11"/>
        <color theme="1"/>
        <rFont val="Calibri"/>
        <family val="2"/>
        <scheme val="minor"/>
      </rPr>
      <t xml:space="preserve"> - Father-in-law
</t>
    </r>
    <r>
      <rPr>
        <b/>
        <sz val="11"/>
        <color theme="1"/>
        <rFont val="Calibri"/>
        <family val="2"/>
        <scheme val="minor"/>
      </rPr>
      <t>Fiance</t>
    </r>
    <r>
      <rPr>
        <sz val="11"/>
        <color theme="1"/>
        <rFont val="Calibri"/>
        <family val="2"/>
        <scheme val="minor"/>
      </rPr>
      <t xml:space="preserve"> - Fiance
</t>
    </r>
    <r>
      <rPr>
        <b/>
        <sz val="11"/>
        <color theme="1"/>
        <rFont val="Calibri"/>
        <family val="2"/>
        <scheme val="minor"/>
      </rPr>
      <t>Fiancee</t>
    </r>
    <r>
      <rPr>
        <sz val="11"/>
        <color theme="1"/>
        <rFont val="Calibri"/>
        <family val="2"/>
        <scheme val="minor"/>
      </rPr>
      <t xml:space="preserve"> - Fiancee
</t>
    </r>
    <r>
      <rPr>
        <b/>
        <sz val="11"/>
        <color theme="1"/>
        <rFont val="Calibri"/>
        <family val="2"/>
        <scheme val="minor"/>
      </rPr>
      <t>Friend</t>
    </r>
    <r>
      <rPr>
        <sz val="11"/>
        <color theme="1"/>
        <rFont val="Calibri"/>
        <family val="2"/>
        <scheme val="minor"/>
      </rPr>
      <t xml:space="preserve"> - Friend
</t>
    </r>
    <r>
      <rPr>
        <b/>
        <sz val="11"/>
        <color theme="1"/>
        <rFont val="Calibri"/>
        <family val="2"/>
        <scheme val="minor"/>
      </rPr>
      <t>Grandfather</t>
    </r>
    <r>
      <rPr>
        <sz val="11"/>
        <color theme="1"/>
        <rFont val="Calibri"/>
        <family val="2"/>
        <scheme val="minor"/>
      </rPr>
      <t xml:space="preserve"> - Grandfather
</t>
    </r>
    <r>
      <rPr>
        <b/>
        <sz val="11"/>
        <color theme="1"/>
        <rFont val="Calibri"/>
        <family val="2"/>
        <scheme val="minor"/>
      </rPr>
      <t>Grandmother</t>
    </r>
    <r>
      <rPr>
        <sz val="11"/>
        <color theme="1"/>
        <rFont val="Calibri"/>
        <family val="2"/>
        <scheme val="minor"/>
      </rPr>
      <t xml:space="preserve"> - Grandmother
</t>
    </r>
    <r>
      <rPr>
        <b/>
        <sz val="11"/>
        <color theme="1"/>
        <rFont val="Calibri"/>
        <family val="2"/>
        <scheme val="minor"/>
      </rPr>
      <t>Husband</t>
    </r>
    <r>
      <rPr>
        <sz val="11"/>
        <color theme="1"/>
        <rFont val="Calibri"/>
        <family val="2"/>
        <scheme val="minor"/>
      </rPr>
      <t xml:space="preserve"> - Husband
</t>
    </r>
    <r>
      <rPr>
        <b/>
        <sz val="11"/>
        <color theme="1"/>
        <rFont val="Calibri"/>
        <family val="2"/>
        <scheme val="minor"/>
      </rPr>
      <t>MothersSignificantOther</t>
    </r>
    <r>
      <rPr>
        <sz val="11"/>
        <color theme="1"/>
        <rFont val="Calibri"/>
        <family val="2"/>
        <scheme val="minor"/>
      </rPr>
      <t xml:space="preserve"> - Mother's significant other
</t>
    </r>
    <r>
      <rPr>
        <b/>
        <sz val="11"/>
        <color theme="1"/>
        <rFont val="Calibri"/>
        <family val="2"/>
        <scheme val="minor"/>
      </rPr>
      <t>Mother</t>
    </r>
    <r>
      <rPr>
        <sz val="11"/>
        <color theme="1"/>
        <rFont val="Calibri"/>
        <family val="2"/>
        <scheme val="minor"/>
      </rPr>
      <t xml:space="preserve"> - Mother
</t>
    </r>
    <r>
      <rPr>
        <b/>
        <sz val="11"/>
        <color theme="1"/>
        <rFont val="Calibri"/>
        <family val="2"/>
        <scheme val="minor"/>
      </rPr>
      <t>MothersCivilPartner</t>
    </r>
    <r>
      <rPr>
        <sz val="11"/>
        <color theme="1"/>
        <rFont val="Calibri"/>
        <family val="2"/>
        <scheme val="minor"/>
      </rPr>
      <t xml:space="preserve"> - Mother's civil partner
</t>
    </r>
    <r>
      <rPr>
        <b/>
        <sz val="11"/>
        <color theme="1"/>
        <rFont val="Calibri"/>
        <family val="2"/>
        <scheme val="minor"/>
      </rPr>
      <t>Nephew</t>
    </r>
    <r>
      <rPr>
        <sz val="11"/>
        <color theme="1"/>
        <rFont val="Calibri"/>
        <family val="2"/>
        <scheme val="minor"/>
      </rPr>
      <t xml:space="preserve"> - Nephew
</t>
    </r>
    <r>
      <rPr>
        <b/>
        <sz val="11"/>
        <color theme="1"/>
        <rFont val="Calibri"/>
        <family val="2"/>
        <scheme val="minor"/>
      </rPr>
      <t>Niece</t>
    </r>
    <r>
      <rPr>
        <sz val="11"/>
        <color theme="1"/>
        <rFont val="Calibri"/>
        <family val="2"/>
        <scheme val="minor"/>
      </rPr>
      <t xml:space="preserve"> - Niece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SignificantOther</t>
    </r>
    <r>
      <rPr>
        <sz val="11"/>
        <color theme="1"/>
        <rFont val="Calibri"/>
        <family val="2"/>
        <scheme val="minor"/>
      </rPr>
      <t xml:space="preserve"> - Significant other
</t>
    </r>
    <r>
      <rPr>
        <b/>
        <sz val="11"/>
        <color theme="1"/>
        <rFont val="Calibri"/>
        <family val="2"/>
        <scheme val="minor"/>
      </rPr>
      <t>Sister</t>
    </r>
    <r>
      <rPr>
        <sz val="11"/>
        <color theme="1"/>
        <rFont val="Calibri"/>
        <family val="2"/>
        <scheme val="minor"/>
      </rPr>
      <t xml:space="preserve"> - Sister
</t>
    </r>
    <r>
      <rPr>
        <b/>
        <sz val="11"/>
        <color theme="1"/>
        <rFont val="Calibri"/>
        <family val="2"/>
        <scheme val="minor"/>
      </rPr>
      <t>Son</t>
    </r>
    <r>
      <rPr>
        <sz val="11"/>
        <color theme="1"/>
        <rFont val="Calibri"/>
        <family val="2"/>
        <scheme val="minor"/>
      </rPr>
      <t xml:space="preserve"> - Son
</t>
    </r>
    <r>
      <rPr>
        <b/>
        <sz val="11"/>
        <color theme="1"/>
        <rFont val="Calibri"/>
        <family val="2"/>
        <scheme val="minor"/>
      </rPr>
      <t>Unknown</t>
    </r>
    <r>
      <rPr>
        <sz val="11"/>
        <color theme="1"/>
        <rFont val="Calibri"/>
        <family val="2"/>
        <scheme val="minor"/>
      </rPr>
      <t xml:space="preserve"> - Unknown
</t>
    </r>
    <r>
      <rPr>
        <b/>
        <sz val="11"/>
        <color theme="1"/>
        <rFont val="Calibri"/>
        <family val="2"/>
        <scheme val="minor"/>
      </rPr>
      <t>Uncle</t>
    </r>
    <r>
      <rPr>
        <sz val="11"/>
        <color theme="1"/>
        <rFont val="Calibri"/>
        <family val="2"/>
        <scheme val="minor"/>
      </rPr>
      <t xml:space="preserve"> - Uncle
</t>
    </r>
    <r>
      <rPr>
        <b/>
        <sz val="11"/>
        <color theme="1"/>
        <rFont val="Calibri"/>
        <family val="2"/>
        <scheme val="minor"/>
      </rPr>
      <t>Ward</t>
    </r>
    <r>
      <rPr>
        <sz val="11"/>
        <color theme="1"/>
        <rFont val="Calibri"/>
        <family val="2"/>
        <scheme val="minor"/>
      </rPr>
      <t xml:space="preserve"> - Ward
</t>
    </r>
    <r>
      <rPr>
        <b/>
        <sz val="11"/>
        <color theme="1"/>
        <rFont val="Calibri"/>
        <family val="2"/>
        <scheme val="minor"/>
      </rPr>
      <t>Wife</t>
    </r>
    <r>
      <rPr>
        <sz val="11"/>
        <color theme="1"/>
        <rFont val="Calibri"/>
        <family val="2"/>
        <scheme val="minor"/>
      </rPr>
      <t xml:space="preserve"> - Wife
</t>
    </r>
  </si>
  <si>
    <r>
      <t>01003</t>
    </r>
    <r>
      <rPr>
        <sz val="11"/>
        <color theme="1"/>
        <rFont val="Calibri"/>
        <family val="2"/>
        <scheme val="minor"/>
      </rPr>
      <t xml:space="preserve"> - Baptismal or church certificate
</t>
    </r>
    <r>
      <rPr>
        <b/>
        <sz val="11"/>
        <color theme="1"/>
        <rFont val="Calibri"/>
        <family val="2"/>
        <scheme val="minor"/>
      </rPr>
      <t>01004</t>
    </r>
    <r>
      <rPr>
        <sz val="11"/>
        <color theme="1"/>
        <rFont val="Calibri"/>
        <family val="2"/>
        <scheme val="minor"/>
      </rPr>
      <t xml:space="preserve"> - Birth certificate
</t>
    </r>
    <r>
      <rPr>
        <b/>
        <sz val="11"/>
        <color theme="1"/>
        <rFont val="Calibri"/>
        <family val="2"/>
        <scheme val="minor"/>
      </rPr>
      <t>01012</t>
    </r>
    <r>
      <rPr>
        <sz val="11"/>
        <color theme="1"/>
        <rFont val="Calibri"/>
        <family val="2"/>
        <scheme val="minor"/>
      </rPr>
      <t xml:space="preserve"> - Driver's license
</t>
    </r>
    <r>
      <rPr>
        <b/>
        <sz val="11"/>
        <color theme="1"/>
        <rFont val="Calibri"/>
        <family val="2"/>
        <scheme val="minor"/>
      </rPr>
      <t>01005</t>
    </r>
    <r>
      <rPr>
        <sz val="11"/>
        <color theme="1"/>
        <rFont val="Calibri"/>
        <family val="2"/>
        <scheme val="minor"/>
      </rPr>
      <t xml:space="preserve"> - Entry in family Bible
</t>
    </r>
    <r>
      <rPr>
        <b/>
        <sz val="11"/>
        <color theme="1"/>
        <rFont val="Calibri"/>
        <family val="2"/>
        <scheme val="minor"/>
      </rPr>
      <t>01006</t>
    </r>
    <r>
      <rPr>
        <sz val="11"/>
        <color theme="1"/>
        <rFont val="Calibri"/>
        <family val="2"/>
        <scheme val="minor"/>
      </rPr>
      <t xml:space="preserve"> - Hospital certificate
</t>
    </r>
    <r>
      <rPr>
        <b/>
        <sz val="11"/>
        <color theme="1"/>
        <rFont val="Calibri"/>
        <family val="2"/>
        <scheme val="minor"/>
      </rPr>
      <t>01013</t>
    </r>
    <r>
      <rPr>
        <sz val="11"/>
        <color theme="1"/>
        <rFont val="Calibri"/>
        <family val="2"/>
        <scheme val="minor"/>
      </rPr>
      <t xml:space="preserve"> - Immigration document/visa
</t>
    </r>
    <r>
      <rPr>
        <b/>
        <sz val="11"/>
        <color theme="1"/>
        <rFont val="Calibri"/>
        <family val="2"/>
        <scheme val="minor"/>
      </rPr>
      <t>02382</t>
    </r>
    <r>
      <rPr>
        <sz val="11"/>
        <color theme="1"/>
        <rFont val="Calibri"/>
        <family val="2"/>
        <scheme val="minor"/>
      </rPr>
      <t xml:space="preserve"> - Life insurance policy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03424</t>
    </r>
    <r>
      <rPr>
        <sz val="11"/>
        <color theme="1"/>
        <rFont val="Calibri"/>
        <family val="2"/>
        <scheme val="minor"/>
      </rPr>
      <t xml:space="preserve"> - Other non-official document
</t>
    </r>
    <r>
      <rPr>
        <b/>
        <sz val="11"/>
        <color theme="1"/>
        <rFont val="Calibri"/>
        <family val="2"/>
        <scheme val="minor"/>
      </rPr>
      <t>03423</t>
    </r>
    <r>
      <rPr>
        <sz val="11"/>
        <color theme="1"/>
        <rFont val="Calibri"/>
        <family val="2"/>
        <scheme val="minor"/>
      </rPr>
      <t xml:space="preserve"> - Other official document
</t>
    </r>
    <r>
      <rPr>
        <b/>
        <sz val="11"/>
        <color theme="1"/>
        <rFont val="Calibri"/>
        <family val="2"/>
        <scheme val="minor"/>
      </rPr>
      <t>01007</t>
    </r>
    <r>
      <rPr>
        <sz val="11"/>
        <color theme="1"/>
        <rFont val="Calibri"/>
        <family val="2"/>
        <scheme val="minor"/>
      </rPr>
      <t xml:space="preserve"> - Parent's affidavit
</t>
    </r>
    <r>
      <rPr>
        <b/>
        <sz val="11"/>
        <color theme="1"/>
        <rFont val="Calibri"/>
        <family val="2"/>
        <scheme val="minor"/>
      </rPr>
      <t>01008</t>
    </r>
    <r>
      <rPr>
        <sz val="11"/>
        <color theme="1"/>
        <rFont val="Calibri"/>
        <family val="2"/>
        <scheme val="minor"/>
      </rPr>
      <t xml:space="preserve"> - Passport
</t>
    </r>
    <r>
      <rPr>
        <b/>
        <sz val="11"/>
        <color theme="1"/>
        <rFont val="Calibri"/>
        <family val="2"/>
        <scheme val="minor"/>
      </rPr>
      <t>01009</t>
    </r>
    <r>
      <rPr>
        <sz val="11"/>
        <color theme="1"/>
        <rFont val="Calibri"/>
        <family val="2"/>
        <scheme val="minor"/>
      </rPr>
      <t xml:space="preserve"> - Physician's certificate
</t>
    </r>
    <r>
      <rPr>
        <b/>
        <sz val="11"/>
        <color theme="1"/>
        <rFont val="Calibri"/>
        <family val="2"/>
        <scheme val="minor"/>
      </rPr>
      <t>01010</t>
    </r>
    <r>
      <rPr>
        <sz val="11"/>
        <color theme="1"/>
        <rFont val="Calibri"/>
        <family val="2"/>
        <scheme val="minor"/>
      </rPr>
      <t xml:space="preserve"> - Previously verified school records
</t>
    </r>
    <r>
      <rPr>
        <b/>
        <sz val="11"/>
        <color theme="1"/>
        <rFont val="Calibri"/>
        <family val="2"/>
        <scheme val="minor"/>
      </rPr>
      <t>01011</t>
    </r>
    <r>
      <rPr>
        <sz val="11"/>
        <color theme="1"/>
        <rFont val="Calibri"/>
        <family val="2"/>
        <scheme val="minor"/>
      </rPr>
      <t xml:space="preserve"> - State-issued ID
</t>
    </r>
  </si>
  <si>
    <r>
      <t>01</t>
    </r>
    <r>
      <rPr>
        <sz val="11"/>
        <color theme="1"/>
        <rFont val="Calibri"/>
        <family val="2"/>
        <scheme val="minor"/>
      </rPr>
      <t xml:space="preserve"> - Staff feedback
</t>
    </r>
    <r>
      <rPr>
        <b/>
        <sz val="11"/>
        <color theme="1"/>
        <rFont val="Calibri"/>
        <family val="2"/>
        <scheme val="minor"/>
      </rPr>
      <t>02</t>
    </r>
    <r>
      <rPr>
        <sz val="11"/>
        <color theme="1"/>
        <rFont val="Calibri"/>
        <family val="2"/>
        <scheme val="minor"/>
      </rPr>
      <t xml:space="preserve"> - Staff meetings
</t>
    </r>
    <r>
      <rPr>
        <b/>
        <sz val="11"/>
        <color theme="1"/>
        <rFont val="Calibri"/>
        <family val="2"/>
        <scheme val="minor"/>
      </rPr>
      <t>03</t>
    </r>
    <r>
      <rPr>
        <sz val="11"/>
        <color theme="1"/>
        <rFont val="Calibri"/>
        <family val="2"/>
        <scheme val="minor"/>
      </rPr>
      <t xml:space="preserve"> - Annual performance evaluation
</t>
    </r>
    <r>
      <rPr>
        <b/>
        <sz val="11"/>
        <color theme="1"/>
        <rFont val="Calibri"/>
        <family val="2"/>
        <scheme val="minor"/>
      </rPr>
      <t>04</t>
    </r>
    <r>
      <rPr>
        <sz val="11"/>
        <color theme="1"/>
        <rFont val="Calibri"/>
        <family val="2"/>
        <scheme val="minor"/>
      </rPr>
      <t xml:space="preserve"> - Personal development plans
</t>
    </r>
    <r>
      <rPr>
        <b/>
        <sz val="11"/>
        <color theme="1"/>
        <rFont val="Calibri"/>
        <family val="2"/>
        <scheme val="minor"/>
      </rPr>
      <t>05</t>
    </r>
    <r>
      <rPr>
        <sz val="11"/>
        <color theme="1"/>
        <rFont val="Calibri"/>
        <family val="2"/>
        <scheme val="minor"/>
      </rPr>
      <t xml:space="preserve"> - New staff orientation
</t>
    </r>
  </si>
  <si>
    <r>
      <t>FirstTime</t>
    </r>
    <r>
      <rPr>
        <sz val="11"/>
        <color theme="1"/>
        <rFont val="Calibri"/>
        <family val="2"/>
        <scheme val="minor"/>
      </rPr>
      <t xml:space="preserve"> - First time at institution, non-transfer in
</t>
    </r>
    <r>
      <rPr>
        <b/>
        <sz val="11"/>
        <color theme="1"/>
        <rFont val="Calibri"/>
        <family val="2"/>
        <scheme val="minor"/>
      </rPr>
      <t>Continuing</t>
    </r>
    <r>
      <rPr>
        <sz val="11"/>
        <color theme="1"/>
        <rFont val="Calibri"/>
        <family val="2"/>
        <scheme val="minor"/>
      </rPr>
      <t xml:space="preserve"> - Continuing
</t>
    </r>
    <r>
      <rPr>
        <b/>
        <sz val="11"/>
        <color theme="1"/>
        <rFont val="Calibri"/>
        <family val="2"/>
        <scheme val="minor"/>
      </rPr>
      <t>Re-admit</t>
    </r>
    <r>
      <rPr>
        <sz val="11"/>
        <color theme="1"/>
        <rFont val="Calibri"/>
        <family val="2"/>
        <scheme val="minor"/>
      </rPr>
      <t xml:space="preserve"> - Re-admit
</t>
    </r>
    <r>
      <rPr>
        <b/>
        <sz val="11"/>
        <color theme="1"/>
        <rFont val="Calibri"/>
        <family val="2"/>
        <scheme val="minor"/>
      </rPr>
      <t>TransferIn</t>
    </r>
    <r>
      <rPr>
        <sz val="11"/>
        <color theme="1"/>
        <rFont val="Calibri"/>
        <family val="2"/>
        <scheme val="minor"/>
      </rPr>
      <t xml:space="preserve"> - Transfer in
</t>
    </r>
  </si>
  <si>
    <r>
      <t>PreAndPostTest</t>
    </r>
    <r>
      <rPr>
        <sz val="11"/>
        <color theme="1"/>
        <rFont val="Calibri"/>
        <family val="2"/>
        <scheme val="minor"/>
      </rPr>
      <t xml:space="preserve"> - The student took both a pre-test and post-test
</t>
    </r>
    <r>
      <rPr>
        <b/>
        <sz val="11"/>
        <color theme="1"/>
        <rFont val="Calibri"/>
        <family val="2"/>
        <scheme val="minor"/>
      </rPr>
      <t>DidNotTakeBoth</t>
    </r>
    <r>
      <rPr>
        <sz val="11"/>
        <color theme="1"/>
        <rFont val="Calibri"/>
        <family val="2"/>
        <scheme val="minor"/>
      </rPr>
      <t xml:space="preserve"> - The student did not take both a pre-test and a post-test
</t>
    </r>
  </si>
  <si>
    <r>
      <t>Semester</t>
    </r>
    <r>
      <rPr>
        <sz val="11"/>
        <color theme="1"/>
        <rFont val="Calibri"/>
        <family val="2"/>
        <scheme val="minor"/>
      </rPr>
      <t xml:space="preserve"> - Semester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Trimester</t>
    </r>
    <r>
      <rPr>
        <sz val="11"/>
        <color theme="1"/>
        <rFont val="Calibri"/>
        <family val="2"/>
        <scheme val="minor"/>
      </rPr>
      <t xml:space="preserve"> - Trimester
</t>
    </r>
    <r>
      <rPr>
        <b/>
        <sz val="11"/>
        <color theme="1"/>
        <rFont val="Calibri"/>
        <family val="2"/>
        <scheme val="minor"/>
      </rPr>
      <t>4-1-4</t>
    </r>
    <r>
      <rPr>
        <sz val="11"/>
        <color theme="1"/>
        <rFont val="Calibri"/>
        <family val="2"/>
        <scheme val="minor"/>
      </rPr>
      <t xml:space="preserve"> - 4-1-4 or similar plan
</t>
    </r>
    <r>
      <rPr>
        <b/>
        <sz val="11"/>
        <color theme="1"/>
        <rFont val="Calibri"/>
        <family val="2"/>
        <scheme val="minor"/>
      </rPr>
      <t>Other</t>
    </r>
    <r>
      <rPr>
        <sz val="11"/>
        <color theme="1"/>
        <rFont val="Calibri"/>
        <family val="2"/>
        <scheme val="minor"/>
      </rPr>
      <t xml:space="preserve"> - Other academic plan
</t>
    </r>
    <r>
      <rPr>
        <b/>
        <sz val="11"/>
        <color theme="1"/>
        <rFont val="Calibri"/>
        <family val="2"/>
        <scheme val="minor"/>
      </rPr>
      <t>DiffersByProgram</t>
    </r>
    <r>
      <rPr>
        <sz val="11"/>
        <color theme="1"/>
        <rFont val="Calibri"/>
        <family val="2"/>
        <scheme val="minor"/>
      </rPr>
      <t xml:space="preserve"> - Differs by program
</t>
    </r>
    <r>
      <rPr>
        <b/>
        <sz val="11"/>
        <color theme="1"/>
        <rFont val="Calibri"/>
        <family val="2"/>
        <scheme val="minor"/>
      </rPr>
      <t>ContinuousBasis</t>
    </r>
    <r>
      <rPr>
        <sz val="11"/>
        <color theme="1"/>
        <rFont val="Calibri"/>
        <family val="2"/>
        <scheme val="minor"/>
      </rPr>
      <t xml:space="preserve"> - Continuous basis
</t>
    </r>
  </si>
  <si>
    <r>
      <t>All</t>
    </r>
    <r>
      <rPr>
        <sz val="11"/>
        <color theme="1"/>
        <rFont val="Calibri"/>
        <family val="2"/>
        <scheme val="minor"/>
      </rPr>
      <t xml:space="preserve"> - All students
</t>
    </r>
    <r>
      <rPr>
        <b/>
        <sz val="11"/>
        <color theme="1"/>
        <rFont val="Calibri"/>
        <family val="2"/>
        <scheme val="minor"/>
      </rPr>
      <t>IDEA</t>
    </r>
    <r>
      <rPr>
        <sz val="11"/>
        <color theme="1"/>
        <rFont val="Calibri"/>
        <family val="2"/>
        <scheme val="minor"/>
      </rPr>
      <t xml:space="preserve"> - Students with disabilities (IDEA)
</t>
    </r>
    <r>
      <rPr>
        <b/>
        <sz val="11"/>
        <color theme="1"/>
        <rFont val="Calibri"/>
        <family val="2"/>
        <scheme val="minor"/>
      </rPr>
      <t>TitleI</t>
    </r>
    <r>
      <rPr>
        <sz val="11"/>
        <color theme="1"/>
        <rFont val="Calibri"/>
        <family val="2"/>
        <scheme val="minor"/>
      </rPr>
      <t xml:space="preserve"> - Students in Title I schools
</t>
    </r>
    <r>
      <rPr>
        <b/>
        <sz val="11"/>
        <color theme="1"/>
        <rFont val="Calibri"/>
        <family val="2"/>
        <scheme val="minor"/>
      </rPr>
      <t>LowIncome</t>
    </r>
    <r>
      <rPr>
        <sz val="11"/>
        <color theme="1"/>
        <rFont val="Calibri"/>
        <family val="2"/>
        <scheme val="minor"/>
      </rPr>
      <t xml:space="preserve"> - Students from low income families
</t>
    </r>
    <r>
      <rPr>
        <b/>
        <sz val="11"/>
        <color theme="1"/>
        <rFont val="Calibri"/>
        <family val="2"/>
        <scheme val="minor"/>
      </rPr>
      <t>Other</t>
    </r>
    <r>
      <rPr>
        <sz val="11"/>
        <color theme="1"/>
        <rFont val="Calibri"/>
        <family val="2"/>
        <scheme val="minor"/>
      </rPr>
      <t xml:space="preserve"> - Other
</t>
    </r>
  </si>
  <si>
    <r>
      <t>Age0-2</t>
    </r>
    <r>
      <rPr>
        <sz val="11"/>
        <color theme="1"/>
        <rFont val="Calibri"/>
        <family val="2"/>
        <scheme val="minor"/>
      </rPr>
      <t xml:space="preserve"> - Students aged 0-2
</t>
    </r>
    <r>
      <rPr>
        <b/>
        <sz val="11"/>
        <color theme="1"/>
        <rFont val="Calibri"/>
        <family val="2"/>
        <scheme val="minor"/>
      </rPr>
      <t>Age3</t>
    </r>
    <r>
      <rPr>
        <sz val="11"/>
        <color theme="1"/>
        <rFont val="Calibri"/>
        <family val="2"/>
        <scheme val="minor"/>
      </rPr>
      <t xml:space="preserve"> - Students aged 3
</t>
    </r>
    <r>
      <rPr>
        <b/>
        <sz val="11"/>
        <color theme="1"/>
        <rFont val="Calibri"/>
        <family val="2"/>
        <scheme val="minor"/>
      </rPr>
      <t>Age4</t>
    </r>
    <r>
      <rPr>
        <sz val="11"/>
        <color theme="1"/>
        <rFont val="Calibri"/>
        <family val="2"/>
        <scheme val="minor"/>
      </rPr>
      <t xml:space="preserve"> - Students aged 4
</t>
    </r>
    <r>
      <rPr>
        <b/>
        <sz val="11"/>
        <color theme="1"/>
        <rFont val="Calibri"/>
        <family val="2"/>
        <scheme val="minor"/>
      </rPr>
      <t>NoPreK</t>
    </r>
    <r>
      <rPr>
        <sz val="11"/>
        <color theme="1"/>
        <rFont val="Calibri"/>
        <family val="2"/>
        <scheme val="minor"/>
      </rPr>
      <t xml:space="preserve"> - No pre-kindergarten or only for IDEA students
</t>
    </r>
  </si>
  <si>
    <r>
      <t>13290</t>
    </r>
    <r>
      <rPr>
        <sz val="11"/>
        <color theme="1"/>
        <rFont val="Calibri"/>
        <family val="2"/>
        <scheme val="minor"/>
      </rPr>
      <t xml:space="preserve"> - Present - Disciplinary action, receiving instruction
</t>
    </r>
    <r>
      <rPr>
        <b/>
        <sz val="11"/>
        <color theme="1"/>
        <rFont val="Calibri"/>
        <family val="2"/>
        <scheme val="minor"/>
      </rPr>
      <t>13288</t>
    </r>
    <r>
      <rPr>
        <sz val="11"/>
        <color theme="1"/>
        <rFont val="Calibri"/>
        <family val="2"/>
        <scheme val="minor"/>
      </rPr>
      <t xml:space="preserve"> - Present - In school, regular instructional program
</t>
    </r>
    <r>
      <rPr>
        <b/>
        <sz val="11"/>
        <color theme="1"/>
        <rFont val="Calibri"/>
        <family val="2"/>
        <scheme val="minor"/>
      </rPr>
      <t>13289</t>
    </r>
    <r>
      <rPr>
        <sz val="11"/>
        <color theme="1"/>
        <rFont val="Calibri"/>
        <family val="2"/>
        <scheme val="minor"/>
      </rPr>
      <t xml:space="preserve"> - Present - Nontraditional school setting, regular instructional program
</t>
    </r>
    <r>
      <rPr>
        <b/>
        <sz val="11"/>
        <color theme="1"/>
        <rFont val="Calibri"/>
        <family val="2"/>
        <scheme val="minor"/>
      </rPr>
      <t>13291</t>
    </r>
    <r>
      <rPr>
        <sz val="11"/>
        <color theme="1"/>
        <rFont val="Calibri"/>
        <family val="2"/>
        <scheme val="minor"/>
      </rPr>
      <t xml:space="preserve"> - Present - Out of school, regular instructional program activity
</t>
    </r>
    <r>
      <rPr>
        <b/>
        <sz val="11"/>
        <color theme="1"/>
        <rFont val="Calibri"/>
        <family val="2"/>
        <scheme val="minor"/>
      </rPr>
      <t>13292</t>
    </r>
    <r>
      <rPr>
        <sz val="11"/>
        <color theme="1"/>
        <rFont val="Calibri"/>
        <family val="2"/>
        <scheme val="minor"/>
      </rPr>
      <t xml:space="preserve"> - Present - Out of school, school-approved extracurricular or cocurricular activity
</t>
    </r>
  </si>
  <si>
    <r>
      <t>AUT</t>
    </r>
    <r>
      <rPr>
        <sz val="11"/>
        <color theme="1"/>
        <rFont val="Calibri"/>
        <family val="2"/>
        <scheme val="minor"/>
      </rPr>
      <t xml:space="preserve"> - Autism
</t>
    </r>
    <r>
      <rPr>
        <b/>
        <sz val="11"/>
        <color theme="1"/>
        <rFont val="Calibri"/>
        <family val="2"/>
        <scheme val="minor"/>
      </rPr>
      <t>DB</t>
    </r>
    <r>
      <rPr>
        <sz val="11"/>
        <color theme="1"/>
        <rFont val="Calibri"/>
        <family val="2"/>
        <scheme val="minor"/>
      </rPr>
      <t xml:space="preserve"> - Deaf-blindness
</t>
    </r>
    <r>
      <rPr>
        <b/>
        <sz val="11"/>
        <color theme="1"/>
        <rFont val="Calibri"/>
        <family val="2"/>
        <scheme val="minor"/>
      </rPr>
      <t>DD</t>
    </r>
    <r>
      <rPr>
        <sz val="11"/>
        <color theme="1"/>
        <rFont val="Calibri"/>
        <family val="2"/>
        <scheme val="minor"/>
      </rPr>
      <t xml:space="preserve"> - Developmental delay
</t>
    </r>
    <r>
      <rPr>
        <b/>
        <sz val="11"/>
        <color theme="1"/>
        <rFont val="Calibri"/>
        <family val="2"/>
        <scheme val="minor"/>
      </rPr>
      <t>EMN</t>
    </r>
    <r>
      <rPr>
        <sz val="11"/>
        <color theme="1"/>
        <rFont val="Calibri"/>
        <family val="2"/>
        <scheme val="minor"/>
      </rPr>
      <t xml:space="preserve"> - Emotional disturbance
</t>
    </r>
    <r>
      <rPr>
        <b/>
        <sz val="11"/>
        <color theme="1"/>
        <rFont val="Calibri"/>
        <family val="2"/>
        <scheme val="minor"/>
      </rPr>
      <t>HI</t>
    </r>
    <r>
      <rPr>
        <sz val="11"/>
        <color theme="1"/>
        <rFont val="Calibri"/>
        <family val="2"/>
        <scheme val="minor"/>
      </rPr>
      <t xml:space="preserve"> - Hearing impairment
</t>
    </r>
    <r>
      <rPr>
        <b/>
        <sz val="11"/>
        <color theme="1"/>
        <rFont val="Calibri"/>
        <family val="2"/>
        <scheme val="minor"/>
      </rPr>
      <t>ID</t>
    </r>
    <r>
      <rPr>
        <sz val="11"/>
        <color theme="1"/>
        <rFont val="Calibri"/>
        <family val="2"/>
        <scheme val="minor"/>
      </rPr>
      <t xml:space="preserve"> - Intellectual Disability
</t>
    </r>
    <r>
      <rPr>
        <b/>
        <sz val="11"/>
        <color theme="1"/>
        <rFont val="Calibri"/>
        <family val="2"/>
        <scheme val="minor"/>
      </rPr>
      <t>MD</t>
    </r>
    <r>
      <rPr>
        <sz val="11"/>
        <color theme="1"/>
        <rFont val="Calibri"/>
        <family val="2"/>
        <scheme val="minor"/>
      </rPr>
      <t xml:space="preserve"> - Multiple disabilities
</t>
    </r>
    <r>
      <rPr>
        <b/>
        <sz val="11"/>
        <color theme="1"/>
        <rFont val="Calibri"/>
        <family val="2"/>
        <scheme val="minor"/>
      </rPr>
      <t>OI</t>
    </r>
    <r>
      <rPr>
        <sz val="11"/>
        <color theme="1"/>
        <rFont val="Calibri"/>
        <family val="2"/>
        <scheme val="minor"/>
      </rPr>
      <t xml:space="preserve"> - Orthopedic impairment
</t>
    </r>
    <r>
      <rPr>
        <b/>
        <sz val="11"/>
        <color theme="1"/>
        <rFont val="Calibri"/>
        <family val="2"/>
        <scheme val="minor"/>
      </rPr>
      <t>OHI</t>
    </r>
    <r>
      <rPr>
        <sz val="11"/>
        <color theme="1"/>
        <rFont val="Calibri"/>
        <family val="2"/>
        <scheme val="minor"/>
      </rPr>
      <t xml:space="preserve"> - Other health impairment
</t>
    </r>
    <r>
      <rPr>
        <b/>
        <sz val="11"/>
        <color theme="1"/>
        <rFont val="Calibri"/>
        <family val="2"/>
        <scheme val="minor"/>
      </rPr>
      <t>SLD</t>
    </r>
    <r>
      <rPr>
        <sz val="11"/>
        <color theme="1"/>
        <rFont val="Calibri"/>
        <family val="2"/>
        <scheme val="minor"/>
      </rPr>
      <t xml:space="preserve"> - Specific learning disability
</t>
    </r>
    <r>
      <rPr>
        <b/>
        <sz val="11"/>
        <color theme="1"/>
        <rFont val="Calibri"/>
        <family val="2"/>
        <scheme val="minor"/>
      </rPr>
      <t>SLI</t>
    </r>
    <r>
      <rPr>
        <sz val="11"/>
        <color theme="1"/>
        <rFont val="Calibri"/>
        <family val="2"/>
        <scheme val="minor"/>
      </rPr>
      <t xml:space="preserve"> - Speech or language impairment
</t>
    </r>
    <r>
      <rPr>
        <b/>
        <sz val="11"/>
        <color theme="1"/>
        <rFont val="Calibri"/>
        <family val="2"/>
        <scheme val="minor"/>
      </rPr>
      <t>TBI</t>
    </r>
    <r>
      <rPr>
        <sz val="11"/>
        <color theme="1"/>
        <rFont val="Calibri"/>
        <family val="2"/>
        <scheme val="minor"/>
      </rPr>
      <t xml:space="preserve"> - Traumatic brain injury
</t>
    </r>
    <r>
      <rPr>
        <b/>
        <sz val="11"/>
        <color theme="1"/>
        <rFont val="Calibri"/>
        <family val="2"/>
        <scheme val="minor"/>
      </rPr>
      <t>VI</t>
    </r>
    <r>
      <rPr>
        <sz val="11"/>
        <color theme="1"/>
        <rFont val="Calibri"/>
        <family val="2"/>
        <scheme val="minor"/>
      </rPr>
      <t xml:space="preserve"> - Visual impairment
</t>
    </r>
  </si>
  <si>
    <r>
      <t>HeadStart</t>
    </r>
    <r>
      <rPr>
        <sz val="11"/>
        <color theme="1"/>
        <rFont val="Calibri"/>
        <family val="2"/>
        <scheme val="minor"/>
      </rPr>
      <t xml:space="preserve"> - Head Start
</t>
    </r>
    <r>
      <rPr>
        <b/>
        <sz val="11"/>
        <color theme="1"/>
        <rFont val="Calibri"/>
        <family val="2"/>
        <scheme val="minor"/>
      </rPr>
      <t>EarlyHeadStart</t>
    </r>
    <r>
      <rPr>
        <sz val="11"/>
        <color theme="1"/>
        <rFont val="Calibri"/>
        <family val="2"/>
        <scheme val="minor"/>
      </rPr>
      <t xml:space="preserve"> - Early Head Start
</t>
    </r>
    <r>
      <rPr>
        <b/>
        <sz val="11"/>
        <color theme="1"/>
        <rFont val="Calibri"/>
        <family val="2"/>
        <scheme val="minor"/>
      </rPr>
      <t>PublicPreschool</t>
    </r>
    <r>
      <rPr>
        <sz val="11"/>
        <color theme="1"/>
        <rFont val="Calibri"/>
        <family val="2"/>
        <scheme val="minor"/>
      </rPr>
      <t xml:space="preserve"> - Public Preschool
</t>
    </r>
    <r>
      <rPr>
        <b/>
        <sz val="11"/>
        <color theme="1"/>
        <rFont val="Calibri"/>
        <family val="2"/>
        <scheme val="minor"/>
      </rPr>
      <t>PrivatePreschool</t>
    </r>
    <r>
      <rPr>
        <sz val="11"/>
        <color theme="1"/>
        <rFont val="Calibri"/>
        <family val="2"/>
        <scheme val="minor"/>
      </rPr>
      <t xml:space="preserve"> - Private Preschool
</t>
    </r>
    <r>
      <rPr>
        <b/>
        <sz val="11"/>
        <color theme="1"/>
        <rFont val="Calibri"/>
        <family val="2"/>
        <scheme val="minor"/>
      </rPr>
      <t>LicensedFamilyChildCare</t>
    </r>
    <r>
      <rPr>
        <sz val="11"/>
        <color theme="1"/>
        <rFont val="Calibri"/>
        <family val="2"/>
        <scheme val="minor"/>
      </rPr>
      <t xml:space="preserve"> - Licensed Family Child Care Home
</t>
    </r>
    <r>
      <rPr>
        <b/>
        <sz val="11"/>
        <color theme="1"/>
        <rFont val="Calibri"/>
        <family val="2"/>
        <scheme val="minor"/>
      </rPr>
      <t>HomeDayCare</t>
    </r>
    <r>
      <rPr>
        <sz val="11"/>
        <color theme="1"/>
        <rFont val="Calibri"/>
        <family val="2"/>
        <scheme val="minor"/>
      </rPr>
      <t xml:space="preserve"> - Home Day Care
</t>
    </r>
    <r>
      <rPr>
        <b/>
        <sz val="11"/>
        <color theme="1"/>
        <rFont val="Calibri"/>
        <family val="2"/>
        <scheme val="minor"/>
      </rPr>
      <t>PreschoolSpecialEducation</t>
    </r>
    <r>
      <rPr>
        <sz val="11"/>
        <color theme="1"/>
        <rFont val="Calibri"/>
        <family val="2"/>
        <scheme val="minor"/>
      </rPr>
      <t xml:space="preserve"> - Preschool Special Education
</t>
    </r>
    <r>
      <rPr>
        <b/>
        <sz val="11"/>
        <color theme="1"/>
        <rFont val="Calibri"/>
        <family val="2"/>
        <scheme val="minor"/>
      </rPr>
      <t>InformalCare</t>
    </r>
    <r>
      <rPr>
        <sz val="11"/>
        <color theme="1"/>
        <rFont val="Calibri"/>
        <family val="2"/>
        <scheme val="minor"/>
      </rPr>
      <t xml:space="preserve"> - Informal Care
</t>
    </r>
    <r>
      <rPr>
        <b/>
        <sz val="11"/>
        <color theme="1"/>
        <rFont val="Calibri"/>
        <family val="2"/>
        <scheme val="minor"/>
      </rPr>
      <t>HomeVisiting</t>
    </r>
    <r>
      <rPr>
        <sz val="11"/>
        <color theme="1"/>
        <rFont val="Calibri"/>
        <family val="2"/>
        <scheme val="minor"/>
      </rPr>
      <t xml:space="preserve"> - Home Visiting
</t>
    </r>
    <r>
      <rPr>
        <b/>
        <sz val="11"/>
        <color theme="1"/>
        <rFont val="Calibri"/>
        <family val="2"/>
        <scheme val="minor"/>
      </rPr>
      <t>EarlyInterventionPartC</t>
    </r>
    <r>
      <rPr>
        <sz val="11"/>
        <color theme="1"/>
        <rFont val="Calibri"/>
        <family val="2"/>
        <scheme val="minor"/>
      </rPr>
      <t xml:space="preserve"> - Early Intervention Services Part C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</si>
  <si>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r>
      <t>58007</t>
    </r>
    <r>
      <rPr>
        <sz val="11"/>
        <color theme="1"/>
        <rFont val="Calibri"/>
        <family val="2"/>
        <scheme val="minor"/>
      </rPr>
      <t xml:space="preserve"> - Adapted Physical Education
</t>
    </r>
    <r>
      <rPr>
        <b/>
        <sz val="11"/>
        <color theme="1"/>
        <rFont val="Calibri"/>
        <family val="2"/>
        <scheme val="minor"/>
      </rPr>
      <t>62047</t>
    </r>
    <r>
      <rPr>
        <sz val="11"/>
        <color theme="1"/>
        <rFont val="Calibri"/>
        <family val="2"/>
        <scheme val="minor"/>
      </rPr>
      <t xml:space="preserve"> - Administration-Independent Study
</t>
    </r>
    <r>
      <rPr>
        <b/>
        <sz val="11"/>
        <color theme="1"/>
        <rFont val="Calibri"/>
        <family val="2"/>
        <scheme val="minor"/>
      </rPr>
      <t>72007</t>
    </r>
    <r>
      <rPr>
        <sz val="11"/>
        <color theme="1"/>
        <rFont val="Calibri"/>
        <family val="2"/>
        <scheme val="minor"/>
      </rPr>
      <t xml:space="preserve"> - Advancement Via Individual Determination (AVID)
</t>
    </r>
    <r>
      <rPr>
        <b/>
        <sz val="11"/>
        <color theme="1"/>
        <rFont val="Calibri"/>
        <family val="2"/>
        <scheme val="minor"/>
      </rPr>
      <t>68003</t>
    </r>
    <r>
      <rPr>
        <sz val="11"/>
        <color theme="1"/>
        <rFont val="Calibri"/>
        <family val="2"/>
        <scheme val="minor"/>
      </rPr>
      <t xml:space="preserve"> - Agriculture and Natural Resources-Comprehensive
</t>
    </r>
    <r>
      <rPr>
        <b/>
        <sz val="11"/>
        <color theme="1"/>
        <rFont val="Calibri"/>
        <family val="2"/>
        <scheme val="minor"/>
      </rPr>
      <t>68997</t>
    </r>
    <r>
      <rPr>
        <sz val="11"/>
        <color theme="1"/>
        <rFont val="Calibri"/>
        <family val="2"/>
        <scheme val="minor"/>
      </rPr>
      <t xml:space="preserve"> - Agriculture, Food, and Natural Resources-Independent Study
</t>
    </r>
    <r>
      <rPr>
        <b/>
        <sz val="11"/>
        <color theme="1"/>
        <rFont val="Calibri"/>
        <family val="2"/>
        <scheme val="minor"/>
      </rPr>
      <t>68999</t>
    </r>
    <r>
      <rPr>
        <sz val="11"/>
        <color theme="1"/>
        <rFont val="Calibri"/>
        <family val="2"/>
        <scheme val="minor"/>
      </rPr>
      <t xml:space="preserve"> - Agriculture, Food, and Natural Resources-Other
</t>
    </r>
    <r>
      <rPr>
        <b/>
        <sz val="11"/>
        <color theme="1"/>
        <rFont val="Calibri"/>
        <family val="2"/>
        <scheme val="minor"/>
      </rPr>
      <t>68002</t>
    </r>
    <r>
      <rPr>
        <sz val="11"/>
        <color theme="1"/>
        <rFont val="Calibri"/>
        <family val="2"/>
        <scheme val="minor"/>
      </rPr>
      <t xml:space="preserve"> - Agriculture-Comprehensive
</t>
    </r>
    <r>
      <rPr>
        <b/>
        <sz val="11"/>
        <color theme="1"/>
        <rFont val="Calibri"/>
        <family val="2"/>
        <scheme val="minor"/>
      </rPr>
      <t>52052</t>
    </r>
    <r>
      <rPr>
        <sz val="11"/>
        <color theme="1"/>
        <rFont val="Calibri"/>
        <family val="2"/>
        <scheme val="minor"/>
      </rPr>
      <t xml:space="preserve"> - Algebra I
</t>
    </r>
    <r>
      <rPr>
        <b/>
        <sz val="11"/>
        <color theme="1"/>
        <rFont val="Calibri"/>
        <family val="2"/>
        <scheme val="minor"/>
      </rPr>
      <t>52069</t>
    </r>
    <r>
      <rPr>
        <sz val="11"/>
        <color theme="1"/>
        <rFont val="Calibri"/>
        <family val="2"/>
        <scheme val="minor"/>
      </rPr>
      <t xml:space="preserve"> - Algebra-Other
</t>
    </r>
    <r>
      <rPr>
        <b/>
        <sz val="11"/>
        <color theme="1"/>
        <rFont val="Calibri"/>
        <family val="2"/>
        <scheme val="minor"/>
      </rPr>
      <t>56820</t>
    </r>
    <r>
      <rPr>
        <sz val="11"/>
        <color theme="1"/>
        <rFont val="Calibri"/>
        <family val="2"/>
        <scheme val="minor"/>
      </rPr>
      <t xml:space="preserve"> - American Indian Language
</t>
    </r>
    <r>
      <rPr>
        <b/>
        <sz val="11"/>
        <color theme="1"/>
        <rFont val="Calibri"/>
        <family val="2"/>
        <scheme val="minor"/>
      </rPr>
      <t>56800</t>
    </r>
    <r>
      <rPr>
        <sz val="11"/>
        <color theme="1"/>
        <rFont val="Calibri"/>
        <family val="2"/>
        <scheme val="minor"/>
      </rPr>
      <t xml:space="preserve"> - American Sign Language
</t>
    </r>
    <r>
      <rPr>
        <b/>
        <sz val="11"/>
        <color theme="1"/>
        <rFont val="Calibri"/>
        <family val="2"/>
        <scheme val="minor"/>
      </rPr>
      <t>52073</t>
    </r>
    <r>
      <rPr>
        <sz val="11"/>
        <color theme="1"/>
        <rFont val="Calibri"/>
        <family val="2"/>
        <scheme val="minor"/>
      </rPr>
      <t xml:space="preserve"> - Analytic Geometry
</t>
    </r>
    <r>
      <rPr>
        <b/>
        <sz val="11"/>
        <color theme="1"/>
        <rFont val="Calibri"/>
        <family val="2"/>
        <scheme val="minor"/>
      </rPr>
      <t>58010</t>
    </r>
    <r>
      <rPr>
        <sz val="11"/>
        <color theme="1"/>
        <rFont val="Calibri"/>
        <family val="2"/>
        <scheme val="minor"/>
      </rPr>
      <t xml:space="preserve"> - Aquatics/Water Sports
</t>
    </r>
    <r>
      <rPr>
        <b/>
        <sz val="11"/>
        <color theme="1"/>
        <rFont val="Calibri"/>
        <family val="2"/>
        <scheme val="minor"/>
      </rPr>
      <t>56720</t>
    </r>
    <r>
      <rPr>
        <sz val="11"/>
        <color theme="1"/>
        <rFont val="Calibri"/>
        <family val="2"/>
        <scheme val="minor"/>
      </rPr>
      <t xml:space="preserve"> - Arabic 
</t>
    </r>
    <r>
      <rPr>
        <b/>
        <sz val="11"/>
        <color theme="1"/>
        <rFont val="Calibri"/>
        <family val="2"/>
        <scheme val="minor"/>
      </rPr>
      <t>67997</t>
    </r>
    <r>
      <rPr>
        <sz val="11"/>
        <color theme="1"/>
        <rFont val="Calibri"/>
        <family val="2"/>
        <scheme val="minor"/>
      </rPr>
      <t xml:space="preserve"> - Architecture and Construction-Independent Study
</t>
    </r>
    <r>
      <rPr>
        <b/>
        <sz val="11"/>
        <color theme="1"/>
        <rFont val="Calibri"/>
        <family val="2"/>
        <scheme val="minor"/>
      </rPr>
      <t>67999</t>
    </r>
    <r>
      <rPr>
        <sz val="11"/>
        <color theme="1"/>
        <rFont val="Calibri"/>
        <family val="2"/>
        <scheme val="minor"/>
      </rPr>
      <t xml:space="preserve"> - Architecture and Construction-Other
</t>
    </r>
    <r>
      <rPr>
        <b/>
        <sz val="11"/>
        <color theme="1"/>
        <rFont val="Calibri"/>
        <family val="2"/>
        <scheme val="minor"/>
      </rPr>
      <t>55178</t>
    </r>
    <r>
      <rPr>
        <sz val="11"/>
        <color theme="1"/>
        <rFont val="Calibri"/>
        <family val="2"/>
        <scheme val="minor"/>
      </rPr>
      <t xml:space="preserve"> - Art (early childhood education)
</t>
    </r>
    <r>
      <rPr>
        <b/>
        <sz val="11"/>
        <color theme="1"/>
        <rFont val="Calibri"/>
        <family val="2"/>
        <scheme val="minor"/>
      </rPr>
      <t>55181</t>
    </r>
    <r>
      <rPr>
        <sz val="11"/>
        <color theme="1"/>
        <rFont val="Calibri"/>
        <family val="2"/>
        <scheme val="minor"/>
      </rPr>
      <t xml:space="preserve"> - Art (grade 1)
</t>
    </r>
    <r>
      <rPr>
        <b/>
        <sz val="11"/>
        <color theme="1"/>
        <rFont val="Calibri"/>
        <family val="2"/>
        <scheme val="minor"/>
      </rPr>
      <t>55182</t>
    </r>
    <r>
      <rPr>
        <sz val="11"/>
        <color theme="1"/>
        <rFont val="Calibri"/>
        <family val="2"/>
        <scheme val="minor"/>
      </rPr>
      <t xml:space="preserve"> - Art (grade 2)
</t>
    </r>
    <r>
      <rPr>
        <b/>
        <sz val="11"/>
        <color theme="1"/>
        <rFont val="Calibri"/>
        <family val="2"/>
        <scheme val="minor"/>
      </rPr>
      <t>55183</t>
    </r>
    <r>
      <rPr>
        <sz val="11"/>
        <color theme="1"/>
        <rFont val="Calibri"/>
        <family val="2"/>
        <scheme val="minor"/>
      </rPr>
      <t xml:space="preserve"> - Art (grade 3)
</t>
    </r>
    <r>
      <rPr>
        <b/>
        <sz val="11"/>
        <color theme="1"/>
        <rFont val="Calibri"/>
        <family val="2"/>
        <scheme val="minor"/>
      </rPr>
      <t>55184</t>
    </r>
    <r>
      <rPr>
        <sz val="11"/>
        <color theme="1"/>
        <rFont val="Calibri"/>
        <family val="2"/>
        <scheme val="minor"/>
      </rPr>
      <t xml:space="preserve"> - Art (grade 4)
</t>
    </r>
    <r>
      <rPr>
        <b/>
        <sz val="11"/>
        <color theme="1"/>
        <rFont val="Calibri"/>
        <family val="2"/>
        <scheme val="minor"/>
      </rPr>
      <t>55185</t>
    </r>
    <r>
      <rPr>
        <sz val="11"/>
        <color theme="1"/>
        <rFont val="Calibri"/>
        <family val="2"/>
        <scheme val="minor"/>
      </rPr>
      <t xml:space="preserve"> - Art (grade 5)
</t>
    </r>
    <r>
      <rPr>
        <b/>
        <sz val="11"/>
        <color theme="1"/>
        <rFont val="Calibri"/>
        <family val="2"/>
        <scheme val="minor"/>
      </rPr>
      <t>55186</t>
    </r>
    <r>
      <rPr>
        <sz val="11"/>
        <color theme="1"/>
        <rFont val="Calibri"/>
        <family val="2"/>
        <scheme val="minor"/>
      </rPr>
      <t xml:space="preserve"> - Art (grade 6)
</t>
    </r>
    <r>
      <rPr>
        <b/>
        <sz val="11"/>
        <color theme="1"/>
        <rFont val="Calibri"/>
        <family val="2"/>
        <scheme val="minor"/>
      </rPr>
      <t>55187</t>
    </r>
    <r>
      <rPr>
        <sz val="11"/>
        <color theme="1"/>
        <rFont val="Calibri"/>
        <family val="2"/>
        <scheme val="minor"/>
      </rPr>
      <t xml:space="preserve"> - Art (grade 7)
</t>
    </r>
    <r>
      <rPr>
        <b/>
        <sz val="11"/>
        <color theme="1"/>
        <rFont val="Calibri"/>
        <family val="2"/>
        <scheme val="minor"/>
      </rPr>
      <t>55188</t>
    </r>
    <r>
      <rPr>
        <sz val="11"/>
        <color theme="1"/>
        <rFont val="Calibri"/>
        <family val="2"/>
        <scheme val="minor"/>
      </rPr>
      <t xml:space="preserve"> - Art (grade 8)
</t>
    </r>
    <r>
      <rPr>
        <b/>
        <sz val="11"/>
        <color theme="1"/>
        <rFont val="Calibri"/>
        <family val="2"/>
        <scheme val="minor"/>
      </rPr>
      <t>55180</t>
    </r>
    <r>
      <rPr>
        <sz val="11"/>
        <color theme="1"/>
        <rFont val="Calibri"/>
        <family val="2"/>
        <scheme val="minor"/>
      </rPr>
      <t xml:space="preserve"> - Art (kindergarten)
</t>
    </r>
    <r>
      <rPr>
        <b/>
        <sz val="11"/>
        <color theme="1"/>
        <rFont val="Calibri"/>
        <family val="2"/>
        <scheme val="minor"/>
      </rPr>
      <t>55179</t>
    </r>
    <r>
      <rPr>
        <sz val="11"/>
        <color theme="1"/>
        <rFont val="Calibri"/>
        <family val="2"/>
        <scheme val="minor"/>
      </rPr>
      <t xml:space="preserve"> - Art (pre-kindergarten)
</t>
    </r>
    <r>
      <rPr>
        <b/>
        <sz val="11"/>
        <color theme="1"/>
        <rFont val="Calibri"/>
        <family val="2"/>
        <scheme val="minor"/>
      </rPr>
      <t>55189</t>
    </r>
    <r>
      <rPr>
        <sz val="11"/>
        <color theme="1"/>
        <rFont val="Calibri"/>
        <family val="2"/>
        <scheme val="minor"/>
      </rPr>
      <t xml:space="preserve"> - Art
</t>
    </r>
    <r>
      <rPr>
        <b/>
        <sz val="11"/>
        <color theme="1"/>
        <rFont val="Calibri"/>
        <family val="2"/>
        <scheme val="minor"/>
      </rPr>
      <t>55151</t>
    </r>
    <r>
      <rPr>
        <sz val="11"/>
        <color theme="1"/>
        <rFont val="Calibri"/>
        <family val="2"/>
        <scheme val="minor"/>
      </rPr>
      <t xml:space="preserve"> - Art Appreciation
</t>
    </r>
    <r>
      <rPr>
        <b/>
        <sz val="11"/>
        <color theme="1"/>
        <rFont val="Calibri"/>
        <family val="2"/>
        <scheme val="minor"/>
      </rPr>
      <t>55152</t>
    </r>
    <r>
      <rPr>
        <sz val="11"/>
        <color theme="1"/>
        <rFont val="Calibri"/>
        <family val="2"/>
        <scheme val="minor"/>
      </rPr>
      <t xml:space="preserve"> - Art History
</t>
    </r>
    <r>
      <rPr>
        <b/>
        <sz val="11"/>
        <color theme="1"/>
        <rFont val="Calibri"/>
        <family val="2"/>
        <scheme val="minor"/>
      </rPr>
      <t>51067</t>
    </r>
    <r>
      <rPr>
        <sz val="11"/>
        <color theme="1"/>
        <rFont val="Calibri"/>
        <family val="2"/>
        <scheme val="minor"/>
      </rPr>
      <t xml:space="preserve"> - Assisted Reading
</t>
    </r>
    <r>
      <rPr>
        <b/>
        <sz val="11"/>
        <color theme="1"/>
        <rFont val="Calibri"/>
        <family val="2"/>
        <scheme val="minor"/>
      </rPr>
      <t>61099</t>
    </r>
    <r>
      <rPr>
        <sz val="11"/>
        <color theme="1"/>
        <rFont val="Calibri"/>
        <family val="2"/>
        <scheme val="minor"/>
      </rPr>
      <t xml:space="preserve"> - Audio/Video Technology and Film-Other
</t>
    </r>
    <r>
      <rPr>
        <b/>
        <sz val="11"/>
        <color theme="1"/>
        <rFont val="Calibri"/>
        <family val="2"/>
        <scheme val="minor"/>
      </rPr>
      <t>61051</t>
    </r>
    <r>
      <rPr>
        <sz val="11"/>
        <color theme="1"/>
        <rFont val="Calibri"/>
        <family val="2"/>
        <scheme val="minor"/>
      </rPr>
      <t xml:space="preserve"> - Audio/Visual Production
</t>
    </r>
    <r>
      <rPr>
        <b/>
        <sz val="11"/>
        <color theme="1"/>
        <rFont val="Calibri"/>
        <family val="2"/>
        <scheme val="minor"/>
      </rPr>
      <t>62101</t>
    </r>
    <r>
      <rPr>
        <sz val="11"/>
        <color theme="1"/>
        <rFont val="Calibri"/>
        <family val="2"/>
        <scheme val="minor"/>
      </rPr>
      <t xml:space="preserve"> - Banking and Finance
</t>
    </r>
    <r>
      <rPr>
        <b/>
        <sz val="11"/>
        <color theme="1"/>
        <rFont val="Calibri"/>
        <family val="2"/>
        <scheme val="minor"/>
      </rPr>
      <t>57008</t>
    </r>
    <r>
      <rPr>
        <sz val="11"/>
        <color theme="1"/>
        <rFont val="Calibri"/>
        <family val="2"/>
        <scheme val="minor"/>
      </rPr>
      <t xml:space="preserve"> - Bible History
</t>
    </r>
    <r>
      <rPr>
        <b/>
        <sz val="11"/>
        <color theme="1"/>
        <rFont val="Calibri"/>
        <family val="2"/>
        <scheme val="minor"/>
      </rPr>
      <t>53051</t>
    </r>
    <r>
      <rPr>
        <sz val="11"/>
        <color theme="1"/>
        <rFont val="Calibri"/>
        <family val="2"/>
        <scheme val="minor"/>
      </rPr>
      <t xml:space="preserve"> - Biology
</t>
    </r>
    <r>
      <rPr>
        <b/>
        <sz val="11"/>
        <color theme="1"/>
        <rFont val="Calibri"/>
        <family val="2"/>
        <scheme val="minor"/>
      </rPr>
      <t>53097</t>
    </r>
    <r>
      <rPr>
        <sz val="11"/>
        <color theme="1"/>
        <rFont val="Calibri"/>
        <family val="2"/>
        <scheme val="minor"/>
      </rPr>
      <t xml:space="preserve"> - Biology-Independent Study
</t>
    </r>
    <r>
      <rPr>
        <b/>
        <sz val="11"/>
        <color theme="1"/>
        <rFont val="Calibri"/>
        <family val="2"/>
        <scheme val="minor"/>
      </rPr>
      <t>53099</t>
    </r>
    <r>
      <rPr>
        <sz val="11"/>
        <color theme="1"/>
        <rFont val="Calibri"/>
        <family val="2"/>
        <scheme val="minor"/>
      </rPr>
      <t xml:space="preserve"> - Biology-Other
</t>
    </r>
    <r>
      <rPr>
        <b/>
        <sz val="11"/>
        <color theme="1"/>
        <rFont val="Calibri"/>
        <family val="2"/>
        <scheme val="minor"/>
      </rPr>
      <t>61103</t>
    </r>
    <r>
      <rPr>
        <sz val="11"/>
        <color theme="1"/>
        <rFont val="Calibri"/>
        <family val="2"/>
        <scheme val="minor"/>
      </rPr>
      <t xml:space="preserve"> - Broadcasting Technology
</t>
    </r>
    <r>
      <rPr>
        <b/>
        <sz val="11"/>
        <color theme="1"/>
        <rFont val="Calibri"/>
        <family val="2"/>
        <scheme val="minor"/>
      </rPr>
      <t>62997</t>
    </r>
    <r>
      <rPr>
        <sz val="11"/>
        <color theme="1"/>
        <rFont val="Calibri"/>
        <family val="2"/>
        <scheme val="minor"/>
      </rPr>
      <t xml:space="preserve"> - Business and Marketing-Independent Study
</t>
    </r>
    <r>
      <rPr>
        <b/>
        <sz val="11"/>
        <color theme="1"/>
        <rFont val="Calibri"/>
        <family val="2"/>
        <scheme val="minor"/>
      </rPr>
      <t>62999</t>
    </r>
    <r>
      <rPr>
        <sz val="11"/>
        <color theme="1"/>
        <rFont val="Calibri"/>
        <family val="2"/>
        <scheme val="minor"/>
      </rPr>
      <t xml:space="preserve"> - Business and Marketing-Other
</t>
    </r>
    <r>
      <rPr>
        <b/>
        <sz val="11"/>
        <color theme="1"/>
        <rFont val="Calibri"/>
        <family val="2"/>
        <scheme val="minor"/>
      </rPr>
      <t>62001</t>
    </r>
    <r>
      <rPr>
        <sz val="11"/>
        <color theme="1"/>
        <rFont val="Calibri"/>
        <family val="2"/>
        <scheme val="minor"/>
      </rPr>
      <t xml:space="preserve"> - Business/Office Career Exploration
</t>
    </r>
    <r>
      <rPr>
        <b/>
        <sz val="11"/>
        <color theme="1"/>
        <rFont val="Calibri"/>
        <family val="2"/>
        <scheme val="minor"/>
      </rPr>
      <t>72151</t>
    </r>
    <r>
      <rPr>
        <sz val="11"/>
        <color theme="1"/>
        <rFont val="Calibri"/>
        <family val="2"/>
        <scheme val="minor"/>
      </rPr>
      <t xml:space="preserve"> - Career Exploration
</t>
    </r>
    <r>
      <rPr>
        <b/>
        <sz val="11"/>
        <color theme="1"/>
        <rFont val="Calibri"/>
        <family val="2"/>
        <scheme val="minor"/>
      </rPr>
      <t>55159</t>
    </r>
    <r>
      <rPr>
        <sz val="11"/>
        <color theme="1"/>
        <rFont val="Calibri"/>
        <family val="2"/>
        <scheme val="minor"/>
      </rPr>
      <t xml:space="preserve"> - Ceramics/Pottery
</t>
    </r>
    <r>
      <rPr>
        <b/>
        <sz val="11"/>
        <color theme="1"/>
        <rFont val="Calibri"/>
        <family val="2"/>
        <scheme val="minor"/>
      </rPr>
      <t>53101</t>
    </r>
    <r>
      <rPr>
        <sz val="11"/>
        <color theme="1"/>
        <rFont val="Calibri"/>
        <family val="2"/>
        <scheme val="minor"/>
      </rPr>
      <t xml:space="preserve"> - Chemistry
</t>
    </r>
    <r>
      <rPr>
        <b/>
        <sz val="11"/>
        <color theme="1"/>
        <rFont val="Calibri"/>
        <family val="2"/>
        <scheme val="minor"/>
      </rPr>
      <t>53147</t>
    </r>
    <r>
      <rPr>
        <sz val="11"/>
        <color theme="1"/>
        <rFont val="Calibri"/>
        <family val="2"/>
        <scheme val="minor"/>
      </rPr>
      <t xml:space="preserve"> - Chemistry-Independent Study
</t>
    </r>
    <r>
      <rPr>
        <b/>
        <sz val="11"/>
        <color theme="1"/>
        <rFont val="Calibri"/>
        <family val="2"/>
        <scheme val="minor"/>
      </rPr>
      <t>53149</t>
    </r>
    <r>
      <rPr>
        <sz val="11"/>
        <color theme="1"/>
        <rFont val="Calibri"/>
        <family val="2"/>
        <scheme val="minor"/>
      </rPr>
      <t xml:space="preserve"> - Chemistry-Other
</t>
    </r>
    <r>
      <rPr>
        <b/>
        <sz val="11"/>
        <color theme="1"/>
        <rFont val="Calibri"/>
        <family val="2"/>
        <scheme val="minor"/>
      </rPr>
      <t>56400</t>
    </r>
    <r>
      <rPr>
        <sz val="11"/>
        <color theme="1"/>
        <rFont val="Calibri"/>
        <family val="2"/>
        <scheme val="minor"/>
      </rPr>
      <t xml:space="preserve"> - Chinese
</t>
    </r>
    <r>
      <rPr>
        <b/>
        <sz val="11"/>
        <color theme="1"/>
        <rFont val="Calibri"/>
        <family val="2"/>
        <scheme val="minor"/>
      </rPr>
      <t>55005</t>
    </r>
    <r>
      <rPr>
        <sz val="11"/>
        <color theme="1"/>
        <rFont val="Calibri"/>
        <family val="2"/>
        <scheme val="minor"/>
      </rPr>
      <t xml:space="preserve"> - Choreography
</t>
    </r>
    <r>
      <rPr>
        <b/>
        <sz val="11"/>
        <color theme="1"/>
        <rFont val="Calibri"/>
        <family val="2"/>
        <scheme val="minor"/>
      </rPr>
      <t>55110</t>
    </r>
    <r>
      <rPr>
        <sz val="11"/>
        <color theme="1"/>
        <rFont val="Calibri"/>
        <family val="2"/>
        <scheme val="minor"/>
      </rPr>
      <t xml:space="preserve"> - Chorus
</t>
    </r>
    <r>
      <rPr>
        <b/>
        <sz val="11"/>
        <color theme="1"/>
        <rFont val="Calibri"/>
        <family val="2"/>
        <scheme val="minor"/>
      </rPr>
      <t>54161</t>
    </r>
    <r>
      <rPr>
        <sz val="11"/>
        <color theme="1"/>
        <rFont val="Calibri"/>
        <family val="2"/>
        <scheme val="minor"/>
      </rPr>
      <t xml:space="preserve"> - Civics
</t>
    </r>
    <r>
      <rPr>
        <b/>
        <sz val="11"/>
        <color theme="1"/>
        <rFont val="Calibri"/>
        <family val="2"/>
        <scheme val="minor"/>
      </rPr>
      <t>56320</t>
    </r>
    <r>
      <rPr>
        <sz val="11"/>
        <color theme="1"/>
        <rFont val="Calibri"/>
        <family val="2"/>
        <scheme val="minor"/>
      </rPr>
      <t xml:space="preserve"> - Classical Greek
</t>
    </r>
    <r>
      <rPr>
        <b/>
        <sz val="11"/>
        <color theme="1"/>
        <rFont val="Calibri"/>
        <family val="2"/>
        <scheme val="minor"/>
      </rPr>
      <t>72205</t>
    </r>
    <r>
      <rPr>
        <sz val="11"/>
        <color theme="1"/>
        <rFont val="Calibri"/>
        <family val="2"/>
        <scheme val="minor"/>
      </rPr>
      <t xml:space="preserve"> - Clothing/Sewing
</t>
    </r>
    <r>
      <rPr>
        <b/>
        <sz val="11"/>
        <color theme="1"/>
        <rFont val="Calibri"/>
        <family val="2"/>
        <scheme val="minor"/>
      </rPr>
      <t>61052</t>
    </r>
    <r>
      <rPr>
        <sz val="11"/>
        <color theme="1"/>
        <rFont val="Calibri"/>
        <family val="2"/>
        <scheme val="minor"/>
      </rPr>
      <t xml:space="preserve"> - Commercial Photography
</t>
    </r>
    <r>
      <rPr>
        <b/>
        <sz val="11"/>
        <color theme="1"/>
        <rFont val="Calibri"/>
        <family val="2"/>
        <scheme val="minor"/>
      </rPr>
      <t>61997</t>
    </r>
    <r>
      <rPr>
        <sz val="11"/>
        <color theme="1"/>
        <rFont val="Calibri"/>
        <family val="2"/>
        <scheme val="minor"/>
      </rPr>
      <t xml:space="preserve"> - Communication and Audio/Video Technology-Independent Study
</t>
    </r>
    <r>
      <rPr>
        <b/>
        <sz val="11"/>
        <color theme="1"/>
        <rFont val="Calibri"/>
        <family val="2"/>
        <scheme val="minor"/>
      </rPr>
      <t>61999</t>
    </r>
    <r>
      <rPr>
        <sz val="11"/>
        <color theme="1"/>
        <rFont val="Calibri"/>
        <family val="2"/>
        <scheme val="minor"/>
      </rPr>
      <t xml:space="preserve"> - Communication and Audio/Video Technology-Other
</t>
    </r>
    <r>
      <rPr>
        <b/>
        <sz val="11"/>
        <color theme="1"/>
        <rFont val="Calibri"/>
        <family val="2"/>
        <scheme val="minor"/>
      </rPr>
      <t>61002</t>
    </r>
    <r>
      <rPr>
        <sz val="11"/>
        <color theme="1"/>
        <rFont val="Calibri"/>
        <family val="2"/>
        <scheme val="minor"/>
      </rPr>
      <t xml:space="preserve"> - Communication Technology
</t>
    </r>
    <r>
      <rPr>
        <b/>
        <sz val="11"/>
        <color theme="1"/>
        <rFont val="Calibri"/>
        <family val="2"/>
        <scheme val="minor"/>
      </rPr>
      <t>61047</t>
    </r>
    <r>
      <rPr>
        <sz val="11"/>
        <color theme="1"/>
        <rFont val="Calibri"/>
        <family val="2"/>
        <scheme val="minor"/>
      </rPr>
      <t xml:space="preserve"> - Communication-Independent Study
</t>
    </r>
    <r>
      <rPr>
        <b/>
        <sz val="11"/>
        <color theme="1"/>
        <rFont val="Calibri"/>
        <family val="2"/>
        <scheme val="minor"/>
      </rPr>
      <t>61049</t>
    </r>
    <r>
      <rPr>
        <sz val="11"/>
        <color theme="1"/>
        <rFont val="Calibri"/>
        <family val="2"/>
        <scheme val="minor"/>
      </rPr>
      <t xml:space="preserve"> - Communication-Other
</t>
    </r>
    <r>
      <rPr>
        <b/>
        <sz val="11"/>
        <color theme="1"/>
        <rFont val="Calibri"/>
        <family val="2"/>
        <scheme val="minor"/>
      </rPr>
      <t>51155</t>
    </r>
    <r>
      <rPr>
        <sz val="11"/>
        <color theme="1"/>
        <rFont val="Calibri"/>
        <family val="2"/>
        <scheme val="minor"/>
      </rPr>
      <t xml:space="preserve"> - Communications
</t>
    </r>
    <r>
      <rPr>
        <b/>
        <sz val="11"/>
        <color theme="1"/>
        <rFont val="Calibri"/>
        <family val="2"/>
        <scheme val="minor"/>
      </rPr>
      <t>72104</t>
    </r>
    <r>
      <rPr>
        <sz val="11"/>
        <color theme="1"/>
        <rFont val="Calibri"/>
        <family val="2"/>
        <scheme val="minor"/>
      </rPr>
      <t xml:space="preserve"> - Community Service
</t>
    </r>
    <r>
      <rPr>
        <b/>
        <sz val="11"/>
        <color theme="1"/>
        <rFont val="Calibri"/>
        <family val="2"/>
        <scheme val="minor"/>
      </rPr>
      <t>51103</t>
    </r>
    <r>
      <rPr>
        <sz val="11"/>
        <color theme="1"/>
        <rFont val="Calibri"/>
        <family val="2"/>
        <scheme val="minor"/>
      </rPr>
      <t xml:space="preserve"> - Composition
</t>
    </r>
    <r>
      <rPr>
        <b/>
        <sz val="11"/>
        <color theme="1"/>
        <rFont val="Calibri"/>
        <family val="2"/>
        <scheme val="minor"/>
      </rPr>
      <t>51147</t>
    </r>
    <r>
      <rPr>
        <sz val="11"/>
        <color theme="1"/>
        <rFont val="Calibri"/>
        <family val="2"/>
        <scheme val="minor"/>
      </rPr>
      <t xml:space="preserve"> - Composition-Independent Study
</t>
    </r>
    <r>
      <rPr>
        <b/>
        <sz val="11"/>
        <color theme="1"/>
        <rFont val="Calibri"/>
        <family val="2"/>
        <scheme val="minor"/>
      </rPr>
      <t>51149</t>
    </r>
    <r>
      <rPr>
        <sz val="11"/>
        <color theme="1"/>
        <rFont val="Calibri"/>
        <family val="2"/>
        <scheme val="minor"/>
      </rPr>
      <t xml:space="preserve"> - Composition-Other
</t>
    </r>
    <r>
      <rPr>
        <b/>
        <sz val="11"/>
        <color theme="1"/>
        <rFont val="Calibri"/>
        <family val="2"/>
        <scheme val="minor"/>
      </rPr>
      <t>60997</t>
    </r>
    <r>
      <rPr>
        <sz val="11"/>
        <color theme="1"/>
        <rFont val="Calibri"/>
        <family val="2"/>
        <scheme val="minor"/>
      </rPr>
      <t xml:space="preserve"> - Computer and Information Sciences-Independent Study
</t>
    </r>
    <r>
      <rPr>
        <b/>
        <sz val="11"/>
        <color theme="1"/>
        <rFont val="Calibri"/>
        <family val="2"/>
        <scheme val="minor"/>
      </rPr>
      <t>60999</t>
    </r>
    <r>
      <rPr>
        <sz val="11"/>
        <color theme="1"/>
        <rFont val="Calibri"/>
        <family val="2"/>
        <scheme val="minor"/>
      </rPr>
      <t xml:space="preserve"> - Computer and Information Sciences-Other
</t>
    </r>
    <r>
      <rPr>
        <b/>
        <sz val="11"/>
        <color theme="1"/>
        <rFont val="Calibri"/>
        <family val="2"/>
        <scheme val="minor"/>
      </rPr>
      <t>60003</t>
    </r>
    <r>
      <rPr>
        <sz val="11"/>
        <color theme="1"/>
        <rFont val="Calibri"/>
        <family val="2"/>
        <scheme val="minor"/>
      </rPr>
      <t xml:space="preserve"> - Computer and Information Technology
</t>
    </r>
    <r>
      <rPr>
        <b/>
        <sz val="11"/>
        <color theme="1"/>
        <rFont val="Calibri"/>
        <family val="2"/>
        <scheme val="minor"/>
      </rPr>
      <t>60004</t>
    </r>
    <r>
      <rPr>
        <sz val="11"/>
        <color theme="1"/>
        <rFont val="Calibri"/>
        <family val="2"/>
        <scheme val="minor"/>
      </rPr>
      <t xml:space="preserve"> - Computer Applications
</t>
    </r>
    <r>
      <rPr>
        <b/>
        <sz val="11"/>
        <color theme="1"/>
        <rFont val="Calibri"/>
        <family val="2"/>
        <scheme val="minor"/>
      </rPr>
      <t>60202</t>
    </r>
    <r>
      <rPr>
        <sz val="11"/>
        <color theme="1"/>
        <rFont val="Calibri"/>
        <family val="2"/>
        <scheme val="minor"/>
      </rPr>
      <t xml:space="preserve"> - Computer Graphics
</t>
    </r>
    <r>
      <rPr>
        <b/>
        <sz val="11"/>
        <color theme="1"/>
        <rFont val="Calibri"/>
        <family val="2"/>
        <scheme val="minor"/>
      </rPr>
      <t>60010</t>
    </r>
    <r>
      <rPr>
        <sz val="11"/>
        <color theme="1"/>
        <rFont val="Calibri"/>
        <family val="2"/>
        <scheme val="minor"/>
      </rPr>
      <t xml:space="preserve"> - Computer Literacy
</t>
    </r>
    <r>
      <rPr>
        <b/>
        <sz val="11"/>
        <color theme="1"/>
        <rFont val="Calibri"/>
        <family val="2"/>
        <scheme val="minor"/>
      </rPr>
      <t>60049</t>
    </r>
    <r>
      <rPr>
        <sz val="11"/>
        <color theme="1"/>
        <rFont val="Calibri"/>
        <family val="2"/>
        <scheme val="minor"/>
      </rPr>
      <t xml:space="preserve"> - Computer Literacy-Other
</t>
    </r>
    <r>
      <rPr>
        <b/>
        <sz val="11"/>
        <color theme="1"/>
        <rFont val="Calibri"/>
        <family val="2"/>
        <scheme val="minor"/>
      </rPr>
      <t>60002</t>
    </r>
    <r>
      <rPr>
        <sz val="11"/>
        <color theme="1"/>
        <rFont val="Calibri"/>
        <family val="2"/>
        <scheme val="minor"/>
      </rPr>
      <t xml:space="preserve"> - Computing Systems
</t>
    </r>
    <r>
      <rPr>
        <b/>
        <sz val="11"/>
        <color theme="1"/>
        <rFont val="Calibri"/>
        <family val="2"/>
        <scheme val="minor"/>
      </rPr>
      <t>55102</t>
    </r>
    <r>
      <rPr>
        <sz val="11"/>
        <color theme="1"/>
        <rFont val="Calibri"/>
        <family val="2"/>
        <scheme val="minor"/>
      </rPr>
      <t xml:space="preserve"> - Concert Band
</t>
    </r>
    <r>
      <rPr>
        <b/>
        <sz val="11"/>
        <color theme="1"/>
        <rFont val="Calibri"/>
        <family val="2"/>
        <scheme val="minor"/>
      </rPr>
      <t>67001</t>
    </r>
    <r>
      <rPr>
        <sz val="11"/>
        <color theme="1"/>
        <rFont val="Calibri"/>
        <family val="2"/>
        <scheme val="minor"/>
      </rPr>
      <t xml:space="preserve"> - Construction Careers Exploration
</t>
    </r>
    <r>
      <rPr>
        <b/>
        <sz val="11"/>
        <color theme="1"/>
        <rFont val="Calibri"/>
        <family val="2"/>
        <scheme val="minor"/>
      </rPr>
      <t>67002</t>
    </r>
    <r>
      <rPr>
        <sz val="11"/>
        <color theme="1"/>
        <rFont val="Calibri"/>
        <family val="2"/>
        <scheme val="minor"/>
      </rPr>
      <t xml:space="preserve"> - Construction-Comprehensive
</t>
    </r>
    <r>
      <rPr>
        <b/>
        <sz val="11"/>
        <color theme="1"/>
        <rFont val="Calibri"/>
        <family val="2"/>
        <scheme val="minor"/>
      </rPr>
      <t>72210</t>
    </r>
    <r>
      <rPr>
        <sz val="11"/>
        <color theme="1"/>
        <rFont val="Calibri"/>
        <family val="2"/>
        <scheme val="minor"/>
      </rPr>
      <t xml:space="preserve"> - Consumer Economics/Personal Finance
</t>
    </r>
    <r>
      <rPr>
        <b/>
        <sz val="11"/>
        <color theme="1"/>
        <rFont val="Calibri"/>
        <family val="2"/>
        <scheme val="minor"/>
      </rPr>
      <t>52157</t>
    </r>
    <r>
      <rPr>
        <sz val="11"/>
        <color theme="1"/>
        <rFont val="Calibri"/>
        <family val="2"/>
        <scheme val="minor"/>
      </rPr>
      <t xml:space="preserve"> - Consumer Math
</t>
    </r>
    <r>
      <rPr>
        <b/>
        <sz val="11"/>
        <color theme="1"/>
        <rFont val="Calibri"/>
        <family val="2"/>
        <scheme val="minor"/>
      </rPr>
      <t>55105</t>
    </r>
    <r>
      <rPr>
        <sz val="11"/>
        <color theme="1"/>
        <rFont val="Calibri"/>
        <family val="2"/>
        <scheme val="minor"/>
      </rPr>
      <t xml:space="preserve"> - Contemporary Band
</t>
    </r>
    <r>
      <rPr>
        <b/>
        <sz val="11"/>
        <color theme="1"/>
        <rFont val="Calibri"/>
        <family val="2"/>
        <scheme val="minor"/>
      </rPr>
      <t>54106</t>
    </r>
    <r>
      <rPr>
        <sz val="11"/>
        <color theme="1"/>
        <rFont val="Calibri"/>
        <family val="2"/>
        <scheme val="minor"/>
      </rPr>
      <t xml:space="preserve"> - Contemporary U.S. Issues
</t>
    </r>
    <r>
      <rPr>
        <b/>
        <sz val="11"/>
        <color theme="1"/>
        <rFont val="Calibri"/>
        <family val="2"/>
        <scheme val="minor"/>
      </rPr>
      <t>54064</t>
    </r>
    <r>
      <rPr>
        <sz val="11"/>
        <color theme="1"/>
        <rFont val="Calibri"/>
        <family val="2"/>
        <scheme val="minor"/>
      </rPr>
      <t xml:space="preserve"> - Contemporary World Issues
</t>
    </r>
    <r>
      <rPr>
        <b/>
        <sz val="11"/>
        <color theme="1"/>
        <rFont val="Calibri"/>
        <family val="2"/>
        <scheme val="minor"/>
      </rPr>
      <t>51068</t>
    </r>
    <r>
      <rPr>
        <sz val="11"/>
        <color theme="1"/>
        <rFont val="Calibri"/>
        <family val="2"/>
        <scheme val="minor"/>
      </rPr>
      <t xml:space="preserve"> - Corrective Reading
</t>
    </r>
    <r>
      <rPr>
        <b/>
        <sz val="11"/>
        <color theme="1"/>
        <rFont val="Calibri"/>
        <family val="2"/>
        <scheme val="minor"/>
      </rPr>
      <t>55165</t>
    </r>
    <r>
      <rPr>
        <sz val="11"/>
        <color theme="1"/>
        <rFont val="Calibri"/>
        <family val="2"/>
        <scheme val="minor"/>
      </rPr>
      <t xml:space="preserve"> - Crafts 
</t>
    </r>
    <r>
      <rPr>
        <b/>
        <sz val="11"/>
        <color theme="1"/>
        <rFont val="Calibri"/>
        <family val="2"/>
        <scheme val="minor"/>
      </rPr>
      <t>55154</t>
    </r>
    <r>
      <rPr>
        <sz val="11"/>
        <color theme="1"/>
        <rFont val="Calibri"/>
        <family val="2"/>
        <scheme val="minor"/>
      </rPr>
      <t xml:space="preserve"> - Creative Art-Comprehensive
</t>
    </r>
    <r>
      <rPr>
        <b/>
        <sz val="11"/>
        <color theme="1"/>
        <rFont val="Calibri"/>
        <family val="2"/>
        <scheme val="minor"/>
      </rPr>
      <t>55156</t>
    </r>
    <r>
      <rPr>
        <sz val="11"/>
        <color theme="1"/>
        <rFont val="Calibri"/>
        <family val="2"/>
        <scheme val="minor"/>
      </rPr>
      <t xml:space="preserve"> - Creative Art-Drawing
</t>
    </r>
    <r>
      <rPr>
        <b/>
        <sz val="11"/>
        <color theme="1"/>
        <rFont val="Calibri"/>
        <family val="2"/>
        <scheme val="minor"/>
      </rPr>
      <t>55155</t>
    </r>
    <r>
      <rPr>
        <sz val="11"/>
        <color theme="1"/>
        <rFont val="Calibri"/>
        <family val="2"/>
        <scheme val="minor"/>
      </rPr>
      <t xml:space="preserve"> - Creative Art-Drawing/Painting
</t>
    </r>
    <r>
      <rPr>
        <b/>
        <sz val="11"/>
        <color theme="1"/>
        <rFont val="Calibri"/>
        <family val="2"/>
        <scheme val="minor"/>
      </rPr>
      <t>55157</t>
    </r>
    <r>
      <rPr>
        <sz val="11"/>
        <color theme="1"/>
        <rFont val="Calibri"/>
        <family val="2"/>
        <scheme val="minor"/>
      </rPr>
      <t xml:space="preserve"> - Creative Art-Painting
</t>
    </r>
    <r>
      <rPr>
        <b/>
        <sz val="11"/>
        <color theme="1"/>
        <rFont val="Calibri"/>
        <family val="2"/>
        <scheme val="minor"/>
      </rPr>
      <t>55158</t>
    </r>
    <r>
      <rPr>
        <sz val="11"/>
        <color theme="1"/>
        <rFont val="Calibri"/>
        <family val="2"/>
        <scheme val="minor"/>
      </rPr>
      <t xml:space="preserve"> - Creative Art-Sculpture
</t>
    </r>
    <r>
      <rPr>
        <b/>
        <sz val="11"/>
        <color theme="1"/>
        <rFont val="Calibri"/>
        <family val="2"/>
        <scheme val="minor"/>
      </rPr>
      <t>51104</t>
    </r>
    <r>
      <rPr>
        <sz val="11"/>
        <color theme="1"/>
        <rFont val="Calibri"/>
        <family val="2"/>
        <scheme val="minor"/>
      </rPr>
      <t xml:space="preserve"> - Creative Writing
</t>
    </r>
    <r>
      <rPr>
        <b/>
        <sz val="11"/>
        <color theme="1"/>
        <rFont val="Calibri"/>
        <family val="2"/>
        <scheme val="minor"/>
      </rPr>
      <t>55028</t>
    </r>
    <r>
      <rPr>
        <sz val="11"/>
        <color theme="1"/>
        <rFont val="Calibri"/>
        <family val="2"/>
        <scheme val="minor"/>
      </rPr>
      <t xml:space="preserve"> - Dance (early childhood education)
</t>
    </r>
    <r>
      <rPr>
        <b/>
        <sz val="11"/>
        <color theme="1"/>
        <rFont val="Calibri"/>
        <family val="2"/>
        <scheme val="minor"/>
      </rPr>
      <t>55031</t>
    </r>
    <r>
      <rPr>
        <sz val="11"/>
        <color theme="1"/>
        <rFont val="Calibri"/>
        <family val="2"/>
        <scheme val="minor"/>
      </rPr>
      <t xml:space="preserve"> - Dance (grade 1)
</t>
    </r>
    <r>
      <rPr>
        <b/>
        <sz val="11"/>
        <color theme="1"/>
        <rFont val="Calibri"/>
        <family val="2"/>
        <scheme val="minor"/>
      </rPr>
      <t>55032</t>
    </r>
    <r>
      <rPr>
        <sz val="11"/>
        <color theme="1"/>
        <rFont val="Calibri"/>
        <family val="2"/>
        <scheme val="minor"/>
      </rPr>
      <t xml:space="preserve"> - Dance (grade 2)
</t>
    </r>
    <r>
      <rPr>
        <b/>
        <sz val="11"/>
        <color theme="1"/>
        <rFont val="Calibri"/>
        <family val="2"/>
        <scheme val="minor"/>
      </rPr>
      <t>55033</t>
    </r>
    <r>
      <rPr>
        <sz val="11"/>
        <color theme="1"/>
        <rFont val="Calibri"/>
        <family val="2"/>
        <scheme val="minor"/>
      </rPr>
      <t xml:space="preserve"> - Dance (grade 3)
</t>
    </r>
    <r>
      <rPr>
        <b/>
        <sz val="11"/>
        <color theme="1"/>
        <rFont val="Calibri"/>
        <family val="2"/>
        <scheme val="minor"/>
      </rPr>
      <t>55034</t>
    </r>
    <r>
      <rPr>
        <sz val="11"/>
        <color theme="1"/>
        <rFont val="Calibri"/>
        <family val="2"/>
        <scheme val="minor"/>
      </rPr>
      <t xml:space="preserve"> - Dance (grade 4)
</t>
    </r>
    <r>
      <rPr>
        <b/>
        <sz val="11"/>
        <color theme="1"/>
        <rFont val="Calibri"/>
        <family val="2"/>
        <scheme val="minor"/>
      </rPr>
      <t>55035</t>
    </r>
    <r>
      <rPr>
        <sz val="11"/>
        <color theme="1"/>
        <rFont val="Calibri"/>
        <family val="2"/>
        <scheme val="minor"/>
      </rPr>
      <t xml:space="preserve"> - Dance (grade 5)
</t>
    </r>
    <r>
      <rPr>
        <b/>
        <sz val="11"/>
        <color theme="1"/>
        <rFont val="Calibri"/>
        <family val="2"/>
        <scheme val="minor"/>
      </rPr>
      <t>55036</t>
    </r>
    <r>
      <rPr>
        <sz val="11"/>
        <color theme="1"/>
        <rFont val="Calibri"/>
        <family val="2"/>
        <scheme val="minor"/>
      </rPr>
      <t xml:space="preserve"> - Dance (grade 6)
</t>
    </r>
    <r>
      <rPr>
        <b/>
        <sz val="11"/>
        <color theme="1"/>
        <rFont val="Calibri"/>
        <family val="2"/>
        <scheme val="minor"/>
      </rPr>
      <t>55037</t>
    </r>
    <r>
      <rPr>
        <sz val="11"/>
        <color theme="1"/>
        <rFont val="Calibri"/>
        <family val="2"/>
        <scheme val="minor"/>
      </rPr>
      <t xml:space="preserve"> - Dance (grade 7)
</t>
    </r>
    <r>
      <rPr>
        <b/>
        <sz val="11"/>
        <color theme="1"/>
        <rFont val="Calibri"/>
        <family val="2"/>
        <scheme val="minor"/>
      </rPr>
      <t>55038</t>
    </r>
    <r>
      <rPr>
        <sz val="11"/>
        <color theme="1"/>
        <rFont val="Calibri"/>
        <family val="2"/>
        <scheme val="minor"/>
      </rPr>
      <t xml:space="preserve"> - Dance (grade 8)
</t>
    </r>
    <r>
      <rPr>
        <b/>
        <sz val="11"/>
        <color theme="1"/>
        <rFont val="Calibri"/>
        <family val="2"/>
        <scheme val="minor"/>
      </rPr>
      <t>55030</t>
    </r>
    <r>
      <rPr>
        <sz val="11"/>
        <color theme="1"/>
        <rFont val="Calibri"/>
        <family val="2"/>
        <scheme val="minor"/>
      </rPr>
      <t xml:space="preserve"> - Dance (kindergarten)
</t>
    </r>
    <r>
      <rPr>
        <b/>
        <sz val="11"/>
        <color theme="1"/>
        <rFont val="Calibri"/>
        <family val="2"/>
        <scheme val="minor"/>
      </rPr>
      <t>55029</t>
    </r>
    <r>
      <rPr>
        <sz val="11"/>
        <color theme="1"/>
        <rFont val="Calibri"/>
        <family val="2"/>
        <scheme val="minor"/>
      </rPr>
      <t xml:space="preserve"> - Dance (pre-kindergarten)
</t>
    </r>
    <r>
      <rPr>
        <b/>
        <sz val="11"/>
        <color theme="1"/>
        <rFont val="Calibri"/>
        <family val="2"/>
        <scheme val="minor"/>
      </rPr>
      <t>55039</t>
    </r>
    <r>
      <rPr>
        <sz val="11"/>
        <color theme="1"/>
        <rFont val="Calibri"/>
        <family val="2"/>
        <scheme val="minor"/>
      </rPr>
      <t xml:space="preserve"> - Dance
</t>
    </r>
    <r>
      <rPr>
        <b/>
        <sz val="11"/>
        <color theme="1"/>
        <rFont val="Calibri"/>
        <family val="2"/>
        <scheme val="minor"/>
      </rPr>
      <t>55004</t>
    </r>
    <r>
      <rPr>
        <sz val="11"/>
        <color theme="1"/>
        <rFont val="Calibri"/>
        <family val="2"/>
        <scheme val="minor"/>
      </rPr>
      <t xml:space="preserve"> - Dance Appreciation
</t>
    </r>
    <r>
      <rPr>
        <b/>
        <sz val="11"/>
        <color theme="1"/>
        <rFont val="Calibri"/>
        <family val="2"/>
        <scheme val="minor"/>
      </rPr>
      <t>55002</t>
    </r>
    <r>
      <rPr>
        <sz val="11"/>
        <color theme="1"/>
        <rFont val="Calibri"/>
        <family val="2"/>
        <scheme val="minor"/>
      </rPr>
      <t xml:space="preserve"> - Dance Repertory
</t>
    </r>
    <r>
      <rPr>
        <b/>
        <sz val="11"/>
        <color theme="1"/>
        <rFont val="Calibri"/>
        <family val="2"/>
        <scheme val="minor"/>
      </rPr>
      <t>55001</t>
    </r>
    <r>
      <rPr>
        <sz val="11"/>
        <color theme="1"/>
        <rFont val="Calibri"/>
        <family val="2"/>
        <scheme val="minor"/>
      </rPr>
      <t xml:space="preserve"> - Dance Technique
</t>
    </r>
    <r>
      <rPr>
        <b/>
        <sz val="11"/>
        <color theme="1"/>
        <rFont val="Calibri"/>
        <family val="2"/>
        <scheme val="minor"/>
      </rPr>
      <t>55047</t>
    </r>
    <r>
      <rPr>
        <sz val="11"/>
        <color theme="1"/>
        <rFont val="Calibri"/>
        <family val="2"/>
        <scheme val="minor"/>
      </rPr>
      <t xml:space="preserve"> - Dance-Independent Study
</t>
    </r>
    <r>
      <rPr>
        <b/>
        <sz val="11"/>
        <color theme="1"/>
        <rFont val="Calibri"/>
        <family val="2"/>
        <scheme val="minor"/>
      </rPr>
      <t>55049</t>
    </r>
    <r>
      <rPr>
        <sz val="11"/>
        <color theme="1"/>
        <rFont val="Calibri"/>
        <family val="2"/>
        <scheme val="minor"/>
      </rPr>
      <t xml:space="preserve"> - Dance-Other
</t>
    </r>
    <r>
      <rPr>
        <b/>
        <sz val="11"/>
        <color theme="1"/>
        <rFont val="Calibri"/>
        <family val="2"/>
        <scheme val="minor"/>
      </rPr>
      <t>61152</t>
    </r>
    <r>
      <rPr>
        <sz val="11"/>
        <color theme="1"/>
        <rFont val="Calibri"/>
        <family val="2"/>
        <scheme val="minor"/>
      </rPr>
      <t xml:space="preserve"> - Desktop Publishing
</t>
    </r>
    <r>
      <rPr>
        <b/>
        <sz val="11"/>
        <color theme="1"/>
        <rFont val="Calibri"/>
        <family val="2"/>
        <scheme val="minor"/>
      </rPr>
      <t>61151</t>
    </r>
    <r>
      <rPr>
        <sz val="11"/>
        <color theme="1"/>
        <rFont val="Calibri"/>
        <family val="2"/>
        <scheme val="minor"/>
      </rPr>
      <t xml:space="preserve"> - Digital Media Technology
</t>
    </r>
    <r>
      <rPr>
        <b/>
        <sz val="11"/>
        <color theme="1"/>
        <rFont val="Calibri"/>
        <family val="2"/>
        <scheme val="minor"/>
      </rPr>
      <t>71102</t>
    </r>
    <r>
      <rPr>
        <sz val="11"/>
        <color theme="1"/>
        <rFont val="Calibri"/>
        <family val="2"/>
        <scheme val="minor"/>
      </rPr>
      <t xml:space="preserve"> - Drafting-General
</t>
    </r>
    <r>
      <rPr>
        <b/>
        <sz val="11"/>
        <color theme="1"/>
        <rFont val="Calibri"/>
        <family val="2"/>
        <scheme val="minor"/>
      </rPr>
      <t>71147</t>
    </r>
    <r>
      <rPr>
        <sz val="11"/>
        <color theme="1"/>
        <rFont val="Calibri"/>
        <family val="2"/>
        <scheme val="minor"/>
      </rPr>
      <t xml:space="preserve"> - Drafting-Independent Study
</t>
    </r>
    <r>
      <rPr>
        <b/>
        <sz val="11"/>
        <color theme="1"/>
        <rFont val="Calibri"/>
        <family val="2"/>
        <scheme val="minor"/>
      </rPr>
      <t>55068</t>
    </r>
    <r>
      <rPr>
        <sz val="11"/>
        <color theme="1"/>
        <rFont val="Calibri"/>
        <family val="2"/>
        <scheme val="minor"/>
      </rPr>
      <t xml:space="preserve"> - Drama (early childhood education)
</t>
    </r>
    <r>
      <rPr>
        <b/>
        <sz val="11"/>
        <color theme="1"/>
        <rFont val="Calibri"/>
        <family val="2"/>
        <scheme val="minor"/>
      </rPr>
      <t>55071</t>
    </r>
    <r>
      <rPr>
        <sz val="11"/>
        <color theme="1"/>
        <rFont val="Calibri"/>
        <family val="2"/>
        <scheme val="minor"/>
      </rPr>
      <t xml:space="preserve"> - Drama (grade 1)
</t>
    </r>
    <r>
      <rPr>
        <b/>
        <sz val="11"/>
        <color theme="1"/>
        <rFont val="Calibri"/>
        <family val="2"/>
        <scheme val="minor"/>
      </rPr>
      <t>55072</t>
    </r>
    <r>
      <rPr>
        <sz val="11"/>
        <color theme="1"/>
        <rFont val="Calibri"/>
        <family val="2"/>
        <scheme val="minor"/>
      </rPr>
      <t xml:space="preserve"> - Drama (grade 2)
</t>
    </r>
    <r>
      <rPr>
        <b/>
        <sz val="11"/>
        <color theme="1"/>
        <rFont val="Calibri"/>
        <family val="2"/>
        <scheme val="minor"/>
      </rPr>
      <t>55073</t>
    </r>
    <r>
      <rPr>
        <sz val="11"/>
        <color theme="1"/>
        <rFont val="Calibri"/>
        <family val="2"/>
        <scheme val="minor"/>
      </rPr>
      <t xml:space="preserve"> - Drama (grade 3)
</t>
    </r>
    <r>
      <rPr>
        <b/>
        <sz val="11"/>
        <color theme="1"/>
        <rFont val="Calibri"/>
        <family val="2"/>
        <scheme val="minor"/>
      </rPr>
      <t>55074</t>
    </r>
    <r>
      <rPr>
        <sz val="11"/>
        <color theme="1"/>
        <rFont val="Calibri"/>
        <family val="2"/>
        <scheme val="minor"/>
      </rPr>
      <t xml:space="preserve"> - Drama (grade 4)
</t>
    </r>
    <r>
      <rPr>
        <b/>
        <sz val="11"/>
        <color theme="1"/>
        <rFont val="Calibri"/>
        <family val="2"/>
        <scheme val="minor"/>
      </rPr>
      <t>55075</t>
    </r>
    <r>
      <rPr>
        <sz val="11"/>
        <color theme="1"/>
        <rFont val="Calibri"/>
        <family val="2"/>
        <scheme val="minor"/>
      </rPr>
      <t xml:space="preserve"> - Drama (grade 5)
</t>
    </r>
    <r>
      <rPr>
        <b/>
        <sz val="11"/>
        <color theme="1"/>
        <rFont val="Calibri"/>
        <family val="2"/>
        <scheme val="minor"/>
      </rPr>
      <t>55076</t>
    </r>
    <r>
      <rPr>
        <sz val="11"/>
        <color theme="1"/>
        <rFont val="Calibri"/>
        <family val="2"/>
        <scheme val="minor"/>
      </rPr>
      <t xml:space="preserve"> - Drama (grade 6)
</t>
    </r>
    <r>
      <rPr>
        <b/>
        <sz val="11"/>
        <color theme="1"/>
        <rFont val="Calibri"/>
        <family val="2"/>
        <scheme val="minor"/>
      </rPr>
      <t>55077</t>
    </r>
    <r>
      <rPr>
        <sz val="11"/>
        <color theme="1"/>
        <rFont val="Calibri"/>
        <family val="2"/>
        <scheme val="minor"/>
      </rPr>
      <t xml:space="preserve"> - Drama (grade 7)
</t>
    </r>
    <r>
      <rPr>
        <b/>
        <sz val="11"/>
        <color theme="1"/>
        <rFont val="Calibri"/>
        <family val="2"/>
        <scheme val="minor"/>
      </rPr>
      <t>55078</t>
    </r>
    <r>
      <rPr>
        <sz val="11"/>
        <color theme="1"/>
        <rFont val="Calibri"/>
        <family val="2"/>
        <scheme val="minor"/>
      </rPr>
      <t xml:space="preserve"> - Drama (grade 8)
</t>
    </r>
    <r>
      <rPr>
        <b/>
        <sz val="11"/>
        <color theme="1"/>
        <rFont val="Calibri"/>
        <family val="2"/>
        <scheme val="minor"/>
      </rPr>
      <t>55070</t>
    </r>
    <r>
      <rPr>
        <sz val="11"/>
        <color theme="1"/>
        <rFont val="Calibri"/>
        <family val="2"/>
        <scheme val="minor"/>
      </rPr>
      <t xml:space="preserve"> - Drama (kindergarten)
</t>
    </r>
    <r>
      <rPr>
        <b/>
        <sz val="11"/>
        <color theme="1"/>
        <rFont val="Calibri"/>
        <family val="2"/>
        <scheme val="minor"/>
      </rPr>
      <t>55069</t>
    </r>
    <r>
      <rPr>
        <sz val="11"/>
        <color theme="1"/>
        <rFont val="Calibri"/>
        <family val="2"/>
        <scheme val="minor"/>
      </rPr>
      <t xml:space="preserve"> - Drama (pre-kindergarten)
</t>
    </r>
    <r>
      <rPr>
        <b/>
        <sz val="11"/>
        <color theme="1"/>
        <rFont val="Calibri"/>
        <family val="2"/>
        <scheme val="minor"/>
      </rPr>
      <t>55079</t>
    </r>
    <r>
      <rPr>
        <sz val="11"/>
        <color theme="1"/>
        <rFont val="Calibri"/>
        <family val="2"/>
        <scheme val="minor"/>
      </rPr>
      <t xml:space="preserve"> - Drama
</t>
    </r>
    <r>
      <rPr>
        <b/>
        <sz val="11"/>
        <color theme="1"/>
        <rFont val="Calibri"/>
        <family val="2"/>
        <scheme val="minor"/>
      </rPr>
      <t>55053</t>
    </r>
    <r>
      <rPr>
        <sz val="11"/>
        <color theme="1"/>
        <rFont val="Calibri"/>
        <family val="2"/>
        <scheme val="minor"/>
      </rPr>
      <t xml:space="preserve"> - Drama-Comprehensive
</t>
    </r>
    <r>
      <rPr>
        <b/>
        <sz val="11"/>
        <color theme="1"/>
        <rFont val="Calibri"/>
        <family val="2"/>
        <scheme val="minor"/>
      </rPr>
      <t>55097</t>
    </r>
    <r>
      <rPr>
        <sz val="11"/>
        <color theme="1"/>
        <rFont val="Calibri"/>
        <family val="2"/>
        <scheme val="minor"/>
      </rPr>
      <t xml:space="preserve"> - Drama-Independent Study
</t>
    </r>
    <r>
      <rPr>
        <b/>
        <sz val="11"/>
        <color theme="1"/>
        <rFont val="Calibri"/>
        <family val="2"/>
        <scheme val="minor"/>
      </rPr>
      <t>55099</t>
    </r>
    <r>
      <rPr>
        <sz val="11"/>
        <color theme="1"/>
        <rFont val="Calibri"/>
        <family val="2"/>
        <scheme val="minor"/>
      </rPr>
      <t xml:space="preserve"> - Drama-Other
</t>
    </r>
    <r>
      <rPr>
        <b/>
        <sz val="11"/>
        <color theme="1"/>
        <rFont val="Calibri"/>
        <family val="2"/>
        <scheme val="minor"/>
      </rPr>
      <t>72004</t>
    </r>
    <r>
      <rPr>
        <sz val="11"/>
        <color theme="1"/>
        <rFont val="Calibri"/>
        <family val="2"/>
        <scheme val="minor"/>
      </rPr>
      <t xml:space="preserve"> - Dropout Prevention Program
</t>
    </r>
    <r>
      <rPr>
        <b/>
        <sz val="11"/>
        <color theme="1"/>
        <rFont val="Calibri"/>
        <family val="2"/>
        <scheme val="minor"/>
      </rPr>
      <t>73028</t>
    </r>
    <r>
      <rPr>
        <sz val="11"/>
        <color theme="1"/>
        <rFont val="Calibri"/>
        <family val="2"/>
        <scheme val="minor"/>
      </rPr>
      <t xml:space="preserve"> - Early Childhood Education
</t>
    </r>
    <r>
      <rPr>
        <b/>
        <sz val="11"/>
        <color theme="1"/>
        <rFont val="Calibri"/>
        <family val="2"/>
        <scheme val="minor"/>
      </rPr>
      <t>53047</t>
    </r>
    <r>
      <rPr>
        <sz val="11"/>
        <color theme="1"/>
        <rFont val="Calibri"/>
        <family val="2"/>
        <scheme val="minor"/>
      </rPr>
      <t xml:space="preserve"> - Earth Science-Independent Study
</t>
    </r>
    <r>
      <rPr>
        <b/>
        <sz val="11"/>
        <color theme="1"/>
        <rFont val="Calibri"/>
        <family val="2"/>
        <scheme val="minor"/>
      </rPr>
      <t>53049</t>
    </r>
    <r>
      <rPr>
        <sz val="11"/>
        <color theme="1"/>
        <rFont val="Calibri"/>
        <family val="2"/>
        <scheme val="minor"/>
      </rPr>
      <t xml:space="preserve"> - Earth Science-Other
</t>
    </r>
    <r>
      <rPr>
        <b/>
        <sz val="11"/>
        <color theme="1"/>
        <rFont val="Calibri"/>
        <family val="2"/>
        <scheme val="minor"/>
      </rPr>
      <t>53008</t>
    </r>
    <r>
      <rPr>
        <sz val="11"/>
        <color theme="1"/>
        <rFont val="Calibri"/>
        <family val="2"/>
        <scheme val="minor"/>
      </rPr>
      <t xml:space="preserve"> - Earth/Space Science
</t>
    </r>
    <r>
      <rPr>
        <b/>
        <sz val="11"/>
        <color theme="1"/>
        <rFont val="Calibri"/>
        <family val="2"/>
        <scheme val="minor"/>
      </rPr>
      <t>72152</t>
    </r>
    <r>
      <rPr>
        <sz val="11"/>
        <color theme="1"/>
        <rFont val="Calibri"/>
        <family val="2"/>
        <scheme val="minor"/>
      </rPr>
      <t xml:space="preserve"> - Employability Skills
</t>
    </r>
    <r>
      <rPr>
        <b/>
        <sz val="11"/>
        <color theme="1"/>
        <rFont val="Calibri"/>
        <family val="2"/>
        <scheme val="minor"/>
      </rPr>
      <t>71997</t>
    </r>
    <r>
      <rPr>
        <sz val="11"/>
        <color theme="1"/>
        <rFont val="Calibri"/>
        <family val="2"/>
        <scheme val="minor"/>
      </rPr>
      <t xml:space="preserve"> - Engineering and Technology-Independent Study
</t>
    </r>
    <r>
      <rPr>
        <b/>
        <sz val="11"/>
        <color theme="1"/>
        <rFont val="Calibri"/>
        <family val="2"/>
        <scheme val="minor"/>
      </rPr>
      <t>71999</t>
    </r>
    <r>
      <rPr>
        <sz val="11"/>
        <color theme="1"/>
        <rFont val="Calibri"/>
        <family val="2"/>
        <scheme val="minor"/>
      </rPr>
      <t xml:space="preserve"> - Engineering and Technology-Other
</t>
    </r>
    <r>
      <rPr>
        <b/>
        <sz val="11"/>
        <color theme="1"/>
        <rFont val="Calibri"/>
        <family val="2"/>
        <scheme val="minor"/>
      </rPr>
      <t>71002</t>
    </r>
    <r>
      <rPr>
        <sz val="11"/>
        <color theme="1"/>
        <rFont val="Calibri"/>
        <family val="2"/>
        <scheme val="minor"/>
      </rPr>
      <t xml:space="preserve"> - Engineering Applications
</t>
    </r>
    <r>
      <rPr>
        <b/>
        <sz val="11"/>
        <color theme="1"/>
        <rFont val="Calibri"/>
        <family val="2"/>
        <scheme val="minor"/>
      </rPr>
      <t>71006</t>
    </r>
    <r>
      <rPr>
        <sz val="11"/>
        <color theme="1"/>
        <rFont val="Calibri"/>
        <family val="2"/>
        <scheme val="minor"/>
      </rPr>
      <t xml:space="preserve"> - Engineering Design
</t>
    </r>
    <r>
      <rPr>
        <b/>
        <sz val="11"/>
        <color theme="1"/>
        <rFont val="Calibri"/>
        <family val="2"/>
        <scheme val="minor"/>
      </rPr>
      <t>71003</t>
    </r>
    <r>
      <rPr>
        <sz val="11"/>
        <color theme="1"/>
        <rFont val="Calibri"/>
        <family val="2"/>
        <scheme val="minor"/>
      </rPr>
      <t xml:space="preserve"> - Engineering Technology
</t>
    </r>
    <r>
      <rPr>
        <b/>
        <sz val="11"/>
        <color theme="1"/>
        <rFont val="Calibri"/>
        <family val="2"/>
        <scheme val="minor"/>
      </rPr>
      <t>71005</t>
    </r>
    <r>
      <rPr>
        <sz val="11"/>
        <color theme="1"/>
        <rFont val="Calibri"/>
        <family val="2"/>
        <scheme val="minor"/>
      </rPr>
      <t xml:space="preserve"> - Engineering-Comprehensive
</t>
    </r>
    <r>
      <rPr>
        <b/>
        <sz val="11"/>
        <color theme="1"/>
        <rFont val="Calibri"/>
        <family val="2"/>
        <scheme val="minor"/>
      </rPr>
      <t>71047</t>
    </r>
    <r>
      <rPr>
        <sz val="11"/>
        <color theme="1"/>
        <rFont val="Calibri"/>
        <family val="2"/>
        <scheme val="minor"/>
      </rPr>
      <t xml:space="preserve"> - Engineering-Independent Study
</t>
    </r>
    <r>
      <rPr>
        <b/>
        <sz val="11"/>
        <color theme="1"/>
        <rFont val="Calibri"/>
        <family val="2"/>
        <scheme val="minor"/>
      </rPr>
      <t>51008</t>
    </r>
    <r>
      <rPr>
        <sz val="11"/>
        <color theme="1"/>
        <rFont val="Calibri"/>
        <family val="2"/>
        <scheme val="minor"/>
      </rPr>
      <t xml:space="preserve"> - English as a Second Language
</t>
    </r>
    <r>
      <rPr>
        <b/>
        <sz val="11"/>
        <color theme="1"/>
        <rFont val="Calibri"/>
        <family val="2"/>
        <scheme val="minor"/>
      </rPr>
      <t>51997</t>
    </r>
    <r>
      <rPr>
        <sz val="11"/>
        <color theme="1"/>
        <rFont val="Calibri"/>
        <family val="2"/>
        <scheme val="minor"/>
      </rPr>
      <t xml:space="preserve"> - English Language and Literature-Independent Study
</t>
    </r>
    <r>
      <rPr>
        <b/>
        <sz val="11"/>
        <color theme="1"/>
        <rFont val="Calibri"/>
        <family val="2"/>
        <scheme val="minor"/>
      </rPr>
      <t>51999</t>
    </r>
    <r>
      <rPr>
        <sz val="11"/>
        <color theme="1"/>
        <rFont val="Calibri"/>
        <family val="2"/>
        <scheme val="minor"/>
      </rPr>
      <t xml:space="preserve"> - English Language and Literature-Other
</t>
    </r>
    <r>
      <rPr>
        <b/>
        <sz val="11"/>
        <color theme="1"/>
        <rFont val="Calibri"/>
        <family val="2"/>
        <scheme val="minor"/>
      </rPr>
      <t>51996</t>
    </r>
    <r>
      <rPr>
        <sz val="11"/>
        <color theme="1"/>
        <rFont val="Calibri"/>
        <family val="2"/>
        <scheme val="minor"/>
      </rPr>
      <t xml:space="preserve"> - English Language and Literature-Supplemental
</t>
    </r>
    <r>
      <rPr>
        <b/>
        <sz val="11"/>
        <color theme="1"/>
        <rFont val="Calibri"/>
        <family val="2"/>
        <scheme val="minor"/>
      </rPr>
      <t>51992</t>
    </r>
    <r>
      <rPr>
        <sz val="11"/>
        <color theme="1"/>
        <rFont val="Calibri"/>
        <family val="2"/>
        <scheme val="minor"/>
      </rPr>
      <t xml:space="preserve"> - English Proficiency Development
</t>
    </r>
    <r>
      <rPr>
        <b/>
        <sz val="11"/>
        <color theme="1"/>
        <rFont val="Calibri"/>
        <family val="2"/>
        <scheme val="minor"/>
      </rPr>
      <t>51203</t>
    </r>
    <r>
      <rPr>
        <sz val="11"/>
        <color theme="1"/>
        <rFont val="Calibri"/>
        <family val="2"/>
        <scheme val="minor"/>
      </rPr>
      <t xml:space="preserve"> - English-Test Preparation
</t>
    </r>
    <r>
      <rPr>
        <b/>
        <sz val="11"/>
        <color theme="1"/>
        <rFont val="Calibri"/>
        <family val="2"/>
        <scheme val="minor"/>
      </rPr>
      <t>55054</t>
    </r>
    <r>
      <rPr>
        <sz val="11"/>
        <color theme="1"/>
        <rFont val="Calibri"/>
        <family val="2"/>
        <scheme val="minor"/>
      </rPr>
      <t xml:space="preserve"> - Exploration in Drama
</t>
    </r>
    <r>
      <rPr>
        <b/>
        <sz val="11"/>
        <color theme="1"/>
        <rFont val="Calibri"/>
        <family val="2"/>
        <scheme val="minor"/>
      </rPr>
      <t>64001</t>
    </r>
    <r>
      <rPr>
        <sz val="11"/>
        <color theme="1"/>
        <rFont val="Calibri"/>
        <family val="2"/>
        <scheme val="minor"/>
      </rPr>
      <t xml:space="preserve"> - Exploration of Health Care Occupations
</t>
    </r>
    <r>
      <rPr>
        <b/>
        <sz val="11"/>
        <color theme="1"/>
        <rFont val="Calibri"/>
        <family val="2"/>
        <scheme val="minor"/>
      </rPr>
      <t>66001</t>
    </r>
    <r>
      <rPr>
        <sz val="11"/>
        <color theme="1"/>
        <rFont val="Calibri"/>
        <family val="2"/>
        <scheme val="minor"/>
      </rPr>
      <t xml:space="preserve"> - Exploration of Hospitality Careers
</t>
    </r>
    <r>
      <rPr>
        <b/>
        <sz val="11"/>
        <color theme="1"/>
        <rFont val="Calibri"/>
        <family val="2"/>
        <scheme val="minor"/>
      </rPr>
      <t>63001</t>
    </r>
    <r>
      <rPr>
        <sz val="11"/>
        <color theme="1"/>
        <rFont val="Calibri"/>
        <family val="2"/>
        <scheme val="minor"/>
      </rPr>
      <t xml:space="preserve"> - Exploration of Manufacturing Occupations
</t>
    </r>
    <r>
      <rPr>
        <b/>
        <sz val="11"/>
        <color theme="1"/>
        <rFont val="Calibri"/>
        <family val="2"/>
        <scheme val="minor"/>
      </rPr>
      <t>65001</t>
    </r>
    <r>
      <rPr>
        <sz val="11"/>
        <color theme="1"/>
        <rFont val="Calibri"/>
        <family val="2"/>
        <scheme val="minor"/>
      </rPr>
      <t xml:space="preserve"> - Exploration of Public Service Careers
</t>
    </r>
    <r>
      <rPr>
        <b/>
        <sz val="11"/>
        <color theme="1"/>
        <rFont val="Calibri"/>
        <family val="2"/>
        <scheme val="minor"/>
      </rPr>
      <t>70001</t>
    </r>
    <r>
      <rPr>
        <sz val="11"/>
        <color theme="1"/>
        <rFont val="Calibri"/>
        <family val="2"/>
        <scheme val="minor"/>
      </rPr>
      <t xml:space="preserve"> - Exploration of Transportation, Distribution, and Logistics
</t>
    </r>
    <r>
      <rPr>
        <b/>
        <sz val="11"/>
        <color theme="1"/>
        <rFont val="Calibri"/>
        <family val="2"/>
        <scheme val="minor"/>
      </rPr>
      <t>72250</t>
    </r>
    <r>
      <rPr>
        <sz val="11"/>
        <color theme="1"/>
        <rFont val="Calibri"/>
        <family val="2"/>
        <scheme val="minor"/>
      </rPr>
      <t xml:space="preserve"> - Exploratory
</t>
    </r>
    <r>
      <rPr>
        <b/>
        <sz val="11"/>
        <color theme="1"/>
        <rFont val="Calibri"/>
        <family val="2"/>
        <scheme val="minor"/>
      </rPr>
      <t>55003</t>
    </r>
    <r>
      <rPr>
        <sz val="11"/>
        <color theme="1"/>
        <rFont val="Calibri"/>
        <family val="2"/>
        <scheme val="minor"/>
      </rPr>
      <t xml:space="preserve"> - Expressive Movement
</t>
    </r>
    <r>
      <rPr>
        <b/>
        <sz val="11"/>
        <color theme="1"/>
        <rFont val="Calibri"/>
        <family val="2"/>
        <scheme val="minor"/>
      </rPr>
      <t>57015</t>
    </r>
    <r>
      <rPr>
        <sz val="11"/>
        <color theme="1"/>
        <rFont val="Calibri"/>
        <family val="2"/>
        <scheme val="minor"/>
      </rPr>
      <t xml:space="preserve"> - Faith and Lifestyle
</t>
    </r>
    <r>
      <rPr>
        <b/>
        <sz val="11"/>
        <color theme="1"/>
        <rFont val="Calibri"/>
        <family val="2"/>
        <scheme val="minor"/>
      </rPr>
      <t>72201</t>
    </r>
    <r>
      <rPr>
        <sz val="11"/>
        <color theme="1"/>
        <rFont val="Calibri"/>
        <family val="2"/>
        <scheme val="minor"/>
      </rPr>
      <t xml:space="preserve"> - Family and Consumer Science-Comprehensive
</t>
    </r>
    <r>
      <rPr>
        <b/>
        <sz val="11"/>
        <color theme="1"/>
        <rFont val="Calibri"/>
        <family val="2"/>
        <scheme val="minor"/>
      </rPr>
      <t>72249</t>
    </r>
    <r>
      <rPr>
        <sz val="11"/>
        <color theme="1"/>
        <rFont val="Calibri"/>
        <family val="2"/>
        <scheme val="minor"/>
      </rPr>
      <t xml:space="preserve"> - Family and Consumer Science-Other
</t>
    </r>
    <r>
      <rPr>
        <b/>
        <sz val="11"/>
        <color theme="1"/>
        <rFont val="Calibri"/>
        <family val="2"/>
        <scheme val="minor"/>
      </rPr>
      <t>72208</t>
    </r>
    <r>
      <rPr>
        <sz val="11"/>
        <color theme="1"/>
        <rFont val="Calibri"/>
        <family val="2"/>
        <scheme val="minor"/>
      </rPr>
      <t xml:space="preserve"> - Family Living
</t>
    </r>
    <r>
      <rPr>
        <b/>
        <sz val="11"/>
        <color theme="1"/>
        <rFont val="Calibri"/>
        <family val="2"/>
        <scheme val="minor"/>
      </rPr>
      <t>56520</t>
    </r>
    <r>
      <rPr>
        <sz val="11"/>
        <color theme="1"/>
        <rFont val="Calibri"/>
        <family val="2"/>
        <scheme val="minor"/>
      </rPr>
      <t xml:space="preserve"> - Filipino
</t>
    </r>
    <r>
      <rPr>
        <b/>
        <sz val="11"/>
        <color theme="1"/>
        <rFont val="Calibri"/>
        <family val="2"/>
        <scheme val="minor"/>
      </rPr>
      <t>55168</t>
    </r>
    <r>
      <rPr>
        <sz val="11"/>
        <color theme="1"/>
        <rFont val="Calibri"/>
        <family val="2"/>
        <scheme val="minor"/>
      </rPr>
      <t xml:space="preserve"> - Film/Videotape
</t>
    </r>
    <r>
      <rPr>
        <b/>
        <sz val="11"/>
        <color theme="1"/>
        <rFont val="Calibri"/>
        <family val="2"/>
        <scheme val="minor"/>
      </rPr>
      <t>62147</t>
    </r>
    <r>
      <rPr>
        <sz val="11"/>
        <color theme="1"/>
        <rFont val="Calibri"/>
        <family val="2"/>
        <scheme val="minor"/>
      </rPr>
      <t xml:space="preserve"> - Finance-Independent Study
</t>
    </r>
    <r>
      <rPr>
        <b/>
        <sz val="11"/>
        <color theme="1"/>
        <rFont val="Calibri"/>
        <family val="2"/>
        <scheme val="minor"/>
      </rPr>
      <t>55997</t>
    </r>
    <r>
      <rPr>
        <sz val="11"/>
        <color theme="1"/>
        <rFont val="Calibri"/>
        <family val="2"/>
        <scheme val="minor"/>
      </rPr>
      <t xml:space="preserve"> - Fine and Performing Arts-Independent Study
</t>
    </r>
    <r>
      <rPr>
        <b/>
        <sz val="11"/>
        <color theme="1"/>
        <rFont val="Calibri"/>
        <family val="2"/>
        <scheme val="minor"/>
      </rPr>
      <t>55999</t>
    </r>
    <r>
      <rPr>
        <sz val="11"/>
        <color theme="1"/>
        <rFont val="Calibri"/>
        <family val="2"/>
        <scheme val="minor"/>
      </rPr>
      <t xml:space="preserve"> - Fine and Performing Arts-Other
</t>
    </r>
    <r>
      <rPr>
        <b/>
        <sz val="11"/>
        <color theme="1"/>
        <rFont val="Calibri"/>
        <family val="2"/>
        <scheme val="minor"/>
      </rPr>
      <t>58005</t>
    </r>
    <r>
      <rPr>
        <sz val="11"/>
        <color theme="1"/>
        <rFont val="Calibri"/>
        <family val="2"/>
        <scheme val="minor"/>
      </rPr>
      <t xml:space="preserve"> - Fitness/Conditioning Activities
</t>
    </r>
    <r>
      <rPr>
        <b/>
        <sz val="11"/>
        <color theme="1"/>
        <rFont val="Calibri"/>
        <family val="2"/>
        <scheme val="minor"/>
      </rPr>
      <t>72202</t>
    </r>
    <r>
      <rPr>
        <sz val="11"/>
        <color theme="1"/>
        <rFont val="Calibri"/>
        <family val="2"/>
        <scheme val="minor"/>
      </rPr>
      <t xml:space="preserve"> - Food and Nutrition
</t>
    </r>
    <r>
      <rPr>
        <b/>
        <sz val="11"/>
        <color theme="1"/>
        <rFont val="Calibri"/>
        <family val="2"/>
        <scheme val="minor"/>
      </rPr>
      <t>72203</t>
    </r>
    <r>
      <rPr>
        <sz val="11"/>
        <color theme="1"/>
        <rFont val="Calibri"/>
        <family val="2"/>
        <scheme val="minor"/>
      </rPr>
      <t xml:space="preserve"> - Food Science
</t>
    </r>
    <r>
      <rPr>
        <b/>
        <sz val="11"/>
        <color theme="1"/>
        <rFont val="Calibri"/>
        <family val="2"/>
        <scheme val="minor"/>
      </rPr>
      <t>56028</t>
    </r>
    <r>
      <rPr>
        <sz val="11"/>
        <color theme="1"/>
        <rFont val="Calibri"/>
        <family val="2"/>
        <scheme val="minor"/>
      </rPr>
      <t xml:space="preserve"> - Foreign Language (early childhood education)
</t>
    </r>
    <r>
      <rPr>
        <b/>
        <sz val="11"/>
        <color theme="1"/>
        <rFont val="Calibri"/>
        <family val="2"/>
        <scheme val="minor"/>
      </rPr>
      <t>56031</t>
    </r>
    <r>
      <rPr>
        <sz val="11"/>
        <color theme="1"/>
        <rFont val="Calibri"/>
        <family val="2"/>
        <scheme val="minor"/>
      </rPr>
      <t xml:space="preserve"> - Foreign Language (grade 1)
</t>
    </r>
    <r>
      <rPr>
        <b/>
        <sz val="11"/>
        <color theme="1"/>
        <rFont val="Calibri"/>
        <family val="2"/>
        <scheme val="minor"/>
      </rPr>
      <t>56032</t>
    </r>
    <r>
      <rPr>
        <sz val="11"/>
        <color theme="1"/>
        <rFont val="Calibri"/>
        <family val="2"/>
        <scheme val="minor"/>
      </rPr>
      <t xml:space="preserve"> - Foreign Language (grade 2)
</t>
    </r>
    <r>
      <rPr>
        <b/>
        <sz val="11"/>
        <color theme="1"/>
        <rFont val="Calibri"/>
        <family val="2"/>
        <scheme val="minor"/>
      </rPr>
      <t>56033</t>
    </r>
    <r>
      <rPr>
        <sz val="11"/>
        <color theme="1"/>
        <rFont val="Calibri"/>
        <family val="2"/>
        <scheme val="minor"/>
      </rPr>
      <t xml:space="preserve"> - Foreign Language (grade 3)
</t>
    </r>
    <r>
      <rPr>
        <b/>
        <sz val="11"/>
        <color theme="1"/>
        <rFont val="Calibri"/>
        <family val="2"/>
        <scheme val="minor"/>
      </rPr>
      <t>56034</t>
    </r>
    <r>
      <rPr>
        <sz val="11"/>
        <color theme="1"/>
        <rFont val="Calibri"/>
        <family val="2"/>
        <scheme val="minor"/>
      </rPr>
      <t xml:space="preserve"> - Foreign Language (grade 4)
</t>
    </r>
    <r>
      <rPr>
        <b/>
        <sz val="11"/>
        <color theme="1"/>
        <rFont val="Calibri"/>
        <family val="2"/>
        <scheme val="minor"/>
      </rPr>
      <t>56035</t>
    </r>
    <r>
      <rPr>
        <sz val="11"/>
        <color theme="1"/>
        <rFont val="Calibri"/>
        <family val="2"/>
        <scheme val="minor"/>
      </rPr>
      <t xml:space="preserve"> - Foreign Language (grade 5)
</t>
    </r>
    <r>
      <rPr>
        <b/>
        <sz val="11"/>
        <color theme="1"/>
        <rFont val="Calibri"/>
        <family val="2"/>
        <scheme val="minor"/>
      </rPr>
      <t>56036</t>
    </r>
    <r>
      <rPr>
        <sz val="11"/>
        <color theme="1"/>
        <rFont val="Calibri"/>
        <family val="2"/>
        <scheme val="minor"/>
      </rPr>
      <t xml:space="preserve"> - Foreign Language (grade 6)
</t>
    </r>
    <r>
      <rPr>
        <b/>
        <sz val="11"/>
        <color theme="1"/>
        <rFont val="Calibri"/>
        <family val="2"/>
        <scheme val="minor"/>
      </rPr>
      <t>56037</t>
    </r>
    <r>
      <rPr>
        <sz val="11"/>
        <color theme="1"/>
        <rFont val="Calibri"/>
        <family val="2"/>
        <scheme val="minor"/>
      </rPr>
      <t xml:space="preserve"> - Foreign Language (grade 7)
</t>
    </r>
    <r>
      <rPr>
        <b/>
        <sz val="11"/>
        <color theme="1"/>
        <rFont val="Calibri"/>
        <family val="2"/>
        <scheme val="minor"/>
      </rPr>
      <t>56038</t>
    </r>
    <r>
      <rPr>
        <sz val="11"/>
        <color theme="1"/>
        <rFont val="Calibri"/>
        <family val="2"/>
        <scheme val="minor"/>
      </rPr>
      <t xml:space="preserve"> - Foreign Language (grade 8)
</t>
    </r>
    <r>
      <rPr>
        <b/>
        <sz val="11"/>
        <color theme="1"/>
        <rFont val="Calibri"/>
        <family val="2"/>
        <scheme val="minor"/>
      </rPr>
      <t>56030</t>
    </r>
    <r>
      <rPr>
        <sz val="11"/>
        <color theme="1"/>
        <rFont val="Calibri"/>
        <family val="2"/>
        <scheme val="minor"/>
      </rPr>
      <t xml:space="preserve"> - Foreign Language (kindergarten)
</t>
    </r>
    <r>
      <rPr>
        <b/>
        <sz val="11"/>
        <color theme="1"/>
        <rFont val="Calibri"/>
        <family val="2"/>
        <scheme val="minor"/>
      </rPr>
      <t>56029</t>
    </r>
    <r>
      <rPr>
        <sz val="11"/>
        <color theme="1"/>
        <rFont val="Calibri"/>
        <family val="2"/>
        <scheme val="minor"/>
      </rPr>
      <t xml:space="preserve"> - Foreign Language (pre-kindergarten)
</t>
    </r>
    <r>
      <rPr>
        <b/>
        <sz val="11"/>
        <color theme="1"/>
        <rFont val="Calibri"/>
        <family val="2"/>
        <scheme val="minor"/>
      </rPr>
      <t>56039</t>
    </r>
    <r>
      <rPr>
        <sz val="11"/>
        <color theme="1"/>
        <rFont val="Calibri"/>
        <family val="2"/>
        <scheme val="minor"/>
      </rPr>
      <t xml:space="preserve"> - Foreign Language
</t>
    </r>
    <r>
      <rPr>
        <b/>
        <sz val="11"/>
        <color theme="1"/>
        <rFont val="Calibri"/>
        <family val="2"/>
        <scheme val="minor"/>
      </rPr>
      <t>56997</t>
    </r>
    <r>
      <rPr>
        <sz val="11"/>
        <color theme="1"/>
        <rFont val="Calibri"/>
        <family val="2"/>
        <scheme val="minor"/>
      </rPr>
      <t xml:space="preserve"> - Foreign Language and Literature-Independent Study
</t>
    </r>
    <r>
      <rPr>
        <b/>
        <sz val="11"/>
        <color theme="1"/>
        <rFont val="Calibri"/>
        <family val="2"/>
        <scheme val="minor"/>
      </rPr>
      <t>56999</t>
    </r>
    <r>
      <rPr>
        <sz val="11"/>
        <color theme="1"/>
        <rFont val="Calibri"/>
        <family val="2"/>
        <scheme val="minor"/>
      </rPr>
      <t xml:space="preserve"> - Foreign Language and Literature-Other
</t>
    </r>
    <r>
      <rPr>
        <b/>
        <sz val="11"/>
        <color theme="1"/>
        <rFont val="Calibri"/>
        <family val="2"/>
        <scheme val="minor"/>
      </rPr>
      <t>52047</t>
    </r>
    <r>
      <rPr>
        <sz val="11"/>
        <color theme="1"/>
        <rFont val="Calibri"/>
        <family val="2"/>
        <scheme val="minor"/>
      </rPr>
      <t xml:space="preserve"> - Foundation Math-Independent Study
</t>
    </r>
    <r>
      <rPr>
        <b/>
        <sz val="11"/>
        <color theme="1"/>
        <rFont val="Calibri"/>
        <family val="2"/>
        <scheme val="minor"/>
      </rPr>
      <t>52049</t>
    </r>
    <r>
      <rPr>
        <sz val="11"/>
        <color theme="1"/>
        <rFont val="Calibri"/>
        <family val="2"/>
        <scheme val="minor"/>
      </rPr>
      <t xml:space="preserve"> - Foundation Math-Other
</t>
    </r>
    <r>
      <rPr>
        <b/>
        <sz val="11"/>
        <color theme="1"/>
        <rFont val="Calibri"/>
        <family val="2"/>
        <scheme val="minor"/>
      </rPr>
      <t>56120</t>
    </r>
    <r>
      <rPr>
        <sz val="11"/>
        <color theme="1"/>
        <rFont val="Calibri"/>
        <family val="2"/>
        <scheme val="minor"/>
      </rPr>
      <t xml:space="preserve"> - French
</t>
    </r>
    <r>
      <rPr>
        <b/>
        <sz val="11"/>
        <color theme="1"/>
        <rFont val="Calibri"/>
        <family val="2"/>
        <scheme val="minor"/>
      </rPr>
      <t>55101</t>
    </r>
    <r>
      <rPr>
        <sz val="11"/>
        <color theme="1"/>
        <rFont val="Calibri"/>
        <family val="2"/>
        <scheme val="minor"/>
      </rPr>
      <t xml:space="preserve"> - General Band
</t>
    </r>
    <r>
      <rPr>
        <b/>
        <sz val="11"/>
        <color theme="1"/>
        <rFont val="Calibri"/>
        <family val="2"/>
        <scheme val="minor"/>
      </rPr>
      <t>52002</t>
    </r>
    <r>
      <rPr>
        <sz val="11"/>
        <color theme="1"/>
        <rFont val="Calibri"/>
        <family val="2"/>
        <scheme val="minor"/>
      </rPr>
      <t xml:space="preserve"> - General Math
</t>
    </r>
    <r>
      <rPr>
        <b/>
        <sz val="11"/>
        <color theme="1"/>
        <rFont val="Calibri"/>
        <family val="2"/>
        <scheme val="minor"/>
      </rPr>
      <t>54047</t>
    </r>
    <r>
      <rPr>
        <sz val="11"/>
        <color theme="1"/>
        <rFont val="Calibri"/>
        <family val="2"/>
        <scheme val="minor"/>
      </rPr>
      <t xml:space="preserve"> - Geography-Independent Study
</t>
    </r>
    <r>
      <rPr>
        <b/>
        <sz val="11"/>
        <color theme="1"/>
        <rFont val="Calibri"/>
        <family val="2"/>
        <scheme val="minor"/>
      </rPr>
      <t>52072</t>
    </r>
    <r>
      <rPr>
        <sz val="11"/>
        <color theme="1"/>
        <rFont val="Calibri"/>
        <family val="2"/>
        <scheme val="minor"/>
      </rPr>
      <t xml:space="preserve"> - Geometry
</t>
    </r>
    <r>
      <rPr>
        <b/>
        <sz val="11"/>
        <color theme="1"/>
        <rFont val="Calibri"/>
        <family val="2"/>
        <scheme val="minor"/>
      </rPr>
      <t>52079</t>
    </r>
    <r>
      <rPr>
        <sz val="11"/>
        <color theme="1"/>
        <rFont val="Calibri"/>
        <family val="2"/>
        <scheme val="minor"/>
      </rPr>
      <t xml:space="preserve"> - Geometry-Other
</t>
    </r>
    <r>
      <rPr>
        <b/>
        <sz val="11"/>
        <color theme="1"/>
        <rFont val="Calibri"/>
        <family val="2"/>
        <scheme val="minor"/>
      </rPr>
      <t>56200</t>
    </r>
    <r>
      <rPr>
        <sz val="11"/>
        <color theme="1"/>
        <rFont val="Calibri"/>
        <family val="2"/>
        <scheme val="minor"/>
      </rPr>
      <t xml:space="preserve"> - German
</t>
    </r>
    <r>
      <rPr>
        <b/>
        <sz val="11"/>
        <color theme="1"/>
        <rFont val="Calibri"/>
        <family val="2"/>
        <scheme val="minor"/>
      </rPr>
      <t>54197</t>
    </r>
    <r>
      <rPr>
        <sz val="11"/>
        <color theme="1"/>
        <rFont val="Calibri"/>
        <family val="2"/>
        <scheme val="minor"/>
      </rPr>
      <t xml:space="preserve"> - Government, Politics, and Law-Independent Study
</t>
    </r>
    <r>
      <rPr>
        <b/>
        <sz val="11"/>
        <color theme="1"/>
        <rFont val="Calibri"/>
        <family val="2"/>
        <scheme val="minor"/>
      </rPr>
      <t>54199</t>
    </r>
    <r>
      <rPr>
        <sz val="11"/>
        <color theme="1"/>
        <rFont val="Calibri"/>
        <family val="2"/>
        <scheme val="minor"/>
      </rPr>
      <t xml:space="preserve"> - Government, Politics, and Law-Other
</t>
    </r>
    <r>
      <rPr>
        <b/>
        <sz val="11"/>
        <color theme="1"/>
        <rFont val="Calibri"/>
        <family val="2"/>
        <scheme val="minor"/>
      </rPr>
      <t>73031</t>
    </r>
    <r>
      <rPr>
        <sz val="11"/>
        <color theme="1"/>
        <rFont val="Calibri"/>
        <family val="2"/>
        <scheme val="minor"/>
      </rPr>
      <t xml:space="preserve"> - Grade 1
</t>
    </r>
    <r>
      <rPr>
        <b/>
        <sz val="11"/>
        <color theme="1"/>
        <rFont val="Calibri"/>
        <family val="2"/>
        <scheme val="minor"/>
      </rPr>
      <t>73032</t>
    </r>
    <r>
      <rPr>
        <sz val="11"/>
        <color theme="1"/>
        <rFont val="Calibri"/>
        <family val="2"/>
        <scheme val="minor"/>
      </rPr>
      <t xml:space="preserve"> - Grade 2
</t>
    </r>
    <r>
      <rPr>
        <b/>
        <sz val="11"/>
        <color theme="1"/>
        <rFont val="Calibri"/>
        <family val="2"/>
        <scheme val="minor"/>
      </rPr>
      <t>73033</t>
    </r>
    <r>
      <rPr>
        <sz val="11"/>
        <color theme="1"/>
        <rFont val="Calibri"/>
        <family val="2"/>
        <scheme val="minor"/>
      </rPr>
      <t xml:space="preserve"> - Grade 3
</t>
    </r>
    <r>
      <rPr>
        <b/>
        <sz val="11"/>
        <color theme="1"/>
        <rFont val="Calibri"/>
        <family val="2"/>
        <scheme val="minor"/>
      </rPr>
      <t>73034</t>
    </r>
    <r>
      <rPr>
        <sz val="11"/>
        <color theme="1"/>
        <rFont val="Calibri"/>
        <family val="2"/>
        <scheme val="minor"/>
      </rPr>
      <t xml:space="preserve"> - Grade 4
</t>
    </r>
    <r>
      <rPr>
        <b/>
        <sz val="11"/>
        <color theme="1"/>
        <rFont val="Calibri"/>
        <family val="2"/>
        <scheme val="minor"/>
      </rPr>
      <t>73035</t>
    </r>
    <r>
      <rPr>
        <sz val="11"/>
        <color theme="1"/>
        <rFont val="Calibri"/>
        <family val="2"/>
        <scheme val="minor"/>
      </rPr>
      <t xml:space="preserve"> - Grade 5
</t>
    </r>
    <r>
      <rPr>
        <b/>
        <sz val="11"/>
        <color theme="1"/>
        <rFont val="Calibri"/>
        <family val="2"/>
        <scheme val="minor"/>
      </rPr>
      <t>73036</t>
    </r>
    <r>
      <rPr>
        <sz val="11"/>
        <color theme="1"/>
        <rFont val="Calibri"/>
        <family val="2"/>
        <scheme val="minor"/>
      </rPr>
      <t xml:space="preserve"> - Grade 6
</t>
    </r>
    <r>
      <rPr>
        <b/>
        <sz val="11"/>
        <color theme="1"/>
        <rFont val="Calibri"/>
        <family val="2"/>
        <scheme val="minor"/>
      </rPr>
      <t>73037</t>
    </r>
    <r>
      <rPr>
        <sz val="11"/>
        <color theme="1"/>
        <rFont val="Calibri"/>
        <family val="2"/>
        <scheme val="minor"/>
      </rPr>
      <t xml:space="preserve"> - Grade 7
</t>
    </r>
    <r>
      <rPr>
        <b/>
        <sz val="11"/>
        <color theme="1"/>
        <rFont val="Calibri"/>
        <family val="2"/>
        <scheme val="minor"/>
      </rPr>
      <t>73038</t>
    </r>
    <r>
      <rPr>
        <sz val="11"/>
        <color theme="1"/>
        <rFont val="Calibri"/>
        <family val="2"/>
        <scheme val="minor"/>
      </rPr>
      <t xml:space="preserve"> - Grade 8
</t>
    </r>
    <r>
      <rPr>
        <b/>
        <sz val="11"/>
        <color theme="1"/>
        <rFont val="Calibri"/>
        <family val="2"/>
        <scheme val="minor"/>
      </rPr>
      <t>56280</t>
    </r>
    <r>
      <rPr>
        <sz val="11"/>
        <color theme="1"/>
        <rFont val="Calibri"/>
        <family val="2"/>
        <scheme val="minor"/>
      </rPr>
      <t xml:space="preserve"> - Greek
</t>
    </r>
    <r>
      <rPr>
        <b/>
        <sz val="11"/>
        <color theme="1"/>
        <rFont val="Calibri"/>
        <family val="2"/>
        <scheme val="minor"/>
      </rPr>
      <t>58008</t>
    </r>
    <r>
      <rPr>
        <sz val="11"/>
        <color theme="1"/>
        <rFont val="Calibri"/>
        <family val="2"/>
        <scheme val="minor"/>
      </rPr>
      <t xml:space="preserve"> - Gymnastics
</t>
    </r>
    <r>
      <rPr>
        <b/>
        <sz val="11"/>
        <color theme="1"/>
        <rFont val="Calibri"/>
        <family val="2"/>
        <scheme val="minor"/>
      </rPr>
      <t>58052</t>
    </r>
    <r>
      <rPr>
        <sz val="11"/>
        <color theme="1"/>
        <rFont val="Calibri"/>
        <family val="2"/>
        <scheme val="minor"/>
      </rPr>
      <t xml:space="preserve"> - Health and Fitness
</t>
    </r>
    <r>
      <rPr>
        <b/>
        <sz val="11"/>
        <color theme="1"/>
        <rFont val="Calibri"/>
        <family val="2"/>
        <scheme val="minor"/>
      </rPr>
      <t>58057</t>
    </r>
    <r>
      <rPr>
        <sz val="11"/>
        <color theme="1"/>
        <rFont val="Calibri"/>
        <family val="2"/>
        <scheme val="minor"/>
      </rPr>
      <t xml:space="preserve"> - Health and Life Management
</t>
    </r>
    <r>
      <rPr>
        <b/>
        <sz val="11"/>
        <color theme="1"/>
        <rFont val="Calibri"/>
        <family val="2"/>
        <scheme val="minor"/>
      </rPr>
      <t>64002</t>
    </r>
    <r>
      <rPr>
        <sz val="11"/>
        <color theme="1"/>
        <rFont val="Calibri"/>
        <family val="2"/>
        <scheme val="minor"/>
      </rPr>
      <t xml:space="preserve"> - Health Care Occupations-Comprehensive
</t>
    </r>
    <r>
      <rPr>
        <b/>
        <sz val="11"/>
        <color theme="1"/>
        <rFont val="Calibri"/>
        <family val="2"/>
        <scheme val="minor"/>
      </rPr>
      <t>64997</t>
    </r>
    <r>
      <rPr>
        <sz val="11"/>
        <color theme="1"/>
        <rFont val="Calibri"/>
        <family val="2"/>
        <scheme val="minor"/>
      </rPr>
      <t xml:space="preserve"> - Health Care Sciences-Independent Study
</t>
    </r>
    <r>
      <rPr>
        <b/>
        <sz val="11"/>
        <color theme="1"/>
        <rFont val="Calibri"/>
        <family val="2"/>
        <scheme val="minor"/>
      </rPr>
      <t>64999</t>
    </r>
    <r>
      <rPr>
        <sz val="11"/>
        <color theme="1"/>
        <rFont val="Calibri"/>
        <family val="2"/>
        <scheme val="minor"/>
      </rPr>
      <t xml:space="preserve"> - Health Care Sciences-Other
</t>
    </r>
    <r>
      <rPr>
        <b/>
        <sz val="11"/>
        <color theme="1"/>
        <rFont val="Calibri"/>
        <family val="2"/>
        <scheme val="minor"/>
      </rPr>
      <t>58051</t>
    </r>
    <r>
      <rPr>
        <sz val="11"/>
        <color theme="1"/>
        <rFont val="Calibri"/>
        <family val="2"/>
        <scheme val="minor"/>
      </rPr>
      <t xml:space="preserve"> - Health Education
</t>
    </r>
    <r>
      <rPr>
        <b/>
        <sz val="11"/>
        <color theme="1"/>
        <rFont val="Calibri"/>
        <family val="2"/>
        <scheme val="minor"/>
      </rPr>
      <t>58097</t>
    </r>
    <r>
      <rPr>
        <sz val="11"/>
        <color theme="1"/>
        <rFont val="Calibri"/>
        <family val="2"/>
        <scheme val="minor"/>
      </rPr>
      <t xml:space="preserve"> - Health Education-Independent Study
</t>
    </r>
    <r>
      <rPr>
        <b/>
        <sz val="11"/>
        <color theme="1"/>
        <rFont val="Calibri"/>
        <family val="2"/>
        <scheme val="minor"/>
      </rPr>
      <t>56700</t>
    </r>
    <r>
      <rPr>
        <sz val="11"/>
        <color theme="1"/>
        <rFont val="Calibri"/>
        <family val="2"/>
        <scheme val="minor"/>
      </rPr>
      <t xml:space="preserve"> - Hebrew
</t>
    </r>
    <r>
      <rPr>
        <b/>
        <sz val="11"/>
        <color theme="1"/>
        <rFont val="Calibri"/>
        <family val="2"/>
        <scheme val="minor"/>
      </rPr>
      <t>52991</t>
    </r>
    <r>
      <rPr>
        <sz val="11"/>
        <color theme="1"/>
        <rFont val="Calibri"/>
        <family val="2"/>
        <scheme val="minor"/>
      </rPr>
      <t xml:space="preserve"> - History of Math
</t>
    </r>
    <r>
      <rPr>
        <b/>
        <sz val="11"/>
        <color theme="1"/>
        <rFont val="Calibri"/>
        <family val="2"/>
        <scheme val="minor"/>
      </rPr>
      <t>66997</t>
    </r>
    <r>
      <rPr>
        <sz val="11"/>
        <color theme="1"/>
        <rFont val="Calibri"/>
        <family val="2"/>
        <scheme val="minor"/>
      </rPr>
      <t xml:space="preserve"> - Hospitality and Tourism-Independent Study
</t>
    </r>
    <r>
      <rPr>
        <b/>
        <sz val="11"/>
        <color theme="1"/>
        <rFont val="Calibri"/>
        <family val="2"/>
        <scheme val="minor"/>
      </rPr>
      <t>66999</t>
    </r>
    <r>
      <rPr>
        <sz val="11"/>
        <color theme="1"/>
        <rFont val="Calibri"/>
        <family val="2"/>
        <scheme val="minor"/>
      </rPr>
      <t xml:space="preserve"> - Hospitality and Tourism-Other
</t>
    </r>
    <r>
      <rPr>
        <b/>
        <sz val="11"/>
        <color theme="1"/>
        <rFont val="Calibri"/>
        <family val="2"/>
        <scheme val="minor"/>
      </rPr>
      <t>69001</t>
    </r>
    <r>
      <rPr>
        <sz val="11"/>
        <color theme="1"/>
        <rFont val="Calibri"/>
        <family val="2"/>
        <scheme val="minor"/>
      </rPr>
      <t xml:space="preserve"> - Human Services Career Exploration
</t>
    </r>
    <r>
      <rPr>
        <b/>
        <sz val="11"/>
        <color theme="1"/>
        <rFont val="Calibri"/>
        <family val="2"/>
        <scheme val="minor"/>
      </rPr>
      <t>69997</t>
    </r>
    <r>
      <rPr>
        <sz val="11"/>
        <color theme="1"/>
        <rFont val="Calibri"/>
        <family val="2"/>
        <scheme val="minor"/>
      </rPr>
      <t xml:space="preserve"> - Human Services-Independent Study
</t>
    </r>
    <r>
      <rPr>
        <b/>
        <sz val="11"/>
        <color theme="1"/>
        <rFont val="Calibri"/>
        <family val="2"/>
        <scheme val="minor"/>
      </rPr>
      <t>69999</t>
    </r>
    <r>
      <rPr>
        <sz val="11"/>
        <color theme="1"/>
        <rFont val="Calibri"/>
        <family val="2"/>
        <scheme val="minor"/>
      </rPr>
      <t xml:space="preserve"> - Human Services-Other
</t>
    </r>
    <r>
      <rPr>
        <b/>
        <sz val="11"/>
        <color theme="1"/>
        <rFont val="Calibri"/>
        <family val="2"/>
        <scheme val="minor"/>
      </rPr>
      <t>55202</t>
    </r>
    <r>
      <rPr>
        <sz val="11"/>
        <color theme="1"/>
        <rFont val="Calibri"/>
        <family val="2"/>
        <scheme val="minor"/>
      </rPr>
      <t xml:space="preserve"> - IB Arts, Middle Years Program
</t>
    </r>
    <r>
      <rPr>
        <b/>
        <sz val="11"/>
        <color theme="1"/>
        <rFont val="Calibri"/>
        <family val="2"/>
        <scheme val="minor"/>
      </rPr>
      <t>54171</t>
    </r>
    <r>
      <rPr>
        <sz val="11"/>
        <color theme="1"/>
        <rFont val="Calibri"/>
        <family val="2"/>
        <scheme val="minor"/>
      </rPr>
      <t xml:space="preserve"> - IB Humanities, Middle Years Program
</t>
    </r>
    <r>
      <rPr>
        <b/>
        <sz val="11"/>
        <color theme="1"/>
        <rFont val="Calibri"/>
        <family val="2"/>
        <scheme val="minor"/>
      </rPr>
      <t>51007</t>
    </r>
    <r>
      <rPr>
        <sz val="11"/>
        <color theme="1"/>
        <rFont val="Calibri"/>
        <family val="2"/>
        <scheme val="minor"/>
      </rPr>
      <t xml:space="preserve"> - IB Language A (English), Middle Years Program
</t>
    </r>
    <r>
      <rPr>
        <b/>
        <sz val="11"/>
        <color theme="1"/>
        <rFont val="Calibri"/>
        <family val="2"/>
        <scheme val="minor"/>
      </rPr>
      <t>56821</t>
    </r>
    <r>
      <rPr>
        <sz val="11"/>
        <color theme="1"/>
        <rFont val="Calibri"/>
        <family val="2"/>
        <scheme val="minor"/>
      </rPr>
      <t xml:space="preserve"> - IB Language B (American Indian Language), Middle Years Program
</t>
    </r>
    <r>
      <rPr>
        <b/>
        <sz val="11"/>
        <color theme="1"/>
        <rFont val="Calibri"/>
        <family val="2"/>
        <scheme val="minor"/>
      </rPr>
      <t>56801</t>
    </r>
    <r>
      <rPr>
        <sz val="11"/>
        <color theme="1"/>
        <rFont val="Calibri"/>
        <family val="2"/>
        <scheme val="minor"/>
      </rPr>
      <t xml:space="preserve"> - IB Language B (American Sign Language), Middle Years Program
</t>
    </r>
    <r>
      <rPr>
        <b/>
        <sz val="11"/>
        <color theme="1"/>
        <rFont val="Calibri"/>
        <family val="2"/>
        <scheme val="minor"/>
      </rPr>
      <t>56721</t>
    </r>
    <r>
      <rPr>
        <sz val="11"/>
        <color theme="1"/>
        <rFont val="Calibri"/>
        <family val="2"/>
        <scheme val="minor"/>
      </rPr>
      <t xml:space="preserve"> - IB Language B (Arabic), Middle Years Program
</t>
    </r>
    <r>
      <rPr>
        <b/>
        <sz val="11"/>
        <color theme="1"/>
        <rFont val="Calibri"/>
        <family val="2"/>
        <scheme val="minor"/>
      </rPr>
      <t>56401</t>
    </r>
    <r>
      <rPr>
        <sz val="11"/>
        <color theme="1"/>
        <rFont val="Calibri"/>
        <family val="2"/>
        <scheme val="minor"/>
      </rPr>
      <t xml:space="preserve"> - IB Language B (Chinese), Middle Years Program
</t>
    </r>
    <r>
      <rPr>
        <b/>
        <sz val="11"/>
        <color theme="1"/>
        <rFont val="Calibri"/>
        <family val="2"/>
        <scheme val="minor"/>
      </rPr>
      <t>56521</t>
    </r>
    <r>
      <rPr>
        <sz val="11"/>
        <color theme="1"/>
        <rFont val="Calibri"/>
        <family val="2"/>
        <scheme val="minor"/>
      </rPr>
      <t xml:space="preserve"> - IB Language B (Filipino), Middle Years Program
</t>
    </r>
    <r>
      <rPr>
        <b/>
        <sz val="11"/>
        <color theme="1"/>
        <rFont val="Calibri"/>
        <family val="2"/>
        <scheme val="minor"/>
      </rPr>
      <t>56121</t>
    </r>
    <r>
      <rPr>
        <sz val="11"/>
        <color theme="1"/>
        <rFont val="Calibri"/>
        <family val="2"/>
        <scheme val="minor"/>
      </rPr>
      <t xml:space="preserve"> - IB Language B (French), Middle Years Program
</t>
    </r>
    <r>
      <rPr>
        <b/>
        <sz val="11"/>
        <color theme="1"/>
        <rFont val="Calibri"/>
        <family val="2"/>
        <scheme val="minor"/>
      </rPr>
      <t>56201</t>
    </r>
    <r>
      <rPr>
        <sz val="11"/>
        <color theme="1"/>
        <rFont val="Calibri"/>
        <family val="2"/>
        <scheme val="minor"/>
      </rPr>
      <t xml:space="preserve"> - IB Language B (German), Middle Years Program
</t>
    </r>
    <r>
      <rPr>
        <b/>
        <sz val="11"/>
        <color theme="1"/>
        <rFont val="Calibri"/>
        <family val="2"/>
        <scheme val="minor"/>
      </rPr>
      <t>56281</t>
    </r>
    <r>
      <rPr>
        <sz val="11"/>
        <color theme="1"/>
        <rFont val="Calibri"/>
        <family val="2"/>
        <scheme val="minor"/>
      </rPr>
      <t xml:space="preserve"> - IB Language B (Greek), Middle Years Program
</t>
    </r>
    <r>
      <rPr>
        <b/>
        <sz val="11"/>
        <color theme="1"/>
        <rFont val="Calibri"/>
        <family val="2"/>
        <scheme val="minor"/>
      </rPr>
      <t>56701</t>
    </r>
    <r>
      <rPr>
        <sz val="11"/>
        <color theme="1"/>
        <rFont val="Calibri"/>
        <family val="2"/>
        <scheme val="minor"/>
      </rPr>
      <t xml:space="preserve"> - IB Language B (Hebrew), Middle Years Program
</t>
    </r>
    <r>
      <rPr>
        <b/>
        <sz val="11"/>
        <color theme="1"/>
        <rFont val="Calibri"/>
        <family val="2"/>
        <scheme val="minor"/>
      </rPr>
      <t>56141</t>
    </r>
    <r>
      <rPr>
        <sz val="11"/>
        <color theme="1"/>
        <rFont val="Calibri"/>
        <family val="2"/>
        <scheme val="minor"/>
      </rPr>
      <t xml:space="preserve"> - IB Language B (Italian), Middle Years Program
</t>
    </r>
    <r>
      <rPr>
        <b/>
        <sz val="11"/>
        <color theme="1"/>
        <rFont val="Calibri"/>
        <family val="2"/>
        <scheme val="minor"/>
      </rPr>
      <t>56421</t>
    </r>
    <r>
      <rPr>
        <sz val="11"/>
        <color theme="1"/>
        <rFont val="Calibri"/>
        <family val="2"/>
        <scheme val="minor"/>
      </rPr>
      <t xml:space="preserve"> - IB Language B (Japanese), Middle Years Program
</t>
    </r>
    <r>
      <rPr>
        <b/>
        <sz val="11"/>
        <color theme="1"/>
        <rFont val="Calibri"/>
        <family val="2"/>
        <scheme val="minor"/>
      </rPr>
      <t>56441</t>
    </r>
    <r>
      <rPr>
        <sz val="11"/>
        <color theme="1"/>
        <rFont val="Calibri"/>
        <family val="2"/>
        <scheme val="minor"/>
      </rPr>
      <t xml:space="preserve"> - IB Language B (Korean), Middle Years Program
</t>
    </r>
    <r>
      <rPr>
        <b/>
        <sz val="11"/>
        <color theme="1"/>
        <rFont val="Calibri"/>
        <family val="2"/>
        <scheme val="minor"/>
      </rPr>
      <t>56161</t>
    </r>
    <r>
      <rPr>
        <sz val="11"/>
        <color theme="1"/>
        <rFont val="Calibri"/>
        <family val="2"/>
        <scheme val="minor"/>
      </rPr>
      <t xml:space="preserve"> - IB Language B (Portuguese), Middle Years Program
</t>
    </r>
    <r>
      <rPr>
        <b/>
        <sz val="11"/>
        <color theme="1"/>
        <rFont val="Calibri"/>
        <family val="2"/>
        <scheme val="minor"/>
      </rPr>
      <t>56601</t>
    </r>
    <r>
      <rPr>
        <sz val="11"/>
        <color theme="1"/>
        <rFont val="Calibri"/>
        <family val="2"/>
        <scheme val="minor"/>
      </rPr>
      <t xml:space="preserve"> - IB Language B (Russian), Middle Years Program
</t>
    </r>
    <r>
      <rPr>
        <b/>
        <sz val="11"/>
        <color theme="1"/>
        <rFont val="Calibri"/>
        <family val="2"/>
        <scheme val="minor"/>
      </rPr>
      <t>56101</t>
    </r>
    <r>
      <rPr>
        <sz val="11"/>
        <color theme="1"/>
        <rFont val="Calibri"/>
        <family val="2"/>
        <scheme val="minor"/>
      </rPr>
      <t xml:space="preserve"> - IB Language B (Spanish), Middle Years Program
</t>
    </r>
    <r>
      <rPr>
        <b/>
        <sz val="11"/>
        <color theme="1"/>
        <rFont val="Calibri"/>
        <family val="2"/>
        <scheme val="minor"/>
      </rPr>
      <t>56761</t>
    </r>
    <r>
      <rPr>
        <sz val="11"/>
        <color theme="1"/>
        <rFont val="Calibri"/>
        <family val="2"/>
        <scheme val="minor"/>
      </rPr>
      <t xml:space="preserve"> - IB Language B (Swahili), Middle Years Program
</t>
    </r>
    <r>
      <rPr>
        <b/>
        <sz val="11"/>
        <color theme="1"/>
        <rFont val="Calibri"/>
        <family val="2"/>
        <scheme val="minor"/>
      </rPr>
      <t>56501</t>
    </r>
    <r>
      <rPr>
        <sz val="11"/>
        <color theme="1"/>
        <rFont val="Calibri"/>
        <family val="2"/>
        <scheme val="minor"/>
      </rPr>
      <t xml:space="preserve"> - IB Language B (Vietnamese), Middle Years Program
</t>
    </r>
    <r>
      <rPr>
        <b/>
        <sz val="11"/>
        <color theme="1"/>
        <rFont val="Calibri"/>
        <family val="2"/>
        <scheme val="minor"/>
      </rPr>
      <t>52132</t>
    </r>
    <r>
      <rPr>
        <sz val="11"/>
        <color theme="1"/>
        <rFont val="Calibri"/>
        <family val="2"/>
        <scheme val="minor"/>
      </rPr>
      <t xml:space="preserve"> - IB Mathematics, Middle Years Program
</t>
    </r>
    <r>
      <rPr>
        <b/>
        <sz val="11"/>
        <color theme="1"/>
        <rFont val="Calibri"/>
        <family val="2"/>
        <scheme val="minor"/>
      </rPr>
      <t>72260</t>
    </r>
    <r>
      <rPr>
        <sz val="11"/>
        <color theme="1"/>
        <rFont val="Calibri"/>
        <family val="2"/>
        <scheme val="minor"/>
      </rPr>
      <t xml:space="preserve"> - IB Personal Project, Middle Years Program
</t>
    </r>
    <r>
      <rPr>
        <b/>
        <sz val="11"/>
        <color theme="1"/>
        <rFont val="Calibri"/>
        <family val="2"/>
        <scheme val="minor"/>
      </rPr>
      <t>58040</t>
    </r>
    <r>
      <rPr>
        <sz val="11"/>
        <color theme="1"/>
        <rFont val="Calibri"/>
        <family val="2"/>
        <scheme val="minor"/>
      </rPr>
      <t xml:space="preserve"> - IB Physical Education, Middle Years Program
</t>
    </r>
    <r>
      <rPr>
        <b/>
        <sz val="11"/>
        <color theme="1"/>
        <rFont val="Calibri"/>
        <family val="2"/>
        <scheme val="minor"/>
      </rPr>
      <t>73041</t>
    </r>
    <r>
      <rPr>
        <sz val="11"/>
        <color theme="1"/>
        <rFont val="Calibri"/>
        <family val="2"/>
        <scheme val="minor"/>
      </rPr>
      <t xml:space="preserve"> - IB Primary Years Program
</t>
    </r>
    <r>
      <rPr>
        <b/>
        <sz val="11"/>
        <color theme="1"/>
        <rFont val="Calibri"/>
        <family val="2"/>
        <scheme val="minor"/>
      </rPr>
      <t>53203</t>
    </r>
    <r>
      <rPr>
        <sz val="11"/>
        <color theme="1"/>
        <rFont val="Calibri"/>
        <family val="2"/>
        <scheme val="minor"/>
      </rPr>
      <t xml:space="preserve"> - IB Sciences, Middle Years Program
</t>
    </r>
    <r>
      <rPr>
        <b/>
        <sz val="11"/>
        <color theme="1"/>
        <rFont val="Calibri"/>
        <family val="2"/>
        <scheme val="minor"/>
      </rPr>
      <t>71052</t>
    </r>
    <r>
      <rPr>
        <sz val="11"/>
        <color theme="1"/>
        <rFont val="Calibri"/>
        <family val="2"/>
        <scheme val="minor"/>
      </rPr>
      <t xml:space="preserve"> - IB Technology, Middle Years Program
</t>
    </r>
    <r>
      <rPr>
        <b/>
        <sz val="11"/>
        <color theme="1"/>
        <rFont val="Calibri"/>
        <family val="2"/>
        <scheme val="minor"/>
      </rPr>
      <t>58003</t>
    </r>
    <r>
      <rPr>
        <sz val="11"/>
        <color theme="1"/>
        <rFont val="Calibri"/>
        <family val="2"/>
        <scheme val="minor"/>
      </rPr>
      <t xml:space="preserve"> - Individual/Dual Sports
</t>
    </r>
    <r>
      <rPr>
        <b/>
        <sz val="11"/>
        <color theme="1"/>
        <rFont val="Calibri"/>
        <family val="2"/>
        <scheme val="minor"/>
      </rPr>
      <t>63003</t>
    </r>
    <r>
      <rPr>
        <sz val="11"/>
        <color theme="1"/>
        <rFont val="Calibri"/>
        <family val="2"/>
        <scheme val="minor"/>
      </rPr>
      <t xml:space="preserve"> - Industrial Arts
</t>
    </r>
    <r>
      <rPr>
        <b/>
        <sz val="11"/>
        <color theme="1"/>
        <rFont val="Calibri"/>
        <family val="2"/>
        <scheme val="minor"/>
      </rPr>
      <t>52071</t>
    </r>
    <r>
      <rPr>
        <sz val="11"/>
        <color theme="1"/>
        <rFont val="Calibri"/>
        <family val="2"/>
        <scheme val="minor"/>
      </rPr>
      <t xml:space="preserve"> - Informal Geometry
</t>
    </r>
    <r>
      <rPr>
        <b/>
        <sz val="11"/>
        <color theme="1"/>
        <rFont val="Calibri"/>
        <family val="2"/>
        <scheme val="minor"/>
      </rPr>
      <t>52001</t>
    </r>
    <r>
      <rPr>
        <sz val="11"/>
        <color theme="1"/>
        <rFont val="Calibri"/>
        <family val="2"/>
        <scheme val="minor"/>
      </rPr>
      <t xml:space="preserve"> - Informal Mathematics
</t>
    </r>
    <r>
      <rPr>
        <b/>
        <sz val="11"/>
        <color theme="1"/>
        <rFont val="Calibri"/>
        <family val="2"/>
        <scheme val="minor"/>
      </rPr>
      <t>55106</t>
    </r>
    <r>
      <rPr>
        <sz val="11"/>
        <color theme="1"/>
        <rFont val="Calibri"/>
        <family val="2"/>
        <scheme val="minor"/>
      </rPr>
      <t xml:space="preserve"> - Instrumental Ensembles
</t>
    </r>
    <r>
      <rPr>
        <b/>
        <sz val="11"/>
        <color theme="1"/>
        <rFont val="Calibri"/>
        <family val="2"/>
        <scheme val="minor"/>
      </rPr>
      <t>55201</t>
    </r>
    <r>
      <rPr>
        <sz val="11"/>
        <color theme="1"/>
        <rFont val="Calibri"/>
        <family val="2"/>
        <scheme val="minor"/>
      </rPr>
      <t xml:space="preserve"> - Integrated Fine Arts
</t>
    </r>
    <r>
      <rPr>
        <b/>
        <sz val="11"/>
        <color theme="1"/>
        <rFont val="Calibri"/>
        <family val="2"/>
        <scheme val="minor"/>
      </rPr>
      <t>52061</t>
    </r>
    <r>
      <rPr>
        <sz val="11"/>
        <color theme="1"/>
        <rFont val="Calibri"/>
        <family val="2"/>
        <scheme val="minor"/>
      </rPr>
      <t xml:space="preserve"> - Integrated Math-Multiyear Equivalent
</t>
    </r>
    <r>
      <rPr>
        <b/>
        <sz val="11"/>
        <color theme="1"/>
        <rFont val="Calibri"/>
        <family val="2"/>
        <scheme val="minor"/>
      </rPr>
      <t>53201</t>
    </r>
    <r>
      <rPr>
        <sz val="11"/>
        <color theme="1"/>
        <rFont val="Calibri"/>
        <family val="2"/>
        <scheme val="minor"/>
      </rPr>
      <t xml:space="preserve"> - Integrated Science
</t>
    </r>
    <r>
      <rPr>
        <b/>
        <sz val="11"/>
        <color theme="1"/>
        <rFont val="Calibri"/>
        <family val="2"/>
        <scheme val="minor"/>
      </rPr>
      <t>60203</t>
    </r>
    <r>
      <rPr>
        <sz val="11"/>
        <color theme="1"/>
        <rFont val="Calibri"/>
        <family val="2"/>
        <scheme val="minor"/>
      </rPr>
      <t xml:space="preserve"> - Interactive Media
</t>
    </r>
    <r>
      <rPr>
        <b/>
        <sz val="11"/>
        <color theme="1"/>
        <rFont val="Calibri"/>
        <family val="2"/>
        <scheme val="minor"/>
      </rPr>
      <t>68001</t>
    </r>
    <r>
      <rPr>
        <sz val="11"/>
        <color theme="1"/>
        <rFont val="Calibri"/>
        <family val="2"/>
        <scheme val="minor"/>
      </rPr>
      <t xml:space="preserve"> - Introduction to Agriculture and Natural Resources
</t>
    </r>
    <r>
      <rPr>
        <b/>
        <sz val="11"/>
        <color theme="1"/>
        <rFont val="Calibri"/>
        <family val="2"/>
        <scheme val="minor"/>
      </rPr>
      <t>61001</t>
    </r>
    <r>
      <rPr>
        <sz val="11"/>
        <color theme="1"/>
        <rFont val="Calibri"/>
        <family val="2"/>
        <scheme val="minor"/>
      </rPr>
      <t xml:space="preserve"> - Introduction to Communication
</t>
    </r>
    <r>
      <rPr>
        <b/>
        <sz val="11"/>
        <color theme="1"/>
        <rFont val="Calibri"/>
        <family val="2"/>
        <scheme val="minor"/>
      </rPr>
      <t>60001</t>
    </r>
    <r>
      <rPr>
        <sz val="11"/>
        <color theme="1"/>
        <rFont val="Calibri"/>
        <family val="2"/>
        <scheme val="minor"/>
      </rPr>
      <t xml:space="preserve"> - Introduction to Computers
</t>
    </r>
    <r>
      <rPr>
        <b/>
        <sz val="11"/>
        <color theme="1"/>
        <rFont val="Calibri"/>
        <family val="2"/>
        <scheme val="minor"/>
      </rPr>
      <t>55051</t>
    </r>
    <r>
      <rPr>
        <sz val="11"/>
        <color theme="1"/>
        <rFont val="Calibri"/>
        <family val="2"/>
        <scheme val="minor"/>
      </rPr>
      <t xml:space="preserve"> - Introduction to the Theater
</t>
    </r>
    <r>
      <rPr>
        <b/>
        <sz val="11"/>
        <color theme="1"/>
        <rFont val="Calibri"/>
        <family val="2"/>
        <scheme val="minor"/>
      </rPr>
      <t>62051</t>
    </r>
    <r>
      <rPr>
        <sz val="11"/>
        <color theme="1"/>
        <rFont val="Calibri"/>
        <family val="2"/>
        <scheme val="minor"/>
      </rPr>
      <t xml:space="preserve"> - Introductory Business
</t>
    </r>
    <r>
      <rPr>
        <b/>
        <sz val="11"/>
        <color theme="1"/>
        <rFont val="Calibri"/>
        <family val="2"/>
        <scheme val="minor"/>
      </rPr>
      <t>56140</t>
    </r>
    <r>
      <rPr>
        <sz val="11"/>
        <color theme="1"/>
        <rFont val="Calibri"/>
        <family val="2"/>
        <scheme val="minor"/>
      </rPr>
      <t xml:space="preserve"> - Italian
</t>
    </r>
    <r>
      <rPr>
        <b/>
        <sz val="11"/>
        <color theme="1"/>
        <rFont val="Calibri"/>
        <family val="2"/>
        <scheme val="minor"/>
      </rPr>
      <t>56420</t>
    </r>
    <r>
      <rPr>
        <sz val="11"/>
        <color theme="1"/>
        <rFont val="Calibri"/>
        <family val="2"/>
        <scheme val="minor"/>
      </rPr>
      <t xml:space="preserve"> - Japanese
</t>
    </r>
    <r>
      <rPr>
        <b/>
        <sz val="11"/>
        <color theme="1"/>
        <rFont val="Calibri"/>
        <family val="2"/>
        <scheme val="minor"/>
      </rPr>
      <t>61101</t>
    </r>
    <r>
      <rPr>
        <sz val="11"/>
        <color theme="1"/>
        <rFont val="Calibri"/>
        <family val="2"/>
        <scheme val="minor"/>
      </rPr>
      <t xml:space="preserve"> - Journalism
</t>
    </r>
    <r>
      <rPr>
        <b/>
        <sz val="11"/>
        <color theme="1"/>
        <rFont val="Calibri"/>
        <family val="2"/>
        <scheme val="minor"/>
      </rPr>
      <t>61147</t>
    </r>
    <r>
      <rPr>
        <sz val="11"/>
        <color theme="1"/>
        <rFont val="Calibri"/>
        <family val="2"/>
        <scheme val="minor"/>
      </rPr>
      <t xml:space="preserve"> - Journalism and Broadcasting-Independent Study
</t>
    </r>
    <r>
      <rPr>
        <b/>
        <sz val="11"/>
        <color theme="1"/>
        <rFont val="Calibri"/>
        <family val="2"/>
        <scheme val="minor"/>
      </rPr>
      <t>61149</t>
    </r>
    <r>
      <rPr>
        <sz val="11"/>
        <color theme="1"/>
        <rFont val="Calibri"/>
        <family val="2"/>
        <scheme val="minor"/>
      </rPr>
      <t xml:space="preserve"> - Journalism and Broadcasting-Other
</t>
    </r>
    <r>
      <rPr>
        <b/>
        <sz val="11"/>
        <color theme="1"/>
        <rFont val="Calibri"/>
        <family val="2"/>
        <scheme val="minor"/>
      </rPr>
      <t>62005</t>
    </r>
    <r>
      <rPr>
        <sz val="11"/>
        <color theme="1"/>
        <rFont val="Calibri"/>
        <family val="2"/>
        <scheme val="minor"/>
      </rPr>
      <t xml:space="preserve"> - Keyboarding
</t>
    </r>
    <r>
      <rPr>
        <b/>
        <sz val="11"/>
        <color theme="1"/>
        <rFont val="Calibri"/>
        <family val="2"/>
        <scheme val="minor"/>
      </rPr>
      <t>73030</t>
    </r>
    <r>
      <rPr>
        <sz val="11"/>
        <color theme="1"/>
        <rFont val="Calibri"/>
        <family val="2"/>
        <scheme val="minor"/>
      </rPr>
      <t xml:space="preserve"> - Kindergarten
</t>
    </r>
    <r>
      <rPr>
        <b/>
        <sz val="11"/>
        <color theme="1"/>
        <rFont val="Calibri"/>
        <family val="2"/>
        <scheme val="minor"/>
      </rPr>
      <t>56440</t>
    </r>
    <r>
      <rPr>
        <sz val="11"/>
        <color theme="1"/>
        <rFont val="Calibri"/>
        <family val="2"/>
        <scheme val="minor"/>
      </rPr>
      <t xml:space="preserve"> - Korean
</t>
    </r>
    <r>
      <rPr>
        <b/>
        <sz val="11"/>
        <color theme="1"/>
        <rFont val="Calibri"/>
        <family val="2"/>
        <scheme val="minor"/>
      </rPr>
      <t>51026</t>
    </r>
    <r>
      <rPr>
        <sz val="11"/>
        <color theme="1"/>
        <rFont val="Calibri"/>
        <family val="2"/>
        <scheme val="minor"/>
      </rPr>
      <t xml:space="preserve"> - Language Arts (early childhood education)
</t>
    </r>
    <r>
      <rPr>
        <b/>
        <sz val="11"/>
        <color theme="1"/>
        <rFont val="Calibri"/>
        <family val="2"/>
        <scheme val="minor"/>
      </rPr>
      <t>51029</t>
    </r>
    <r>
      <rPr>
        <sz val="11"/>
        <color theme="1"/>
        <rFont val="Calibri"/>
        <family val="2"/>
        <scheme val="minor"/>
      </rPr>
      <t xml:space="preserve"> - Language Arts (grade 1)
</t>
    </r>
    <r>
      <rPr>
        <b/>
        <sz val="11"/>
        <color theme="1"/>
        <rFont val="Calibri"/>
        <family val="2"/>
        <scheme val="minor"/>
      </rPr>
      <t>51030</t>
    </r>
    <r>
      <rPr>
        <sz val="11"/>
        <color theme="1"/>
        <rFont val="Calibri"/>
        <family val="2"/>
        <scheme val="minor"/>
      </rPr>
      <t xml:space="preserve"> - Language Arts (grade 2)
</t>
    </r>
    <r>
      <rPr>
        <b/>
        <sz val="11"/>
        <color theme="1"/>
        <rFont val="Calibri"/>
        <family val="2"/>
        <scheme val="minor"/>
      </rPr>
      <t>51031</t>
    </r>
    <r>
      <rPr>
        <sz val="11"/>
        <color theme="1"/>
        <rFont val="Calibri"/>
        <family val="2"/>
        <scheme val="minor"/>
      </rPr>
      <t xml:space="preserve"> - Language Arts (grade 3)
</t>
    </r>
    <r>
      <rPr>
        <b/>
        <sz val="11"/>
        <color theme="1"/>
        <rFont val="Calibri"/>
        <family val="2"/>
        <scheme val="minor"/>
      </rPr>
      <t>51032</t>
    </r>
    <r>
      <rPr>
        <sz val="11"/>
        <color theme="1"/>
        <rFont val="Calibri"/>
        <family val="2"/>
        <scheme val="minor"/>
      </rPr>
      <t xml:space="preserve"> - Language Arts (grade 4)
</t>
    </r>
    <r>
      <rPr>
        <b/>
        <sz val="11"/>
        <color theme="1"/>
        <rFont val="Calibri"/>
        <family val="2"/>
        <scheme val="minor"/>
      </rPr>
      <t>51033</t>
    </r>
    <r>
      <rPr>
        <sz val="11"/>
        <color theme="1"/>
        <rFont val="Calibri"/>
        <family val="2"/>
        <scheme val="minor"/>
      </rPr>
      <t xml:space="preserve"> - Language Arts (grade 5)
</t>
    </r>
    <r>
      <rPr>
        <b/>
        <sz val="11"/>
        <color theme="1"/>
        <rFont val="Calibri"/>
        <family val="2"/>
        <scheme val="minor"/>
      </rPr>
      <t>51034</t>
    </r>
    <r>
      <rPr>
        <sz val="11"/>
        <color theme="1"/>
        <rFont val="Calibri"/>
        <family val="2"/>
        <scheme val="minor"/>
      </rPr>
      <t xml:space="preserve"> - Language Arts (grade 6)
</t>
    </r>
    <r>
      <rPr>
        <b/>
        <sz val="11"/>
        <color theme="1"/>
        <rFont val="Calibri"/>
        <family val="2"/>
        <scheme val="minor"/>
      </rPr>
      <t>51035</t>
    </r>
    <r>
      <rPr>
        <sz val="11"/>
        <color theme="1"/>
        <rFont val="Calibri"/>
        <family val="2"/>
        <scheme val="minor"/>
      </rPr>
      <t xml:space="preserve"> - Language Arts (grade 7)
</t>
    </r>
    <r>
      <rPr>
        <b/>
        <sz val="11"/>
        <color theme="1"/>
        <rFont val="Calibri"/>
        <family val="2"/>
        <scheme val="minor"/>
      </rPr>
      <t>51036</t>
    </r>
    <r>
      <rPr>
        <sz val="11"/>
        <color theme="1"/>
        <rFont val="Calibri"/>
        <family val="2"/>
        <scheme val="minor"/>
      </rPr>
      <t xml:space="preserve"> - Language Arts (grade 8)
</t>
    </r>
    <r>
      <rPr>
        <b/>
        <sz val="11"/>
        <color theme="1"/>
        <rFont val="Calibri"/>
        <family val="2"/>
        <scheme val="minor"/>
      </rPr>
      <t>51028</t>
    </r>
    <r>
      <rPr>
        <sz val="11"/>
        <color theme="1"/>
        <rFont val="Calibri"/>
        <family val="2"/>
        <scheme val="minor"/>
      </rPr>
      <t xml:space="preserve"> - Language Arts (kindergarten)
</t>
    </r>
    <r>
      <rPr>
        <b/>
        <sz val="11"/>
        <color theme="1"/>
        <rFont val="Calibri"/>
        <family val="2"/>
        <scheme val="minor"/>
      </rPr>
      <t>51027</t>
    </r>
    <r>
      <rPr>
        <sz val="11"/>
        <color theme="1"/>
        <rFont val="Calibri"/>
        <family val="2"/>
        <scheme val="minor"/>
      </rPr>
      <t xml:space="preserve"> - Language Arts (pre-kindergarten)
</t>
    </r>
    <r>
      <rPr>
        <b/>
        <sz val="11"/>
        <color theme="1"/>
        <rFont val="Calibri"/>
        <family val="2"/>
        <scheme val="minor"/>
      </rPr>
      <t>51037</t>
    </r>
    <r>
      <rPr>
        <sz val="11"/>
        <color theme="1"/>
        <rFont val="Calibri"/>
        <family val="2"/>
        <scheme val="minor"/>
      </rPr>
      <t xml:space="preserve"> - Language Arts
</t>
    </r>
    <r>
      <rPr>
        <b/>
        <sz val="11"/>
        <color theme="1"/>
        <rFont val="Calibri"/>
        <family val="2"/>
        <scheme val="minor"/>
      </rPr>
      <t>51009</t>
    </r>
    <r>
      <rPr>
        <sz val="11"/>
        <color theme="1"/>
        <rFont val="Calibri"/>
        <family val="2"/>
        <scheme val="minor"/>
      </rPr>
      <t xml:space="preserve"> - Language Arts Laboratory
</t>
    </r>
    <r>
      <rPr>
        <b/>
        <sz val="11"/>
        <color theme="1"/>
        <rFont val="Calibri"/>
        <family val="2"/>
        <scheme val="minor"/>
      </rPr>
      <t>51991</t>
    </r>
    <r>
      <rPr>
        <sz val="11"/>
        <color theme="1"/>
        <rFont val="Calibri"/>
        <family val="2"/>
        <scheme val="minor"/>
      </rPr>
      <t xml:space="preserve"> - Language Arts Laboratory
</t>
    </r>
    <r>
      <rPr>
        <b/>
        <sz val="11"/>
        <color theme="1"/>
        <rFont val="Calibri"/>
        <family val="2"/>
        <scheme val="minor"/>
      </rPr>
      <t>56300</t>
    </r>
    <r>
      <rPr>
        <sz val="11"/>
        <color theme="1"/>
        <rFont val="Calibri"/>
        <family val="2"/>
        <scheme val="minor"/>
      </rPr>
      <t xml:space="preserve"> - Latin
</t>
    </r>
    <r>
      <rPr>
        <b/>
        <sz val="11"/>
        <color theme="1"/>
        <rFont val="Calibri"/>
        <family val="2"/>
        <scheme val="minor"/>
      </rPr>
      <t>72101</t>
    </r>
    <r>
      <rPr>
        <sz val="11"/>
        <color theme="1"/>
        <rFont val="Calibri"/>
        <family val="2"/>
        <scheme val="minor"/>
      </rPr>
      <t xml:space="preserve"> - Leadership
</t>
    </r>
    <r>
      <rPr>
        <b/>
        <sz val="11"/>
        <color theme="1"/>
        <rFont val="Calibri"/>
        <family val="2"/>
        <scheme val="minor"/>
      </rPr>
      <t>53997</t>
    </r>
    <r>
      <rPr>
        <sz val="11"/>
        <color theme="1"/>
        <rFont val="Calibri"/>
        <family val="2"/>
        <scheme val="minor"/>
      </rPr>
      <t xml:space="preserve"> - Life and Physical Sciences-Independent Study
</t>
    </r>
    <r>
      <rPr>
        <b/>
        <sz val="11"/>
        <color theme="1"/>
        <rFont val="Calibri"/>
        <family val="2"/>
        <scheme val="minor"/>
      </rPr>
      <t>53999</t>
    </r>
    <r>
      <rPr>
        <sz val="11"/>
        <color theme="1"/>
        <rFont val="Calibri"/>
        <family val="2"/>
        <scheme val="minor"/>
      </rPr>
      <t xml:space="preserve"> - Life and Physical Sciences-Other
</t>
    </r>
    <r>
      <rPr>
        <b/>
        <sz val="11"/>
        <color theme="1"/>
        <rFont val="Calibri"/>
        <family val="2"/>
        <scheme val="minor"/>
      </rPr>
      <t>53994</t>
    </r>
    <r>
      <rPr>
        <sz val="11"/>
        <color theme="1"/>
        <rFont val="Calibri"/>
        <family val="2"/>
        <scheme val="minor"/>
      </rPr>
      <t xml:space="preserve"> - Life and Physical Sciences-Proficiency Development
</t>
    </r>
    <r>
      <rPr>
        <b/>
        <sz val="11"/>
        <color theme="1"/>
        <rFont val="Calibri"/>
        <family val="2"/>
        <scheme val="minor"/>
      </rPr>
      <t>53996</t>
    </r>
    <r>
      <rPr>
        <sz val="11"/>
        <color theme="1"/>
        <rFont val="Calibri"/>
        <family val="2"/>
        <scheme val="minor"/>
      </rPr>
      <t xml:space="preserve"> - Life and Physical Sciences-Supplemental
</t>
    </r>
    <r>
      <rPr>
        <b/>
        <sz val="11"/>
        <color theme="1"/>
        <rFont val="Calibri"/>
        <family val="2"/>
        <scheme val="minor"/>
      </rPr>
      <t>53158</t>
    </r>
    <r>
      <rPr>
        <sz val="11"/>
        <color theme="1"/>
        <rFont val="Calibri"/>
        <family val="2"/>
        <scheme val="minor"/>
      </rPr>
      <t xml:space="preserve"> - Life Science
</t>
    </r>
    <r>
      <rPr>
        <b/>
        <sz val="11"/>
        <color theme="1"/>
        <rFont val="Calibri"/>
        <family val="2"/>
        <scheme val="minor"/>
      </rPr>
      <t>72206</t>
    </r>
    <r>
      <rPr>
        <sz val="11"/>
        <color theme="1"/>
        <rFont val="Calibri"/>
        <family val="2"/>
        <scheme val="minor"/>
      </rPr>
      <t xml:space="preserve"> - Life Skills
</t>
    </r>
    <r>
      <rPr>
        <b/>
        <sz val="11"/>
        <color theme="1"/>
        <rFont val="Calibri"/>
        <family val="2"/>
        <scheme val="minor"/>
      </rPr>
      <t>58016</t>
    </r>
    <r>
      <rPr>
        <sz val="11"/>
        <color theme="1"/>
        <rFont val="Calibri"/>
        <family val="2"/>
        <scheme val="minor"/>
      </rPr>
      <t xml:space="preserve"> - Lifetime Fitness Education
</t>
    </r>
    <r>
      <rPr>
        <b/>
        <sz val="11"/>
        <color theme="1"/>
        <rFont val="Calibri"/>
        <family val="2"/>
        <scheme val="minor"/>
      </rPr>
      <t>51053</t>
    </r>
    <r>
      <rPr>
        <sz val="11"/>
        <color theme="1"/>
        <rFont val="Calibri"/>
        <family val="2"/>
        <scheme val="minor"/>
      </rPr>
      <t xml:space="preserve"> - Literature
</t>
    </r>
    <r>
      <rPr>
        <b/>
        <sz val="11"/>
        <color theme="1"/>
        <rFont val="Calibri"/>
        <family val="2"/>
        <scheme val="minor"/>
      </rPr>
      <t>51097</t>
    </r>
    <r>
      <rPr>
        <sz val="11"/>
        <color theme="1"/>
        <rFont val="Calibri"/>
        <family val="2"/>
        <scheme val="minor"/>
      </rPr>
      <t xml:space="preserve"> - Literature-Independent Study
</t>
    </r>
    <r>
      <rPr>
        <b/>
        <sz val="11"/>
        <color theme="1"/>
        <rFont val="Calibri"/>
        <family val="2"/>
        <scheme val="minor"/>
      </rPr>
      <t>51099</t>
    </r>
    <r>
      <rPr>
        <sz val="11"/>
        <color theme="1"/>
        <rFont val="Calibri"/>
        <family val="2"/>
        <scheme val="minor"/>
      </rPr>
      <t xml:space="preserve"> - Literature-Other
</t>
    </r>
    <r>
      <rPr>
        <b/>
        <sz val="11"/>
        <color theme="1"/>
        <rFont val="Calibri"/>
        <family val="2"/>
        <scheme val="minor"/>
      </rPr>
      <t>62097</t>
    </r>
    <r>
      <rPr>
        <sz val="11"/>
        <color theme="1"/>
        <rFont val="Calibri"/>
        <family val="2"/>
        <scheme val="minor"/>
      </rPr>
      <t xml:space="preserve"> - Management-Independent Study
</t>
    </r>
    <r>
      <rPr>
        <b/>
        <sz val="11"/>
        <color theme="1"/>
        <rFont val="Calibri"/>
        <family val="2"/>
        <scheme val="minor"/>
      </rPr>
      <t>63997</t>
    </r>
    <r>
      <rPr>
        <sz val="11"/>
        <color theme="1"/>
        <rFont val="Calibri"/>
        <family val="2"/>
        <scheme val="minor"/>
      </rPr>
      <t xml:space="preserve"> - Manufacturing-Independent Study
</t>
    </r>
    <r>
      <rPr>
        <b/>
        <sz val="11"/>
        <color theme="1"/>
        <rFont val="Calibri"/>
        <family val="2"/>
        <scheme val="minor"/>
      </rPr>
      <t>63999</t>
    </r>
    <r>
      <rPr>
        <sz val="11"/>
        <color theme="1"/>
        <rFont val="Calibri"/>
        <family val="2"/>
        <scheme val="minor"/>
      </rPr>
      <t xml:space="preserve"> - Manufacturing-Other
</t>
    </r>
    <r>
      <rPr>
        <b/>
        <sz val="11"/>
        <color theme="1"/>
        <rFont val="Calibri"/>
        <family val="2"/>
        <scheme val="minor"/>
      </rPr>
      <t>55103</t>
    </r>
    <r>
      <rPr>
        <sz val="11"/>
        <color theme="1"/>
        <rFont val="Calibri"/>
        <family val="2"/>
        <scheme val="minor"/>
      </rPr>
      <t xml:space="preserve"> - Marching Band
</t>
    </r>
    <r>
      <rPr>
        <b/>
        <sz val="11"/>
        <color theme="1"/>
        <rFont val="Calibri"/>
        <family val="2"/>
        <scheme val="minor"/>
      </rPr>
      <t>62151</t>
    </r>
    <r>
      <rPr>
        <sz val="11"/>
        <color theme="1"/>
        <rFont val="Calibri"/>
        <family val="2"/>
        <scheme val="minor"/>
      </rPr>
      <t xml:space="preserve"> - Marketing Career Exploration
</t>
    </r>
    <r>
      <rPr>
        <b/>
        <sz val="11"/>
        <color theme="1"/>
        <rFont val="Calibri"/>
        <family val="2"/>
        <scheme val="minor"/>
      </rPr>
      <t>62152</t>
    </r>
    <r>
      <rPr>
        <sz val="11"/>
        <color theme="1"/>
        <rFont val="Calibri"/>
        <family val="2"/>
        <scheme val="minor"/>
      </rPr>
      <t xml:space="preserve"> - Marketing-Comprehensive
</t>
    </r>
    <r>
      <rPr>
        <b/>
        <sz val="11"/>
        <color theme="1"/>
        <rFont val="Calibri"/>
        <family val="2"/>
        <scheme val="minor"/>
      </rPr>
      <t>62197</t>
    </r>
    <r>
      <rPr>
        <sz val="11"/>
        <color theme="1"/>
        <rFont val="Calibri"/>
        <family val="2"/>
        <scheme val="minor"/>
      </rPr>
      <t xml:space="preserve"> - Marketing-Independent Study
</t>
    </r>
    <r>
      <rPr>
        <b/>
        <sz val="11"/>
        <color theme="1"/>
        <rFont val="Calibri"/>
        <family val="2"/>
        <scheme val="minor"/>
      </rPr>
      <t>63052</t>
    </r>
    <r>
      <rPr>
        <sz val="11"/>
        <color theme="1"/>
        <rFont val="Calibri"/>
        <family val="2"/>
        <scheme val="minor"/>
      </rPr>
      <t xml:space="preserve"> - Material and Processes
</t>
    </r>
    <r>
      <rPr>
        <b/>
        <sz val="11"/>
        <color theme="1"/>
        <rFont val="Calibri"/>
        <family val="2"/>
        <scheme val="minor"/>
      </rPr>
      <t>52028</t>
    </r>
    <r>
      <rPr>
        <sz val="11"/>
        <color theme="1"/>
        <rFont val="Calibri"/>
        <family val="2"/>
        <scheme val="minor"/>
      </rPr>
      <t xml:space="preserve"> - Mathematics (early childhood education)
</t>
    </r>
    <r>
      <rPr>
        <b/>
        <sz val="11"/>
        <color theme="1"/>
        <rFont val="Calibri"/>
        <family val="2"/>
        <scheme val="minor"/>
      </rPr>
      <t>52031</t>
    </r>
    <r>
      <rPr>
        <sz val="11"/>
        <color theme="1"/>
        <rFont val="Calibri"/>
        <family val="2"/>
        <scheme val="minor"/>
      </rPr>
      <t xml:space="preserve"> - Mathematics (grade 1)
</t>
    </r>
    <r>
      <rPr>
        <b/>
        <sz val="11"/>
        <color theme="1"/>
        <rFont val="Calibri"/>
        <family val="2"/>
        <scheme val="minor"/>
      </rPr>
      <t>52032</t>
    </r>
    <r>
      <rPr>
        <sz val="11"/>
        <color theme="1"/>
        <rFont val="Calibri"/>
        <family val="2"/>
        <scheme val="minor"/>
      </rPr>
      <t xml:space="preserve"> - Mathematics (grade 2)
</t>
    </r>
    <r>
      <rPr>
        <b/>
        <sz val="11"/>
        <color theme="1"/>
        <rFont val="Calibri"/>
        <family val="2"/>
        <scheme val="minor"/>
      </rPr>
      <t>52033</t>
    </r>
    <r>
      <rPr>
        <sz val="11"/>
        <color theme="1"/>
        <rFont val="Calibri"/>
        <family val="2"/>
        <scheme val="minor"/>
      </rPr>
      <t xml:space="preserve"> - Mathematics (grade 3)
</t>
    </r>
    <r>
      <rPr>
        <b/>
        <sz val="11"/>
        <color theme="1"/>
        <rFont val="Calibri"/>
        <family val="2"/>
        <scheme val="minor"/>
      </rPr>
      <t>52034</t>
    </r>
    <r>
      <rPr>
        <sz val="11"/>
        <color theme="1"/>
        <rFont val="Calibri"/>
        <family val="2"/>
        <scheme val="minor"/>
      </rPr>
      <t xml:space="preserve"> - Mathematics (grade 4)
</t>
    </r>
    <r>
      <rPr>
        <b/>
        <sz val="11"/>
        <color theme="1"/>
        <rFont val="Calibri"/>
        <family val="2"/>
        <scheme val="minor"/>
      </rPr>
      <t>52035</t>
    </r>
    <r>
      <rPr>
        <sz val="11"/>
        <color theme="1"/>
        <rFont val="Calibri"/>
        <family val="2"/>
        <scheme val="minor"/>
      </rPr>
      <t xml:space="preserve"> - Mathematics (grade 5)
</t>
    </r>
    <r>
      <rPr>
        <b/>
        <sz val="11"/>
        <color theme="1"/>
        <rFont val="Calibri"/>
        <family val="2"/>
        <scheme val="minor"/>
      </rPr>
      <t>52036</t>
    </r>
    <r>
      <rPr>
        <sz val="11"/>
        <color theme="1"/>
        <rFont val="Calibri"/>
        <family val="2"/>
        <scheme val="minor"/>
      </rPr>
      <t xml:space="preserve"> - Mathematics (grade 6)
</t>
    </r>
    <r>
      <rPr>
        <b/>
        <sz val="11"/>
        <color theme="1"/>
        <rFont val="Calibri"/>
        <family val="2"/>
        <scheme val="minor"/>
      </rPr>
      <t>52037</t>
    </r>
    <r>
      <rPr>
        <sz val="11"/>
        <color theme="1"/>
        <rFont val="Calibri"/>
        <family val="2"/>
        <scheme val="minor"/>
      </rPr>
      <t xml:space="preserve"> - Mathematics (grade 7)
</t>
    </r>
    <r>
      <rPr>
        <b/>
        <sz val="11"/>
        <color theme="1"/>
        <rFont val="Calibri"/>
        <family val="2"/>
        <scheme val="minor"/>
      </rPr>
      <t>52038</t>
    </r>
    <r>
      <rPr>
        <sz val="11"/>
        <color theme="1"/>
        <rFont val="Calibri"/>
        <family val="2"/>
        <scheme val="minor"/>
      </rPr>
      <t xml:space="preserve"> - Mathematics (grade 8)
</t>
    </r>
    <r>
      <rPr>
        <b/>
        <sz val="11"/>
        <color theme="1"/>
        <rFont val="Calibri"/>
        <family val="2"/>
        <scheme val="minor"/>
      </rPr>
      <t>52030</t>
    </r>
    <r>
      <rPr>
        <sz val="11"/>
        <color theme="1"/>
        <rFont val="Calibri"/>
        <family val="2"/>
        <scheme val="minor"/>
      </rPr>
      <t xml:space="preserve"> - Mathematics (kindergarten)
</t>
    </r>
    <r>
      <rPr>
        <b/>
        <sz val="11"/>
        <color theme="1"/>
        <rFont val="Calibri"/>
        <family val="2"/>
        <scheme val="minor"/>
      </rPr>
      <t>52029</t>
    </r>
    <r>
      <rPr>
        <sz val="11"/>
        <color theme="1"/>
        <rFont val="Calibri"/>
        <family val="2"/>
        <scheme val="minor"/>
      </rPr>
      <t xml:space="preserve"> - Mathematics (pre-kindergarten)
</t>
    </r>
    <r>
      <rPr>
        <b/>
        <sz val="11"/>
        <color theme="1"/>
        <rFont val="Calibri"/>
        <family val="2"/>
        <scheme val="minor"/>
      </rPr>
      <t>52039</t>
    </r>
    <r>
      <rPr>
        <sz val="11"/>
        <color theme="1"/>
        <rFont val="Calibri"/>
        <family val="2"/>
        <scheme val="minor"/>
      </rPr>
      <t xml:space="preserve"> - Mathematics
</t>
    </r>
    <r>
      <rPr>
        <b/>
        <sz val="11"/>
        <color theme="1"/>
        <rFont val="Calibri"/>
        <family val="2"/>
        <scheme val="minor"/>
      </rPr>
      <t>52994</t>
    </r>
    <r>
      <rPr>
        <sz val="11"/>
        <color theme="1"/>
        <rFont val="Calibri"/>
        <family val="2"/>
        <scheme val="minor"/>
      </rPr>
      <t xml:space="preserve"> - Mathematics Proficiency Development
</t>
    </r>
    <r>
      <rPr>
        <b/>
        <sz val="11"/>
        <color theme="1"/>
        <rFont val="Calibri"/>
        <family val="2"/>
        <scheme val="minor"/>
      </rPr>
      <t>52997</t>
    </r>
    <r>
      <rPr>
        <sz val="11"/>
        <color theme="1"/>
        <rFont val="Calibri"/>
        <family val="2"/>
        <scheme val="minor"/>
      </rPr>
      <t xml:space="preserve"> - Mathematics-Independent Study
</t>
    </r>
    <r>
      <rPr>
        <b/>
        <sz val="11"/>
        <color theme="1"/>
        <rFont val="Calibri"/>
        <family val="2"/>
        <scheme val="minor"/>
      </rPr>
      <t>52999</t>
    </r>
    <r>
      <rPr>
        <sz val="11"/>
        <color theme="1"/>
        <rFont val="Calibri"/>
        <family val="2"/>
        <scheme val="minor"/>
      </rPr>
      <t xml:space="preserve"> - Mathematics-Other
</t>
    </r>
    <r>
      <rPr>
        <b/>
        <sz val="11"/>
        <color theme="1"/>
        <rFont val="Calibri"/>
        <family val="2"/>
        <scheme val="minor"/>
      </rPr>
      <t>52996</t>
    </r>
    <r>
      <rPr>
        <sz val="11"/>
        <color theme="1"/>
        <rFont val="Calibri"/>
        <family val="2"/>
        <scheme val="minor"/>
      </rPr>
      <t xml:space="preserve"> - Mathematics-Supplemental
</t>
    </r>
    <r>
      <rPr>
        <b/>
        <sz val="11"/>
        <color theme="1"/>
        <rFont val="Calibri"/>
        <family val="2"/>
        <scheme val="minor"/>
      </rPr>
      <t>52993</t>
    </r>
    <r>
      <rPr>
        <sz val="11"/>
        <color theme="1"/>
        <rFont val="Calibri"/>
        <family val="2"/>
        <scheme val="minor"/>
      </rPr>
      <t xml:space="preserve"> - Mathematics-Test Preparation
</t>
    </r>
    <r>
      <rPr>
        <b/>
        <sz val="11"/>
        <color theme="1"/>
        <rFont val="Calibri"/>
        <family val="2"/>
        <scheme val="minor"/>
      </rPr>
      <t>60247</t>
    </r>
    <r>
      <rPr>
        <sz val="11"/>
        <color theme="1"/>
        <rFont val="Calibri"/>
        <family val="2"/>
        <scheme val="minor"/>
      </rPr>
      <t xml:space="preserve"> - Media Technology-Independent Study
</t>
    </r>
    <r>
      <rPr>
        <b/>
        <sz val="11"/>
        <color theme="1"/>
        <rFont val="Calibri"/>
        <family val="2"/>
        <scheme val="minor"/>
      </rPr>
      <t>72995</t>
    </r>
    <r>
      <rPr>
        <sz val="11"/>
        <color theme="1"/>
        <rFont val="Calibri"/>
        <family val="2"/>
        <scheme val="minor"/>
      </rPr>
      <t xml:space="preserve"> - Miscellaneous-Aide
</t>
    </r>
    <r>
      <rPr>
        <b/>
        <sz val="11"/>
        <color theme="1"/>
        <rFont val="Calibri"/>
        <family val="2"/>
        <scheme val="minor"/>
      </rPr>
      <t>72999</t>
    </r>
    <r>
      <rPr>
        <sz val="11"/>
        <color theme="1"/>
        <rFont val="Calibri"/>
        <family val="2"/>
        <scheme val="minor"/>
      </rPr>
      <t xml:space="preserve"> - Miscellaneous-Other
</t>
    </r>
    <r>
      <rPr>
        <b/>
        <sz val="11"/>
        <color theme="1"/>
        <rFont val="Calibri"/>
        <family val="2"/>
        <scheme val="minor"/>
      </rPr>
      <t>55128</t>
    </r>
    <r>
      <rPr>
        <sz val="11"/>
        <color theme="1"/>
        <rFont val="Calibri"/>
        <family val="2"/>
        <scheme val="minor"/>
      </rPr>
      <t xml:space="preserve"> - Music (early childhood education)
</t>
    </r>
    <r>
      <rPr>
        <b/>
        <sz val="11"/>
        <color theme="1"/>
        <rFont val="Calibri"/>
        <family val="2"/>
        <scheme val="minor"/>
      </rPr>
      <t>55131</t>
    </r>
    <r>
      <rPr>
        <sz val="11"/>
        <color theme="1"/>
        <rFont val="Calibri"/>
        <family val="2"/>
        <scheme val="minor"/>
      </rPr>
      <t xml:space="preserve"> - Music (grade 1)
</t>
    </r>
    <r>
      <rPr>
        <b/>
        <sz val="11"/>
        <color theme="1"/>
        <rFont val="Calibri"/>
        <family val="2"/>
        <scheme val="minor"/>
      </rPr>
      <t>55132</t>
    </r>
    <r>
      <rPr>
        <sz val="11"/>
        <color theme="1"/>
        <rFont val="Calibri"/>
        <family val="2"/>
        <scheme val="minor"/>
      </rPr>
      <t xml:space="preserve"> - Music (grade 2)
</t>
    </r>
    <r>
      <rPr>
        <b/>
        <sz val="11"/>
        <color theme="1"/>
        <rFont val="Calibri"/>
        <family val="2"/>
        <scheme val="minor"/>
      </rPr>
      <t>55133</t>
    </r>
    <r>
      <rPr>
        <sz val="11"/>
        <color theme="1"/>
        <rFont val="Calibri"/>
        <family val="2"/>
        <scheme val="minor"/>
      </rPr>
      <t xml:space="preserve"> - Music (grade 3)
</t>
    </r>
    <r>
      <rPr>
        <b/>
        <sz val="11"/>
        <color theme="1"/>
        <rFont val="Calibri"/>
        <family val="2"/>
        <scheme val="minor"/>
      </rPr>
      <t>55134</t>
    </r>
    <r>
      <rPr>
        <sz val="11"/>
        <color theme="1"/>
        <rFont val="Calibri"/>
        <family val="2"/>
        <scheme val="minor"/>
      </rPr>
      <t xml:space="preserve"> - Music (grade 4)
</t>
    </r>
    <r>
      <rPr>
        <b/>
        <sz val="11"/>
        <color theme="1"/>
        <rFont val="Calibri"/>
        <family val="2"/>
        <scheme val="minor"/>
      </rPr>
      <t>55135</t>
    </r>
    <r>
      <rPr>
        <sz val="11"/>
        <color theme="1"/>
        <rFont val="Calibri"/>
        <family val="2"/>
        <scheme val="minor"/>
      </rPr>
      <t xml:space="preserve"> - Music (grade 5)
</t>
    </r>
    <r>
      <rPr>
        <b/>
        <sz val="11"/>
        <color theme="1"/>
        <rFont val="Calibri"/>
        <family val="2"/>
        <scheme val="minor"/>
      </rPr>
      <t>55136</t>
    </r>
    <r>
      <rPr>
        <sz val="11"/>
        <color theme="1"/>
        <rFont val="Calibri"/>
        <family val="2"/>
        <scheme val="minor"/>
      </rPr>
      <t xml:space="preserve"> - Music (grade 6)
</t>
    </r>
    <r>
      <rPr>
        <b/>
        <sz val="11"/>
        <color theme="1"/>
        <rFont val="Calibri"/>
        <family val="2"/>
        <scheme val="minor"/>
      </rPr>
      <t>55137</t>
    </r>
    <r>
      <rPr>
        <sz val="11"/>
        <color theme="1"/>
        <rFont val="Calibri"/>
        <family val="2"/>
        <scheme val="minor"/>
      </rPr>
      <t xml:space="preserve"> - Music (grade 7)
</t>
    </r>
    <r>
      <rPr>
        <b/>
        <sz val="11"/>
        <color theme="1"/>
        <rFont val="Calibri"/>
        <family val="2"/>
        <scheme val="minor"/>
      </rPr>
      <t>55138</t>
    </r>
    <r>
      <rPr>
        <sz val="11"/>
        <color theme="1"/>
        <rFont val="Calibri"/>
        <family val="2"/>
        <scheme val="minor"/>
      </rPr>
      <t xml:space="preserve"> - Music (grade 8)
</t>
    </r>
    <r>
      <rPr>
        <b/>
        <sz val="11"/>
        <color theme="1"/>
        <rFont val="Calibri"/>
        <family val="2"/>
        <scheme val="minor"/>
      </rPr>
      <t>55130</t>
    </r>
    <r>
      <rPr>
        <sz val="11"/>
        <color theme="1"/>
        <rFont val="Calibri"/>
        <family val="2"/>
        <scheme val="minor"/>
      </rPr>
      <t xml:space="preserve"> - Music (kindergarten)
</t>
    </r>
    <r>
      <rPr>
        <b/>
        <sz val="11"/>
        <color theme="1"/>
        <rFont val="Calibri"/>
        <family val="2"/>
        <scheme val="minor"/>
      </rPr>
      <t>55129</t>
    </r>
    <r>
      <rPr>
        <sz val="11"/>
        <color theme="1"/>
        <rFont val="Calibri"/>
        <family val="2"/>
        <scheme val="minor"/>
      </rPr>
      <t xml:space="preserve"> - Music (pre-kindergarten)
</t>
    </r>
    <r>
      <rPr>
        <b/>
        <sz val="11"/>
        <color theme="1"/>
        <rFont val="Calibri"/>
        <family val="2"/>
        <scheme val="minor"/>
      </rPr>
      <t>55139</t>
    </r>
    <r>
      <rPr>
        <sz val="11"/>
        <color theme="1"/>
        <rFont val="Calibri"/>
        <family val="2"/>
        <scheme val="minor"/>
      </rPr>
      <t xml:space="preserve"> - Music
</t>
    </r>
    <r>
      <rPr>
        <b/>
        <sz val="11"/>
        <color theme="1"/>
        <rFont val="Calibri"/>
        <family val="2"/>
        <scheme val="minor"/>
      </rPr>
      <t>55118</t>
    </r>
    <r>
      <rPr>
        <sz val="11"/>
        <color theme="1"/>
        <rFont val="Calibri"/>
        <family val="2"/>
        <scheme val="minor"/>
      </rPr>
      <t xml:space="preserve"> - Music Appreciation
</t>
    </r>
    <r>
      <rPr>
        <b/>
        <sz val="11"/>
        <color theme="1"/>
        <rFont val="Calibri"/>
        <family val="2"/>
        <scheme val="minor"/>
      </rPr>
      <t>55116</t>
    </r>
    <r>
      <rPr>
        <sz val="11"/>
        <color theme="1"/>
        <rFont val="Calibri"/>
        <family val="2"/>
        <scheme val="minor"/>
      </rPr>
      <t xml:space="preserve"> - Music History/Appreciation
</t>
    </r>
    <r>
      <rPr>
        <b/>
        <sz val="11"/>
        <color theme="1"/>
        <rFont val="Calibri"/>
        <family val="2"/>
        <scheme val="minor"/>
      </rPr>
      <t>55147</t>
    </r>
    <r>
      <rPr>
        <sz val="11"/>
        <color theme="1"/>
        <rFont val="Calibri"/>
        <family val="2"/>
        <scheme val="minor"/>
      </rPr>
      <t xml:space="preserve"> - Music-Independent Study
</t>
    </r>
    <r>
      <rPr>
        <b/>
        <sz val="11"/>
        <color theme="1"/>
        <rFont val="Calibri"/>
        <family val="2"/>
        <scheme val="minor"/>
      </rPr>
      <t>55149</t>
    </r>
    <r>
      <rPr>
        <sz val="11"/>
        <color theme="1"/>
        <rFont val="Calibri"/>
        <family val="2"/>
        <scheme val="minor"/>
      </rPr>
      <t xml:space="preserve"> - Music-Other
</t>
    </r>
    <r>
      <rPr>
        <b/>
        <sz val="11"/>
        <color theme="1"/>
        <rFont val="Calibri"/>
        <family val="2"/>
        <scheme val="minor"/>
      </rPr>
      <t>57007</t>
    </r>
    <r>
      <rPr>
        <sz val="11"/>
        <color theme="1"/>
        <rFont val="Calibri"/>
        <family val="2"/>
        <scheme val="minor"/>
      </rPr>
      <t xml:space="preserve"> - New Testament
</t>
    </r>
    <r>
      <rPr>
        <b/>
        <sz val="11"/>
        <color theme="1"/>
        <rFont val="Calibri"/>
        <family val="2"/>
        <scheme val="minor"/>
      </rPr>
      <t>58015</t>
    </r>
    <r>
      <rPr>
        <sz val="11"/>
        <color theme="1"/>
        <rFont val="Calibri"/>
        <family val="2"/>
        <scheme val="minor"/>
      </rPr>
      <t xml:space="preserve"> - Off-Campus Sports
</t>
    </r>
    <r>
      <rPr>
        <b/>
        <sz val="11"/>
        <color theme="1"/>
        <rFont val="Calibri"/>
        <family val="2"/>
        <scheme val="minor"/>
      </rPr>
      <t>57006</t>
    </r>
    <r>
      <rPr>
        <sz val="11"/>
        <color theme="1"/>
        <rFont val="Calibri"/>
        <family val="2"/>
        <scheme val="minor"/>
      </rPr>
      <t xml:space="preserve"> - Old Testament
</t>
    </r>
    <r>
      <rPr>
        <b/>
        <sz val="11"/>
        <color theme="1"/>
        <rFont val="Calibri"/>
        <family val="2"/>
        <scheme val="minor"/>
      </rPr>
      <t>55104</t>
    </r>
    <r>
      <rPr>
        <sz val="11"/>
        <color theme="1"/>
        <rFont val="Calibri"/>
        <family val="2"/>
        <scheme val="minor"/>
      </rPr>
      <t xml:space="preserve"> - Orchestra
</t>
    </r>
    <r>
      <rPr>
        <b/>
        <sz val="11"/>
        <color theme="1"/>
        <rFont val="Calibri"/>
        <family val="2"/>
        <scheme val="minor"/>
      </rPr>
      <t>62008</t>
    </r>
    <r>
      <rPr>
        <sz val="11"/>
        <color theme="1"/>
        <rFont val="Calibri"/>
        <family val="2"/>
        <scheme val="minor"/>
      </rPr>
      <t xml:space="preserve"> - Particular Topics in Administration
</t>
    </r>
    <r>
      <rPr>
        <b/>
        <sz val="11"/>
        <color theme="1"/>
        <rFont val="Calibri"/>
        <family val="2"/>
        <scheme val="minor"/>
      </rPr>
      <t>61056</t>
    </r>
    <r>
      <rPr>
        <sz val="11"/>
        <color theme="1"/>
        <rFont val="Calibri"/>
        <family val="2"/>
        <scheme val="minor"/>
      </rPr>
      <t xml:space="preserve"> - Particular Topics in Audio/Video Technology and Film
</t>
    </r>
    <r>
      <rPr>
        <b/>
        <sz val="11"/>
        <color theme="1"/>
        <rFont val="Calibri"/>
        <family val="2"/>
        <scheme val="minor"/>
      </rPr>
      <t>53063</t>
    </r>
    <r>
      <rPr>
        <sz val="11"/>
        <color theme="1"/>
        <rFont val="Calibri"/>
        <family val="2"/>
        <scheme val="minor"/>
      </rPr>
      <t xml:space="preserve"> - Particular Topics in Biology
</t>
    </r>
    <r>
      <rPr>
        <b/>
        <sz val="11"/>
        <color theme="1"/>
        <rFont val="Calibri"/>
        <family val="2"/>
        <scheme val="minor"/>
      </rPr>
      <t>53108</t>
    </r>
    <r>
      <rPr>
        <sz val="11"/>
        <color theme="1"/>
        <rFont val="Calibri"/>
        <family val="2"/>
        <scheme val="minor"/>
      </rPr>
      <t xml:space="preserve"> - Particular Topics in Chemistry
</t>
    </r>
    <r>
      <rPr>
        <b/>
        <sz val="11"/>
        <color theme="1"/>
        <rFont val="Calibri"/>
        <family val="2"/>
        <scheme val="minor"/>
      </rPr>
      <t>61003</t>
    </r>
    <r>
      <rPr>
        <sz val="11"/>
        <color theme="1"/>
        <rFont val="Calibri"/>
        <family val="2"/>
        <scheme val="minor"/>
      </rPr>
      <t xml:space="preserve"> - Particular Topics in Communication
</t>
    </r>
    <r>
      <rPr>
        <b/>
        <sz val="11"/>
        <color theme="1"/>
        <rFont val="Calibri"/>
        <family val="2"/>
        <scheme val="minor"/>
      </rPr>
      <t>60008</t>
    </r>
    <r>
      <rPr>
        <sz val="11"/>
        <color theme="1"/>
        <rFont val="Calibri"/>
        <family val="2"/>
        <scheme val="minor"/>
      </rPr>
      <t xml:space="preserve"> - Particular Topics in Computer Literacy
</t>
    </r>
    <r>
      <rPr>
        <b/>
        <sz val="11"/>
        <color theme="1"/>
        <rFont val="Calibri"/>
        <family val="2"/>
        <scheme val="minor"/>
      </rPr>
      <t>53009</t>
    </r>
    <r>
      <rPr>
        <sz val="11"/>
        <color theme="1"/>
        <rFont val="Calibri"/>
        <family val="2"/>
        <scheme val="minor"/>
      </rPr>
      <t xml:space="preserve"> - Particular Topics in Earth Science
</t>
    </r>
    <r>
      <rPr>
        <b/>
        <sz val="11"/>
        <color theme="1"/>
        <rFont val="Calibri"/>
        <family val="2"/>
        <scheme val="minor"/>
      </rPr>
      <t>52003</t>
    </r>
    <r>
      <rPr>
        <sz val="11"/>
        <color theme="1"/>
        <rFont val="Calibri"/>
        <family val="2"/>
        <scheme val="minor"/>
      </rPr>
      <t xml:space="preserve"> - Particular Topics in Foundational Mathematics
</t>
    </r>
    <r>
      <rPr>
        <b/>
        <sz val="11"/>
        <color theme="1"/>
        <rFont val="Calibri"/>
        <family val="2"/>
        <scheme val="minor"/>
      </rPr>
      <t>54002</t>
    </r>
    <r>
      <rPr>
        <sz val="11"/>
        <color theme="1"/>
        <rFont val="Calibri"/>
        <family val="2"/>
        <scheme val="minor"/>
      </rPr>
      <t xml:space="preserve"> - Particular Topics in Geography
</t>
    </r>
    <r>
      <rPr>
        <b/>
        <sz val="11"/>
        <color theme="1"/>
        <rFont val="Calibri"/>
        <family val="2"/>
        <scheme val="minor"/>
      </rPr>
      <t>52075</t>
    </r>
    <r>
      <rPr>
        <sz val="11"/>
        <color theme="1"/>
        <rFont val="Calibri"/>
        <family val="2"/>
        <scheme val="minor"/>
      </rPr>
      <t xml:space="preserve"> - Particular Topics in Geometry
</t>
    </r>
    <r>
      <rPr>
        <b/>
        <sz val="11"/>
        <color theme="1"/>
        <rFont val="Calibri"/>
        <family val="2"/>
        <scheme val="minor"/>
      </rPr>
      <t>61105</t>
    </r>
    <r>
      <rPr>
        <sz val="11"/>
        <color theme="1"/>
        <rFont val="Calibri"/>
        <family val="2"/>
        <scheme val="minor"/>
      </rPr>
      <t xml:space="preserve"> - Particular Topics in Journalism and Broadcasting
</t>
    </r>
    <r>
      <rPr>
        <b/>
        <sz val="11"/>
        <color theme="1"/>
        <rFont val="Calibri"/>
        <family val="2"/>
        <scheme val="minor"/>
      </rPr>
      <t>53162</t>
    </r>
    <r>
      <rPr>
        <sz val="11"/>
        <color theme="1"/>
        <rFont val="Calibri"/>
        <family val="2"/>
        <scheme val="minor"/>
      </rPr>
      <t xml:space="preserve"> - Particular Topics in Physics
</t>
    </r>
    <r>
      <rPr>
        <b/>
        <sz val="11"/>
        <color theme="1"/>
        <rFont val="Calibri"/>
        <family val="2"/>
        <scheme val="minor"/>
      </rPr>
      <t>61159</t>
    </r>
    <r>
      <rPr>
        <sz val="11"/>
        <color theme="1"/>
        <rFont val="Calibri"/>
        <family val="2"/>
        <scheme val="minor"/>
      </rPr>
      <t xml:space="preserve"> - Particular Topics in Printing Technology and Production
</t>
    </r>
    <r>
      <rPr>
        <b/>
        <sz val="11"/>
        <color theme="1"/>
        <rFont val="Calibri"/>
        <family val="2"/>
        <scheme val="minor"/>
      </rPr>
      <t>72209</t>
    </r>
    <r>
      <rPr>
        <sz val="11"/>
        <color theme="1"/>
        <rFont val="Calibri"/>
        <family val="2"/>
        <scheme val="minor"/>
      </rPr>
      <t xml:space="preserve"> - Personal Development
</t>
    </r>
    <r>
      <rPr>
        <b/>
        <sz val="11"/>
        <color theme="1"/>
        <rFont val="Calibri"/>
        <family val="2"/>
        <scheme val="minor"/>
      </rPr>
      <t>61054</t>
    </r>
    <r>
      <rPr>
        <sz val="11"/>
        <color theme="1"/>
        <rFont val="Calibri"/>
        <family val="2"/>
        <scheme val="minor"/>
      </rPr>
      <t xml:space="preserve"> - Photo Imaging
</t>
    </r>
    <r>
      <rPr>
        <b/>
        <sz val="11"/>
        <color theme="1"/>
        <rFont val="Calibri"/>
        <family val="2"/>
        <scheme val="minor"/>
      </rPr>
      <t>61053</t>
    </r>
    <r>
      <rPr>
        <sz val="11"/>
        <color theme="1"/>
        <rFont val="Calibri"/>
        <family val="2"/>
        <scheme val="minor"/>
      </rPr>
      <t xml:space="preserve"> - Photographic Laboratory and Darkroom
</t>
    </r>
    <r>
      <rPr>
        <b/>
        <sz val="11"/>
        <color theme="1"/>
        <rFont val="Calibri"/>
        <family val="2"/>
        <scheme val="minor"/>
      </rPr>
      <t>55167</t>
    </r>
    <r>
      <rPr>
        <sz val="11"/>
        <color theme="1"/>
        <rFont val="Calibri"/>
        <family val="2"/>
        <scheme val="minor"/>
      </rPr>
      <t xml:space="preserve"> - Photography
</t>
    </r>
    <r>
      <rPr>
        <b/>
        <sz val="11"/>
        <color theme="1"/>
        <rFont val="Calibri"/>
        <family val="2"/>
        <scheme val="minor"/>
      </rPr>
      <t>61102</t>
    </r>
    <r>
      <rPr>
        <sz val="11"/>
        <color theme="1"/>
        <rFont val="Calibri"/>
        <family val="2"/>
        <scheme val="minor"/>
      </rPr>
      <t xml:space="preserve"> - Photojournalism
</t>
    </r>
    <r>
      <rPr>
        <b/>
        <sz val="11"/>
        <color theme="1"/>
        <rFont val="Calibri"/>
        <family val="2"/>
        <scheme val="minor"/>
      </rPr>
      <t>58028</t>
    </r>
    <r>
      <rPr>
        <sz val="11"/>
        <color theme="1"/>
        <rFont val="Calibri"/>
        <family val="2"/>
        <scheme val="minor"/>
      </rPr>
      <t xml:space="preserve"> - Physical Education (early childhood education)
</t>
    </r>
    <r>
      <rPr>
        <b/>
        <sz val="11"/>
        <color theme="1"/>
        <rFont val="Calibri"/>
        <family val="2"/>
        <scheme val="minor"/>
      </rPr>
      <t>58031</t>
    </r>
    <r>
      <rPr>
        <sz val="11"/>
        <color theme="1"/>
        <rFont val="Calibri"/>
        <family val="2"/>
        <scheme val="minor"/>
      </rPr>
      <t xml:space="preserve"> - Physical Education (grade 1)
</t>
    </r>
    <r>
      <rPr>
        <b/>
        <sz val="11"/>
        <color theme="1"/>
        <rFont val="Calibri"/>
        <family val="2"/>
        <scheme val="minor"/>
      </rPr>
      <t>58032</t>
    </r>
    <r>
      <rPr>
        <sz val="11"/>
        <color theme="1"/>
        <rFont val="Calibri"/>
        <family val="2"/>
        <scheme val="minor"/>
      </rPr>
      <t xml:space="preserve"> - Physical Education (grade 2)
</t>
    </r>
    <r>
      <rPr>
        <b/>
        <sz val="11"/>
        <color theme="1"/>
        <rFont val="Calibri"/>
        <family val="2"/>
        <scheme val="minor"/>
      </rPr>
      <t>58033</t>
    </r>
    <r>
      <rPr>
        <sz val="11"/>
        <color theme="1"/>
        <rFont val="Calibri"/>
        <family val="2"/>
        <scheme val="minor"/>
      </rPr>
      <t xml:space="preserve"> - Physical Education (grade 3)
</t>
    </r>
    <r>
      <rPr>
        <b/>
        <sz val="11"/>
        <color theme="1"/>
        <rFont val="Calibri"/>
        <family val="2"/>
        <scheme val="minor"/>
      </rPr>
      <t>58034</t>
    </r>
    <r>
      <rPr>
        <sz val="11"/>
        <color theme="1"/>
        <rFont val="Calibri"/>
        <family val="2"/>
        <scheme val="minor"/>
      </rPr>
      <t xml:space="preserve"> - Physical Education (grade 4)
</t>
    </r>
    <r>
      <rPr>
        <b/>
        <sz val="11"/>
        <color theme="1"/>
        <rFont val="Calibri"/>
        <family val="2"/>
        <scheme val="minor"/>
      </rPr>
      <t>58035</t>
    </r>
    <r>
      <rPr>
        <sz val="11"/>
        <color theme="1"/>
        <rFont val="Calibri"/>
        <family val="2"/>
        <scheme val="minor"/>
      </rPr>
      <t xml:space="preserve"> - Physical Education (grade 5)
</t>
    </r>
    <r>
      <rPr>
        <b/>
        <sz val="11"/>
        <color theme="1"/>
        <rFont val="Calibri"/>
        <family val="2"/>
        <scheme val="minor"/>
      </rPr>
      <t>58036</t>
    </r>
    <r>
      <rPr>
        <sz val="11"/>
        <color theme="1"/>
        <rFont val="Calibri"/>
        <family val="2"/>
        <scheme val="minor"/>
      </rPr>
      <t xml:space="preserve"> - Physical Education (grade 6)
</t>
    </r>
    <r>
      <rPr>
        <b/>
        <sz val="11"/>
        <color theme="1"/>
        <rFont val="Calibri"/>
        <family val="2"/>
        <scheme val="minor"/>
      </rPr>
      <t>58037</t>
    </r>
    <r>
      <rPr>
        <sz val="11"/>
        <color theme="1"/>
        <rFont val="Calibri"/>
        <family val="2"/>
        <scheme val="minor"/>
      </rPr>
      <t xml:space="preserve"> - Physical Education (grade 7)
</t>
    </r>
    <r>
      <rPr>
        <b/>
        <sz val="11"/>
        <color theme="1"/>
        <rFont val="Calibri"/>
        <family val="2"/>
        <scheme val="minor"/>
      </rPr>
      <t>58038</t>
    </r>
    <r>
      <rPr>
        <sz val="11"/>
        <color theme="1"/>
        <rFont val="Calibri"/>
        <family val="2"/>
        <scheme val="minor"/>
      </rPr>
      <t xml:space="preserve"> - Physical Education (grade 8)
</t>
    </r>
    <r>
      <rPr>
        <b/>
        <sz val="11"/>
        <color theme="1"/>
        <rFont val="Calibri"/>
        <family val="2"/>
        <scheme val="minor"/>
      </rPr>
      <t>58030</t>
    </r>
    <r>
      <rPr>
        <sz val="11"/>
        <color theme="1"/>
        <rFont val="Calibri"/>
        <family val="2"/>
        <scheme val="minor"/>
      </rPr>
      <t xml:space="preserve"> - Physical Education (kindergarten)
</t>
    </r>
    <r>
      <rPr>
        <b/>
        <sz val="11"/>
        <color theme="1"/>
        <rFont val="Calibri"/>
        <family val="2"/>
        <scheme val="minor"/>
      </rPr>
      <t>58029</t>
    </r>
    <r>
      <rPr>
        <sz val="11"/>
        <color theme="1"/>
        <rFont val="Calibri"/>
        <family val="2"/>
        <scheme val="minor"/>
      </rPr>
      <t xml:space="preserve"> - Physical Education (pre-kindergarten)
</t>
    </r>
    <r>
      <rPr>
        <b/>
        <sz val="11"/>
        <color theme="1"/>
        <rFont val="Calibri"/>
        <family val="2"/>
        <scheme val="minor"/>
      </rPr>
      <t>58001</t>
    </r>
    <r>
      <rPr>
        <sz val="11"/>
        <color theme="1"/>
        <rFont val="Calibri"/>
        <family val="2"/>
        <scheme val="minor"/>
      </rPr>
      <t xml:space="preserve"> - Physical Education
</t>
    </r>
    <r>
      <rPr>
        <b/>
        <sz val="11"/>
        <color theme="1"/>
        <rFont val="Calibri"/>
        <family val="2"/>
        <scheme val="minor"/>
      </rPr>
      <t>58039</t>
    </r>
    <r>
      <rPr>
        <sz val="11"/>
        <color theme="1"/>
        <rFont val="Calibri"/>
        <family val="2"/>
        <scheme val="minor"/>
      </rPr>
      <t xml:space="preserve"> - Physical Education
</t>
    </r>
    <r>
      <rPr>
        <b/>
        <sz val="11"/>
        <color theme="1"/>
        <rFont val="Calibri"/>
        <family val="2"/>
        <scheme val="minor"/>
      </rPr>
      <t>58014</t>
    </r>
    <r>
      <rPr>
        <sz val="11"/>
        <color theme="1"/>
        <rFont val="Calibri"/>
        <family val="2"/>
        <scheme val="minor"/>
      </rPr>
      <t xml:space="preserve"> - Physical Education Equivalent
</t>
    </r>
    <r>
      <rPr>
        <b/>
        <sz val="11"/>
        <color theme="1"/>
        <rFont val="Calibri"/>
        <family val="2"/>
        <scheme val="minor"/>
      </rPr>
      <t>58047</t>
    </r>
    <r>
      <rPr>
        <sz val="11"/>
        <color theme="1"/>
        <rFont val="Calibri"/>
        <family val="2"/>
        <scheme val="minor"/>
      </rPr>
      <t xml:space="preserve"> - Physical Education-Independent Study
</t>
    </r>
    <r>
      <rPr>
        <b/>
        <sz val="11"/>
        <color theme="1"/>
        <rFont val="Calibri"/>
        <family val="2"/>
        <scheme val="minor"/>
      </rPr>
      <t>58049</t>
    </r>
    <r>
      <rPr>
        <sz val="11"/>
        <color theme="1"/>
        <rFont val="Calibri"/>
        <family val="2"/>
        <scheme val="minor"/>
      </rPr>
      <t xml:space="preserve"> - Physical Education-Other
</t>
    </r>
    <r>
      <rPr>
        <b/>
        <sz val="11"/>
        <color theme="1"/>
        <rFont val="Calibri"/>
        <family val="2"/>
        <scheme val="minor"/>
      </rPr>
      <t>53159</t>
    </r>
    <r>
      <rPr>
        <sz val="11"/>
        <color theme="1"/>
        <rFont val="Calibri"/>
        <family val="2"/>
        <scheme val="minor"/>
      </rPr>
      <t xml:space="preserve"> - Physical Science
</t>
    </r>
    <r>
      <rPr>
        <b/>
        <sz val="11"/>
        <color theme="1"/>
        <rFont val="Calibri"/>
        <family val="2"/>
        <scheme val="minor"/>
      </rPr>
      <t>58997</t>
    </r>
    <r>
      <rPr>
        <sz val="11"/>
        <color theme="1"/>
        <rFont val="Calibri"/>
        <family val="2"/>
        <scheme val="minor"/>
      </rPr>
      <t xml:space="preserve"> - Physical, Health, and Safety Education-Independent Study
</t>
    </r>
    <r>
      <rPr>
        <b/>
        <sz val="11"/>
        <color theme="1"/>
        <rFont val="Calibri"/>
        <family val="2"/>
        <scheme val="minor"/>
      </rPr>
      <t>58999</t>
    </r>
    <r>
      <rPr>
        <sz val="11"/>
        <color theme="1"/>
        <rFont val="Calibri"/>
        <family val="2"/>
        <scheme val="minor"/>
      </rPr>
      <t xml:space="preserve"> - Physical, Health, and Safety Education-Other
</t>
    </r>
    <r>
      <rPr>
        <b/>
        <sz val="11"/>
        <color theme="1"/>
        <rFont val="Calibri"/>
        <family val="2"/>
        <scheme val="minor"/>
      </rPr>
      <t>53151</t>
    </r>
    <r>
      <rPr>
        <sz val="11"/>
        <color theme="1"/>
        <rFont val="Calibri"/>
        <family val="2"/>
        <scheme val="minor"/>
      </rPr>
      <t xml:space="preserve"> - Physics
</t>
    </r>
    <r>
      <rPr>
        <b/>
        <sz val="11"/>
        <color theme="1"/>
        <rFont val="Calibri"/>
        <family val="2"/>
        <scheme val="minor"/>
      </rPr>
      <t>53197</t>
    </r>
    <r>
      <rPr>
        <sz val="11"/>
        <color theme="1"/>
        <rFont val="Calibri"/>
        <family val="2"/>
        <scheme val="minor"/>
      </rPr>
      <t xml:space="preserve"> - Physics-Independent Study
</t>
    </r>
    <r>
      <rPr>
        <b/>
        <sz val="11"/>
        <color theme="1"/>
        <rFont val="Calibri"/>
        <family val="2"/>
        <scheme val="minor"/>
      </rPr>
      <t>53199</t>
    </r>
    <r>
      <rPr>
        <sz val="11"/>
        <color theme="1"/>
        <rFont val="Calibri"/>
        <family val="2"/>
        <scheme val="minor"/>
      </rPr>
      <t xml:space="preserve"> - Physics-Other
</t>
    </r>
    <r>
      <rPr>
        <b/>
        <sz val="11"/>
        <color theme="1"/>
        <rFont val="Calibri"/>
        <family val="2"/>
        <scheme val="minor"/>
      </rPr>
      <t>56160</t>
    </r>
    <r>
      <rPr>
        <sz val="11"/>
        <color theme="1"/>
        <rFont val="Calibri"/>
        <family val="2"/>
        <scheme val="minor"/>
      </rPr>
      <t xml:space="preserve"> - Portuguese
</t>
    </r>
    <r>
      <rPr>
        <b/>
        <sz val="11"/>
        <color theme="1"/>
        <rFont val="Calibri"/>
        <family val="2"/>
        <scheme val="minor"/>
      </rPr>
      <t>52051</t>
    </r>
    <r>
      <rPr>
        <sz val="11"/>
        <color theme="1"/>
        <rFont val="Calibri"/>
        <family val="2"/>
        <scheme val="minor"/>
      </rPr>
      <t xml:space="preserve"> - Pre-Algebra
</t>
    </r>
    <r>
      <rPr>
        <b/>
        <sz val="11"/>
        <color theme="1"/>
        <rFont val="Calibri"/>
        <family val="2"/>
        <scheme val="minor"/>
      </rPr>
      <t>71001</t>
    </r>
    <r>
      <rPr>
        <sz val="11"/>
        <color theme="1"/>
        <rFont val="Calibri"/>
        <family val="2"/>
        <scheme val="minor"/>
      </rPr>
      <t xml:space="preserve"> - Pre-Engineering Technology
</t>
    </r>
    <r>
      <rPr>
        <b/>
        <sz val="11"/>
        <color theme="1"/>
        <rFont val="Calibri"/>
        <family val="2"/>
        <scheme val="minor"/>
      </rPr>
      <t>73029</t>
    </r>
    <r>
      <rPr>
        <sz val="11"/>
        <color theme="1"/>
        <rFont val="Calibri"/>
        <family val="2"/>
        <scheme val="minor"/>
      </rPr>
      <t xml:space="preserve"> - Pre-kindergarten
</t>
    </r>
    <r>
      <rPr>
        <b/>
        <sz val="11"/>
        <color theme="1"/>
        <rFont val="Calibri"/>
        <family val="2"/>
        <scheme val="minor"/>
      </rPr>
      <t>52074</t>
    </r>
    <r>
      <rPr>
        <sz val="11"/>
        <color theme="1"/>
        <rFont val="Calibri"/>
        <family val="2"/>
        <scheme val="minor"/>
      </rPr>
      <t xml:space="preserve"> - Principles of Algebra and Geometry
</t>
    </r>
    <r>
      <rPr>
        <b/>
        <sz val="11"/>
        <color theme="1"/>
        <rFont val="Calibri"/>
        <family val="2"/>
        <scheme val="minor"/>
      </rPr>
      <t>71004</t>
    </r>
    <r>
      <rPr>
        <sz val="11"/>
        <color theme="1"/>
        <rFont val="Calibri"/>
        <family val="2"/>
        <scheme val="minor"/>
      </rPr>
      <t xml:space="preserve"> - Principles of Engineering
</t>
    </r>
    <r>
      <rPr>
        <b/>
        <sz val="11"/>
        <color theme="1"/>
        <rFont val="Calibri"/>
        <family val="2"/>
        <scheme val="minor"/>
      </rPr>
      <t>53153</t>
    </r>
    <r>
      <rPr>
        <sz val="11"/>
        <color theme="1"/>
        <rFont val="Calibri"/>
        <family val="2"/>
        <scheme val="minor"/>
      </rPr>
      <t xml:space="preserve"> - Principles of Technology
</t>
    </r>
    <r>
      <rPr>
        <b/>
        <sz val="11"/>
        <color theme="1"/>
        <rFont val="Calibri"/>
        <family val="2"/>
        <scheme val="minor"/>
      </rPr>
      <t>61197</t>
    </r>
    <r>
      <rPr>
        <sz val="11"/>
        <color theme="1"/>
        <rFont val="Calibri"/>
        <family val="2"/>
        <scheme val="minor"/>
      </rPr>
      <t xml:space="preserve"> - Printing Technology-Independent Study
</t>
    </r>
    <r>
      <rPr>
        <b/>
        <sz val="11"/>
        <color theme="1"/>
        <rFont val="Calibri"/>
        <family val="2"/>
        <scheme val="minor"/>
      </rPr>
      <t>61199</t>
    </r>
    <r>
      <rPr>
        <sz val="11"/>
        <color theme="1"/>
        <rFont val="Calibri"/>
        <family val="2"/>
        <scheme val="minor"/>
      </rPr>
      <t xml:space="preserve"> - Printing Technology-Other
</t>
    </r>
    <r>
      <rPr>
        <b/>
        <sz val="11"/>
        <color theme="1"/>
        <rFont val="Calibri"/>
        <family val="2"/>
        <scheme val="minor"/>
      </rPr>
      <t>73039</t>
    </r>
    <r>
      <rPr>
        <sz val="11"/>
        <color theme="1"/>
        <rFont val="Calibri"/>
        <family val="2"/>
        <scheme val="minor"/>
      </rPr>
      <t xml:space="preserve"> - Prior-to-Secondary Education
</t>
    </r>
    <r>
      <rPr>
        <b/>
        <sz val="11"/>
        <color theme="1"/>
        <rFont val="Calibri"/>
        <family val="2"/>
        <scheme val="minor"/>
      </rPr>
      <t>51151</t>
    </r>
    <r>
      <rPr>
        <sz val="11"/>
        <color theme="1"/>
        <rFont val="Calibri"/>
        <family val="2"/>
        <scheme val="minor"/>
      </rPr>
      <t xml:space="preserve"> - Public Speaking
</t>
    </r>
    <r>
      <rPr>
        <b/>
        <sz val="11"/>
        <color theme="1"/>
        <rFont val="Calibri"/>
        <family val="2"/>
        <scheme val="minor"/>
      </rPr>
      <t>65997</t>
    </r>
    <r>
      <rPr>
        <sz val="11"/>
        <color theme="1"/>
        <rFont val="Calibri"/>
        <family val="2"/>
        <scheme val="minor"/>
      </rPr>
      <t xml:space="preserve"> - Public, Protective, and Government Service-Independent Study
</t>
    </r>
    <r>
      <rPr>
        <b/>
        <sz val="11"/>
        <color theme="1"/>
        <rFont val="Calibri"/>
        <family val="2"/>
        <scheme val="minor"/>
      </rPr>
      <t>65999</t>
    </r>
    <r>
      <rPr>
        <sz val="11"/>
        <color theme="1"/>
        <rFont val="Calibri"/>
        <family val="2"/>
        <scheme val="minor"/>
      </rPr>
      <t xml:space="preserve"> - Public, Protective, and Government Services-Other
</t>
    </r>
    <r>
      <rPr>
        <b/>
        <sz val="11"/>
        <color theme="1"/>
        <rFont val="Calibri"/>
        <family val="2"/>
        <scheme val="minor"/>
      </rPr>
      <t>61104</t>
    </r>
    <r>
      <rPr>
        <sz val="11"/>
        <color theme="1"/>
        <rFont val="Calibri"/>
        <family val="2"/>
        <scheme val="minor"/>
      </rPr>
      <t xml:space="preserve"> - Publication Production
</t>
    </r>
    <r>
      <rPr>
        <b/>
        <sz val="11"/>
        <color theme="1"/>
        <rFont val="Calibri"/>
        <family val="2"/>
        <scheme val="minor"/>
      </rPr>
      <t>51038</t>
    </r>
    <r>
      <rPr>
        <sz val="11"/>
        <color theme="1"/>
        <rFont val="Calibri"/>
        <family val="2"/>
        <scheme val="minor"/>
      </rPr>
      <t xml:space="preserve"> - Reading (early childhood education)
</t>
    </r>
    <r>
      <rPr>
        <b/>
        <sz val="11"/>
        <color theme="1"/>
        <rFont val="Calibri"/>
        <family val="2"/>
        <scheme val="minor"/>
      </rPr>
      <t>51041</t>
    </r>
    <r>
      <rPr>
        <sz val="11"/>
        <color theme="1"/>
        <rFont val="Calibri"/>
        <family val="2"/>
        <scheme val="minor"/>
      </rPr>
      <t xml:space="preserve"> - Reading (grade 1)
</t>
    </r>
    <r>
      <rPr>
        <b/>
        <sz val="11"/>
        <color theme="1"/>
        <rFont val="Calibri"/>
        <family val="2"/>
        <scheme val="minor"/>
      </rPr>
      <t>51042</t>
    </r>
    <r>
      <rPr>
        <sz val="11"/>
        <color theme="1"/>
        <rFont val="Calibri"/>
        <family val="2"/>
        <scheme val="minor"/>
      </rPr>
      <t xml:space="preserve"> - Reading (grade 2)
</t>
    </r>
    <r>
      <rPr>
        <b/>
        <sz val="11"/>
        <color theme="1"/>
        <rFont val="Calibri"/>
        <family val="2"/>
        <scheme val="minor"/>
      </rPr>
      <t>51043</t>
    </r>
    <r>
      <rPr>
        <sz val="11"/>
        <color theme="1"/>
        <rFont val="Calibri"/>
        <family val="2"/>
        <scheme val="minor"/>
      </rPr>
      <t xml:space="preserve"> - Reading (grade 3)
</t>
    </r>
    <r>
      <rPr>
        <b/>
        <sz val="11"/>
        <color theme="1"/>
        <rFont val="Calibri"/>
        <family val="2"/>
        <scheme val="minor"/>
      </rPr>
      <t>51044</t>
    </r>
    <r>
      <rPr>
        <sz val="11"/>
        <color theme="1"/>
        <rFont val="Calibri"/>
        <family val="2"/>
        <scheme val="minor"/>
      </rPr>
      <t xml:space="preserve"> - Reading (grade 4)
</t>
    </r>
    <r>
      <rPr>
        <b/>
        <sz val="11"/>
        <color theme="1"/>
        <rFont val="Calibri"/>
        <family val="2"/>
        <scheme val="minor"/>
      </rPr>
      <t>51045</t>
    </r>
    <r>
      <rPr>
        <sz val="11"/>
        <color theme="1"/>
        <rFont val="Calibri"/>
        <family val="2"/>
        <scheme val="minor"/>
      </rPr>
      <t xml:space="preserve"> - Reading (grade 5)
</t>
    </r>
    <r>
      <rPr>
        <b/>
        <sz val="11"/>
        <color theme="1"/>
        <rFont val="Calibri"/>
        <family val="2"/>
        <scheme val="minor"/>
      </rPr>
      <t>51046</t>
    </r>
    <r>
      <rPr>
        <sz val="11"/>
        <color theme="1"/>
        <rFont val="Calibri"/>
        <family val="2"/>
        <scheme val="minor"/>
      </rPr>
      <t xml:space="preserve"> - Reading (grade 6)
</t>
    </r>
    <r>
      <rPr>
        <b/>
        <sz val="11"/>
        <color theme="1"/>
        <rFont val="Calibri"/>
        <family val="2"/>
        <scheme val="minor"/>
      </rPr>
      <t>51047</t>
    </r>
    <r>
      <rPr>
        <sz val="11"/>
        <color theme="1"/>
        <rFont val="Calibri"/>
        <family val="2"/>
        <scheme val="minor"/>
      </rPr>
      <t xml:space="preserve"> - Reading (grade 7)
</t>
    </r>
    <r>
      <rPr>
        <b/>
        <sz val="11"/>
        <color theme="1"/>
        <rFont val="Calibri"/>
        <family val="2"/>
        <scheme val="minor"/>
      </rPr>
      <t>51048</t>
    </r>
    <r>
      <rPr>
        <sz val="11"/>
        <color theme="1"/>
        <rFont val="Calibri"/>
        <family val="2"/>
        <scheme val="minor"/>
      </rPr>
      <t xml:space="preserve"> - Reading (grade 8)
</t>
    </r>
    <r>
      <rPr>
        <b/>
        <sz val="11"/>
        <color theme="1"/>
        <rFont val="Calibri"/>
        <family val="2"/>
        <scheme val="minor"/>
      </rPr>
      <t>51040</t>
    </r>
    <r>
      <rPr>
        <sz val="11"/>
        <color theme="1"/>
        <rFont val="Calibri"/>
        <family val="2"/>
        <scheme val="minor"/>
      </rPr>
      <t xml:space="preserve"> - Reading (kindergarten)
</t>
    </r>
    <r>
      <rPr>
        <b/>
        <sz val="11"/>
        <color theme="1"/>
        <rFont val="Calibri"/>
        <family val="2"/>
        <scheme val="minor"/>
      </rPr>
      <t>51039</t>
    </r>
    <r>
      <rPr>
        <sz val="11"/>
        <color theme="1"/>
        <rFont val="Calibri"/>
        <family val="2"/>
        <scheme val="minor"/>
      </rPr>
      <t xml:space="preserve"> - Reading (pre-kindergarten)
</t>
    </r>
    <r>
      <rPr>
        <b/>
        <sz val="11"/>
        <color theme="1"/>
        <rFont val="Calibri"/>
        <family val="2"/>
        <scheme val="minor"/>
      </rPr>
      <t>51049</t>
    </r>
    <r>
      <rPr>
        <sz val="11"/>
        <color theme="1"/>
        <rFont val="Calibri"/>
        <family val="2"/>
        <scheme val="minor"/>
      </rPr>
      <t xml:space="preserve"> - Reading
</t>
    </r>
    <r>
      <rPr>
        <b/>
        <sz val="11"/>
        <color theme="1"/>
        <rFont val="Calibri"/>
        <family val="2"/>
        <scheme val="minor"/>
      </rPr>
      <t>58004</t>
    </r>
    <r>
      <rPr>
        <sz val="11"/>
        <color theme="1"/>
        <rFont val="Calibri"/>
        <family val="2"/>
        <scheme val="minor"/>
      </rPr>
      <t xml:space="preserve"> - Recreation Sports
</t>
    </r>
    <r>
      <rPr>
        <b/>
        <sz val="11"/>
        <color theme="1"/>
        <rFont val="Calibri"/>
        <family val="2"/>
        <scheme val="minor"/>
      </rPr>
      <t>57997</t>
    </r>
    <r>
      <rPr>
        <sz val="11"/>
        <color theme="1"/>
        <rFont val="Calibri"/>
        <family val="2"/>
        <scheme val="minor"/>
      </rPr>
      <t xml:space="preserve"> - Religious Education and Theology-Independent Study
</t>
    </r>
    <r>
      <rPr>
        <b/>
        <sz val="11"/>
        <color theme="1"/>
        <rFont val="Calibri"/>
        <family val="2"/>
        <scheme val="minor"/>
      </rPr>
      <t>57999</t>
    </r>
    <r>
      <rPr>
        <sz val="11"/>
        <color theme="1"/>
        <rFont val="Calibri"/>
        <family val="2"/>
        <scheme val="minor"/>
      </rPr>
      <t xml:space="preserve"> - Religious Education and Theology-Other
</t>
    </r>
    <r>
      <rPr>
        <b/>
        <sz val="11"/>
        <color theme="1"/>
        <rFont val="Calibri"/>
        <family val="2"/>
        <scheme val="minor"/>
      </rPr>
      <t>57001</t>
    </r>
    <r>
      <rPr>
        <sz val="11"/>
        <color theme="1"/>
        <rFont val="Calibri"/>
        <family val="2"/>
        <scheme val="minor"/>
      </rPr>
      <t xml:space="preserve"> - Religious Foundations
</t>
    </r>
    <r>
      <rPr>
        <b/>
        <sz val="11"/>
        <color theme="1"/>
        <rFont val="Calibri"/>
        <family val="2"/>
        <scheme val="minor"/>
      </rPr>
      <t>71009</t>
    </r>
    <r>
      <rPr>
        <sz val="11"/>
        <color theme="1"/>
        <rFont val="Calibri"/>
        <family val="2"/>
        <scheme val="minor"/>
      </rPr>
      <t xml:space="preserve"> - Robotics
</t>
    </r>
    <r>
      <rPr>
        <b/>
        <sz val="11"/>
        <color theme="1"/>
        <rFont val="Calibri"/>
        <family val="2"/>
        <scheme val="minor"/>
      </rPr>
      <t>56600</t>
    </r>
    <r>
      <rPr>
        <sz val="11"/>
        <color theme="1"/>
        <rFont val="Calibri"/>
        <family val="2"/>
        <scheme val="minor"/>
      </rPr>
      <t xml:space="preserve"> - Russian
</t>
    </r>
    <r>
      <rPr>
        <b/>
        <sz val="11"/>
        <color theme="1"/>
        <rFont val="Calibri"/>
        <family val="2"/>
        <scheme val="minor"/>
      </rPr>
      <t>72103</t>
    </r>
    <r>
      <rPr>
        <sz val="11"/>
        <color theme="1"/>
        <rFont val="Calibri"/>
        <family val="2"/>
        <scheme val="minor"/>
      </rPr>
      <t xml:space="preserve"> - School Governance
</t>
    </r>
    <r>
      <rPr>
        <b/>
        <sz val="11"/>
        <color theme="1"/>
        <rFont val="Calibri"/>
        <family val="2"/>
        <scheme val="minor"/>
      </rPr>
      <t>72102</t>
    </r>
    <r>
      <rPr>
        <sz val="11"/>
        <color theme="1"/>
        <rFont val="Calibri"/>
        <family val="2"/>
        <scheme val="minor"/>
      </rPr>
      <t xml:space="preserve"> - School Orientation
</t>
    </r>
    <r>
      <rPr>
        <b/>
        <sz val="11"/>
        <color theme="1"/>
        <rFont val="Calibri"/>
        <family val="2"/>
        <scheme val="minor"/>
      </rPr>
      <t>53228</t>
    </r>
    <r>
      <rPr>
        <sz val="11"/>
        <color theme="1"/>
        <rFont val="Calibri"/>
        <family val="2"/>
        <scheme val="minor"/>
      </rPr>
      <t xml:space="preserve"> - Science (early childhood education)
</t>
    </r>
    <r>
      <rPr>
        <b/>
        <sz val="11"/>
        <color theme="1"/>
        <rFont val="Calibri"/>
        <family val="2"/>
        <scheme val="minor"/>
      </rPr>
      <t>53231</t>
    </r>
    <r>
      <rPr>
        <sz val="11"/>
        <color theme="1"/>
        <rFont val="Calibri"/>
        <family val="2"/>
        <scheme val="minor"/>
      </rPr>
      <t xml:space="preserve"> - Science (grade 1)
</t>
    </r>
    <r>
      <rPr>
        <b/>
        <sz val="11"/>
        <color theme="1"/>
        <rFont val="Calibri"/>
        <family val="2"/>
        <scheme val="minor"/>
      </rPr>
      <t>53232</t>
    </r>
    <r>
      <rPr>
        <sz val="11"/>
        <color theme="1"/>
        <rFont val="Calibri"/>
        <family val="2"/>
        <scheme val="minor"/>
      </rPr>
      <t xml:space="preserve"> - Science (grade 2)
</t>
    </r>
    <r>
      <rPr>
        <b/>
        <sz val="11"/>
        <color theme="1"/>
        <rFont val="Calibri"/>
        <family val="2"/>
        <scheme val="minor"/>
      </rPr>
      <t>53233</t>
    </r>
    <r>
      <rPr>
        <sz val="11"/>
        <color theme="1"/>
        <rFont val="Calibri"/>
        <family val="2"/>
        <scheme val="minor"/>
      </rPr>
      <t xml:space="preserve"> - Science (grade 3)
</t>
    </r>
    <r>
      <rPr>
        <b/>
        <sz val="11"/>
        <color theme="1"/>
        <rFont val="Calibri"/>
        <family val="2"/>
        <scheme val="minor"/>
      </rPr>
      <t>53234</t>
    </r>
    <r>
      <rPr>
        <sz val="11"/>
        <color theme="1"/>
        <rFont val="Calibri"/>
        <family val="2"/>
        <scheme val="minor"/>
      </rPr>
      <t xml:space="preserve"> - Science (grade 4)
</t>
    </r>
    <r>
      <rPr>
        <b/>
        <sz val="11"/>
        <color theme="1"/>
        <rFont val="Calibri"/>
        <family val="2"/>
        <scheme val="minor"/>
      </rPr>
      <t>53235</t>
    </r>
    <r>
      <rPr>
        <sz val="11"/>
        <color theme="1"/>
        <rFont val="Calibri"/>
        <family val="2"/>
        <scheme val="minor"/>
      </rPr>
      <t xml:space="preserve"> - Science (grade 5)
</t>
    </r>
    <r>
      <rPr>
        <b/>
        <sz val="11"/>
        <color theme="1"/>
        <rFont val="Calibri"/>
        <family val="2"/>
        <scheme val="minor"/>
      </rPr>
      <t>53236</t>
    </r>
    <r>
      <rPr>
        <sz val="11"/>
        <color theme="1"/>
        <rFont val="Calibri"/>
        <family val="2"/>
        <scheme val="minor"/>
      </rPr>
      <t xml:space="preserve"> - Science (grade 6)
</t>
    </r>
    <r>
      <rPr>
        <b/>
        <sz val="11"/>
        <color theme="1"/>
        <rFont val="Calibri"/>
        <family val="2"/>
        <scheme val="minor"/>
      </rPr>
      <t>53237</t>
    </r>
    <r>
      <rPr>
        <sz val="11"/>
        <color theme="1"/>
        <rFont val="Calibri"/>
        <family val="2"/>
        <scheme val="minor"/>
      </rPr>
      <t xml:space="preserve"> - Science (grade 7)
</t>
    </r>
    <r>
      <rPr>
        <b/>
        <sz val="11"/>
        <color theme="1"/>
        <rFont val="Calibri"/>
        <family val="2"/>
        <scheme val="minor"/>
      </rPr>
      <t>53238</t>
    </r>
    <r>
      <rPr>
        <sz val="11"/>
        <color theme="1"/>
        <rFont val="Calibri"/>
        <family val="2"/>
        <scheme val="minor"/>
      </rPr>
      <t xml:space="preserve"> - Science (grade 8)
</t>
    </r>
    <r>
      <rPr>
        <b/>
        <sz val="11"/>
        <color theme="1"/>
        <rFont val="Calibri"/>
        <family val="2"/>
        <scheme val="minor"/>
      </rPr>
      <t>53230</t>
    </r>
    <r>
      <rPr>
        <sz val="11"/>
        <color theme="1"/>
        <rFont val="Calibri"/>
        <family val="2"/>
        <scheme val="minor"/>
      </rPr>
      <t xml:space="preserve"> - Science (kindergarten)
</t>
    </r>
    <r>
      <rPr>
        <b/>
        <sz val="11"/>
        <color theme="1"/>
        <rFont val="Calibri"/>
        <family val="2"/>
        <scheme val="minor"/>
      </rPr>
      <t>53229</t>
    </r>
    <r>
      <rPr>
        <sz val="11"/>
        <color theme="1"/>
        <rFont val="Calibri"/>
        <family val="2"/>
        <scheme val="minor"/>
      </rPr>
      <t xml:space="preserve"> - Science (pre-kindergarten)
</t>
    </r>
    <r>
      <rPr>
        <b/>
        <sz val="11"/>
        <color theme="1"/>
        <rFont val="Calibri"/>
        <family val="2"/>
        <scheme val="minor"/>
      </rPr>
      <t>53239</t>
    </r>
    <r>
      <rPr>
        <sz val="11"/>
        <color theme="1"/>
        <rFont val="Calibri"/>
        <family val="2"/>
        <scheme val="minor"/>
      </rPr>
      <t xml:space="preserve"> - Science
</t>
    </r>
    <r>
      <rPr>
        <b/>
        <sz val="11"/>
        <color theme="1"/>
        <rFont val="Calibri"/>
        <family val="2"/>
        <scheme val="minor"/>
      </rPr>
      <t>57005</t>
    </r>
    <r>
      <rPr>
        <sz val="11"/>
        <color theme="1"/>
        <rFont val="Calibri"/>
        <family val="2"/>
        <scheme val="minor"/>
      </rPr>
      <t xml:space="preserve"> - Scriptures
</t>
    </r>
    <r>
      <rPr>
        <b/>
        <sz val="11"/>
        <color theme="1"/>
        <rFont val="Calibri"/>
        <family val="2"/>
        <scheme val="minor"/>
      </rPr>
      <t>72207</t>
    </r>
    <r>
      <rPr>
        <sz val="11"/>
        <color theme="1"/>
        <rFont val="Calibri"/>
        <family val="2"/>
        <scheme val="minor"/>
      </rPr>
      <t xml:space="preserve"> - Self-Management
</t>
    </r>
    <r>
      <rPr>
        <b/>
        <sz val="11"/>
        <color theme="1"/>
        <rFont val="Calibri"/>
        <family val="2"/>
        <scheme val="minor"/>
      </rPr>
      <t>72106</t>
    </r>
    <r>
      <rPr>
        <sz val="11"/>
        <color theme="1"/>
        <rFont val="Calibri"/>
        <family val="2"/>
        <scheme val="minor"/>
      </rPr>
      <t xml:space="preserve"> - Seminar
</t>
    </r>
    <r>
      <rPr>
        <b/>
        <sz val="11"/>
        <color theme="1"/>
        <rFont val="Calibri"/>
        <family val="2"/>
        <scheme val="minor"/>
      </rPr>
      <t>54997</t>
    </r>
    <r>
      <rPr>
        <sz val="11"/>
        <color theme="1"/>
        <rFont val="Calibri"/>
        <family val="2"/>
        <scheme val="minor"/>
      </rPr>
      <t xml:space="preserve"> - Social Sciences and History-Independent Study
</t>
    </r>
    <r>
      <rPr>
        <b/>
        <sz val="11"/>
        <color theme="1"/>
        <rFont val="Calibri"/>
        <family val="2"/>
        <scheme val="minor"/>
      </rPr>
      <t>54999</t>
    </r>
    <r>
      <rPr>
        <sz val="11"/>
        <color theme="1"/>
        <rFont val="Calibri"/>
        <family val="2"/>
        <scheme val="minor"/>
      </rPr>
      <t xml:space="preserve"> - Social Sciences and History-Other
</t>
    </r>
    <r>
      <rPr>
        <b/>
        <sz val="11"/>
        <color theme="1"/>
        <rFont val="Calibri"/>
        <family val="2"/>
        <scheme val="minor"/>
      </rPr>
      <t>54996</t>
    </r>
    <r>
      <rPr>
        <sz val="11"/>
        <color theme="1"/>
        <rFont val="Calibri"/>
        <family val="2"/>
        <scheme val="minor"/>
      </rPr>
      <t xml:space="preserve"> - Social Sciences and History-Supplemental
</t>
    </r>
    <r>
      <rPr>
        <b/>
        <sz val="11"/>
        <color theme="1"/>
        <rFont val="Calibri"/>
        <family val="2"/>
        <scheme val="minor"/>
      </rPr>
      <t>54428</t>
    </r>
    <r>
      <rPr>
        <sz val="11"/>
        <color theme="1"/>
        <rFont val="Calibri"/>
        <family val="2"/>
        <scheme val="minor"/>
      </rPr>
      <t xml:space="preserve"> - Social Studies (early childhood education)
</t>
    </r>
    <r>
      <rPr>
        <b/>
        <sz val="11"/>
        <color theme="1"/>
        <rFont val="Calibri"/>
        <family val="2"/>
        <scheme val="minor"/>
      </rPr>
      <t>54431</t>
    </r>
    <r>
      <rPr>
        <sz val="11"/>
        <color theme="1"/>
        <rFont val="Calibri"/>
        <family val="2"/>
        <scheme val="minor"/>
      </rPr>
      <t xml:space="preserve"> - Social Studies (grade 1)
</t>
    </r>
    <r>
      <rPr>
        <b/>
        <sz val="11"/>
        <color theme="1"/>
        <rFont val="Calibri"/>
        <family val="2"/>
        <scheme val="minor"/>
      </rPr>
      <t>54432</t>
    </r>
    <r>
      <rPr>
        <sz val="11"/>
        <color theme="1"/>
        <rFont val="Calibri"/>
        <family val="2"/>
        <scheme val="minor"/>
      </rPr>
      <t xml:space="preserve"> - Social Studies (grade 2)
</t>
    </r>
    <r>
      <rPr>
        <b/>
        <sz val="11"/>
        <color theme="1"/>
        <rFont val="Calibri"/>
        <family val="2"/>
        <scheme val="minor"/>
      </rPr>
      <t>54433</t>
    </r>
    <r>
      <rPr>
        <sz val="11"/>
        <color theme="1"/>
        <rFont val="Calibri"/>
        <family val="2"/>
        <scheme val="minor"/>
      </rPr>
      <t xml:space="preserve"> - Social Studies (grade 3)
</t>
    </r>
    <r>
      <rPr>
        <b/>
        <sz val="11"/>
        <color theme="1"/>
        <rFont val="Calibri"/>
        <family val="2"/>
        <scheme val="minor"/>
      </rPr>
      <t>54434</t>
    </r>
    <r>
      <rPr>
        <sz val="11"/>
        <color theme="1"/>
        <rFont val="Calibri"/>
        <family val="2"/>
        <scheme val="minor"/>
      </rPr>
      <t xml:space="preserve"> - Social Studies (grade 4)
</t>
    </r>
    <r>
      <rPr>
        <b/>
        <sz val="11"/>
        <color theme="1"/>
        <rFont val="Calibri"/>
        <family val="2"/>
        <scheme val="minor"/>
      </rPr>
      <t>54435</t>
    </r>
    <r>
      <rPr>
        <sz val="11"/>
        <color theme="1"/>
        <rFont val="Calibri"/>
        <family val="2"/>
        <scheme val="minor"/>
      </rPr>
      <t xml:space="preserve"> - Social Studies (grade 5)
</t>
    </r>
    <r>
      <rPr>
        <b/>
        <sz val="11"/>
        <color theme="1"/>
        <rFont val="Calibri"/>
        <family val="2"/>
        <scheme val="minor"/>
      </rPr>
      <t>54436</t>
    </r>
    <r>
      <rPr>
        <sz val="11"/>
        <color theme="1"/>
        <rFont val="Calibri"/>
        <family val="2"/>
        <scheme val="minor"/>
      </rPr>
      <t xml:space="preserve"> - Social Studies (grade 6)
</t>
    </r>
    <r>
      <rPr>
        <b/>
        <sz val="11"/>
        <color theme="1"/>
        <rFont val="Calibri"/>
        <family val="2"/>
        <scheme val="minor"/>
      </rPr>
      <t>54437</t>
    </r>
    <r>
      <rPr>
        <sz val="11"/>
        <color theme="1"/>
        <rFont val="Calibri"/>
        <family val="2"/>
        <scheme val="minor"/>
      </rPr>
      <t xml:space="preserve"> - Social Studies (grade 7)
</t>
    </r>
    <r>
      <rPr>
        <b/>
        <sz val="11"/>
        <color theme="1"/>
        <rFont val="Calibri"/>
        <family val="2"/>
        <scheme val="minor"/>
      </rPr>
      <t>54438</t>
    </r>
    <r>
      <rPr>
        <sz val="11"/>
        <color theme="1"/>
        <rFont val="Calibri"/>
        <family val="2"/>
        <scheme val="minor"/>
      </rPr>
      <t xml:space="preserve"> - Social Studies (grade 8)
</t>
    </r>
    <r>
      <rPr>
        <b/>
        <sz val="11"/>
        <color theme="1"/>
        <rFont val="Calibri"/>
        <family val="2"/>
        <scheme val="minor"/>
      </rPr>
      <t>54430</t>
    </r>
    <r>
      <rPr>
        <sz val="11"/>
        <color theme="1"/>
        <rFont val="Calibri"/>
        <family val="2"/>
        <scheme val="minor"/>
      </rPr>
      <t xml:space="preserve"> - Social Studies (kindergarten)
</t>
    </r>
    <r>
      <rPr>
        <b/>
        <sz val="11"/>
        <color theme="1"/>
        <rFont val="Calibri"/>
        <family val="2"/>
        <scheme val="minor"/>
      </rPr>
      <t>54429</t>
    </r>
    <r>
      <rPr>
        <sz val="11"/>
        <color theme="1"/>
        <rFont val="Calibri"/>
        <family val="2"/>
        <scheme val="minor"/>
      </rPr>
      <t xml:space="preserve"> - Social Studies (pre-kindergarten)
</t>
    </r>
    <r>
      <rPr>
        <b/>
        <sz val="11"/>
        <color theme="1"/>
        <rFont val="Calibri"/>
        <family val="2"/>
        <scheme val="minor"/>
      </rPr>
      <t>54439</t>
    </r>
    <r>
      <rPr>
        <sz val="11"/>
        <color theme="1"/>
        <rFont val="Calibri"/>
        <family val="2"/>
        <scheme val="minor"/>
      </rPr>
      <t xml:space="preserve"> - Social Studies
</t>
    </r>
    <r>
      <rPr>
        <b/>
        <sz val="11"/>
        <color theme="1"/>
        <rFont val="Calibri"/>
        <family val="2"/>
        <scheme val="minor"/>
      </rPr>
      <t>56100</t>
    </r>
    <r>
      <rPr>
        <sz val="11"/>
        <color theme="1"/>
        <rFont val="Calibri"/>
        <family val="2"/>
        <scheme val="minor"/>
      </rPr>
      <t xml:space="preserve"> - Spanish
</t>
    </r>
    <r>
      <rPr>
        <b/>
        <sz val="11"/>
        <color theme="1"/>
        <rFont val="Calibri"/>
        <family val="2"/>
        <scheme val="minor"/>
      </rPr>
      <t>58013</t>
    </r>
    <r>
      <rPr>
        <sz val="11"/>
        <color theme="1"/>
        <rFont val="Calibri"/>
        <family val="2"/>
        <scheme val="minor"/>
      </rPr>
      <t xml:space="preserve"> - Specific Sports Activities
</t>
    </r>
    <r>
      <rPr>
        <b/>
        <sz val="11"/>
        <color theme="1"/>
        <rFont val="Calibri"/>
        <family val="2"/>
        <scheme val="minor"/>
      </rPr>
      <t>51197</t>
    </r>
    <r>
      <rPr>
        <sz val="11"/>
        <color theme="1"/>
        <rFont val="Calibri"/>
        <family val="2"/>
        <scheme val="minor"/>
      </rPr>
      <t xml:space="preserve"> - Speech-Independent Study
</t>
    </r>
    <r>
      <rPr>
        <b/>
        <sz val="11"/>
        <color theme="1"/>
        <rFont val="Calibri"/>
        <family val="2"/>
        <scheme val="minor"/>
      </rPr>
      <t>51199</t>
    </r>
    <r>
      <rPr>
        <sz val="11"/>
        <color theme="1"/>
        <rFont val="Calibri"/>
        <family val="2"/>
        <scheme val="minor"/>
      </rPr>
      <t xml:space="preserve"> - Speech-Other
</t>
    </r>
    <r>
      <rPr>
        <b/>
        <sz val="11"/>
        <color theme="1"/>
        <rFont val="Calibri"/>
        <family val="2"/>
        <scheme val="minor"/>
      </rPr>
      <t>72001</t>
    </r>
    <r>
      <rPr>
        <sz val="11"/>
        <color theme="1"/>
        <rFont val="Calibri"/>
        <family val="2"/>
        <scheme val="minor"/>
      </rPr>
      <t xml:space="preserve"> - Standardized Test Preparation
</t>
    </r>
    <r>
      <rPr>
        <b/>
        <sz val="11"/>
        <color theme="1"/>
        <rFont val="Calibri"/>
        <family val="2"/>
        <scheme val="minor"/>
      </rPr>
      <t>72002</t>
    </r>
    <r>
      <rPr>
        <sz val="11"/>
        <color theme="1"/>
        <rFont val="Calibri"/>
        <family val="2"/>
        <scheme val="minor"/>
      </rPr>
      <t xml:space="preserve"> - State Test Preparation
</t>
    </r>
    <r>
      <rPr>
        <b/>
        <sz val="11"/>
        <color theme="1"/>
        <rFont val="Calibri"/>
        <family val="2"/>
        <scheme val="minor"/>
      </rPr>
      <t>54105</t>
    </r>
    <r>
      <rPr>
        <sz val="11"/>
        <color theme="1"/>
        <rFont val="Calibri"/>
        <family val="2"/>
        <scheme val="minor"/>
      </rPr>
      <t xml:space="preserve"> - State-Specific Studies
</t>
    </r>
    <r>
      <rPr>
        <b/>
        <sz val="11"/>
        <color theme="1"/>
        <rFont val="Calibri"/>
        <family val="2"/>
        <scheme val="minor"/>
      </rPr>
      <t>51066</t>
    </r>
    <r>
      <rPr>
        <sz val="11"/>
        <color theme="1"/>
        <rFont val="Calibri"/>
        <family val="2"/>
        <scheme val="minor"/>
      </rPr>
      <t xml:space="preserve"> - Strategic Reading
</t>
    </r>
    <r>
      <rPr>
        <b/>
        <sz val="11"/>
        <color theme="1"/>
        <rFont val="Calibri"/>
        <family val="2"/>
        <scheme val="minor"/>
      </rPr>
      <t>72006</t>
    </r>
    <r>
      <rPr>
        <sz val="11"/>
        <color theme="1"/>
        <rFont val="Calibri"/>
        <family val="2"/>
        <scheme val="minor"/>
      </rPr>
      <t xml:space="preserve"> - Study Hall
</t>
    </r>
    <r>
      <rPr>
        <b/>
        <sz val="11"/>
        <color theme="1"/>
        <rFont val="Calibri"/>
        <family val="2"/>
        <scheme val="minor"/>
      </rPr>
      <t>72003</t>
    </r>
    <r>
      <rPr>
        <sz val="11"/>
        <color theme="1"/>
        <rFont val="Calibri"/>
        <family val="2"/>
        <scheme val="minor"/>
      </rPr>
      <t xml:space="preserve"> - Study Skills
</t>
    </r>
    <r>
      <rPr>
        <b/>
        <sz val="11"/>
        <color theme="1"/>
        <rFont val="Calibri"/>
        <family val="2"/>
        <scheme val="minor"/>
      </rPr>
      <t>58058</t>
    </r>
    <r>
      <rPr>
        <sz val="11"/>
        <color theme="1"/>
        <rFont val="Calibri"/>
        <family val="2"/>
        <scheme val="minor"/>
      </rPr>
      <t xml:space="preserve"> - Substance Abuse Prevention
</t>
    </r>
    <r>
      <rPr>
        <b/>
        <sz val="11"/>
        <color theme="1"/>
        <rFont val="Calibri"/>
        <family val="2"/>
        <scheme val="minor"/>
      </rPr>
      <t>56760</t>
    </r>
    <r>
      <rPr>
        <sz val="11"/>
        <color theme="1"/>
        <rFont val="Calibri"/>
        <family val="2"/>
        <scheme val="minor"/>
      </rPr>
      <t xml:space="preserve"> - Swahili
</t>
    </r>
    <r>
      <rPr>
        <b/>
        <sz val="11"/>
        <color theme="1"/>
        <rFont val="Calibri"/>
        <family val="2"/>
        <scheme val="minor"/>
      </rPr>
      <t>58002</t>
    </r>
    <r>
      <rPr>
        <sz val="11"/>
        <color theme="1"/>
        <rFont val="Calibri"/>
        <family val="2"/>
        <scheme val="minor"/>
      </rPr>
      <t xml:space="preserve"> - Team Sports
</t>
    </r>
    <r>
      <rPr>
        <b/>
        <sz val="11"/>
        <color theme="1"/>
        <rFont val="Calibri"/>
        <family val="2"/>
        <scheme val="minor"/>
      </rPr>
      <t>71051</t>
    </r>
    <r>
      <rPr>
        <sz val="11"/>
        <color theme="1"/>
        <rFont val="Calibri"/>
        <family val="2"/>
        <scheme val="minor"/>
      </rPr>
      <t xml:space="preserve"> - Technological Literacy
</t>
    </r>
    <r>
      <rPr>
        <b/>
        <sz val="11"/>
        <color theme="1"/>
        <rFont val="Calibri"/>
        <family val="2"/>
        <scheme val="minor"/>
      </rPr>
      <t>71097</t>
    </r>
    <r>
      <rPr>
        <sz val="11"/>
        <color theme="1"/>
        <rFont val="Calibri"/>
        <family val="2"/>
        <scheme val="minor"/>
      </rPr>
      <t xml:space="preserve"> - Technology-Independent Study
</t>
    </r>
    <r>
      <rPr>
        <b/>
        <sz val="11"/>
        <color theme="1"/>
        <rFont val="Calibri"/>
        <family val="2"/>
        <scheme val="minor"/>
      </rPr>
      <t>55052</t>
    </r>
    <r>
      <rPr>
        <sz val="11"/>
        <color theme="1"/>
        <rFont val="Calibri"/>
        <family val="2"/>
        <scheme val="minor"/>
      </rPr>
      <t xml:space="preserve"> - Theatre Arts
</t>
    </r>
    <r>
      <rPr>
        <b/>
        <sz val="11"/>
        <color theme="1"/>
        <rFont val="Calibri"/>
        <family val="2"/>
        <scheme val="minor"/>
      </rPr>
      <t>70997</t>
    </r>
    <r>
      <rPr>
        <sz val="11"/>
        <color theme="1"/>
        <rFont val="Calibri"/>
        <family val="2"/>
        <scheme val="minor"/>
      </rPr>
      <t xml:space="preserve"> - Transportation, Distribution, and Logistics-Independent Study
</t>
    </r>
    <r>
      <rPr>
        <b/>
        <sz val="11"/>
        <color theme="1"/>
        <rFont val="Calibri"/>
        <family val="2"/>
        <scheme val="minor"/>
      </rPr>
      <t>70999</t>
    </r>
    <r>
      <rPr>
        <sz val="11"/>
        <color theme="1"/>
        <rFont val="Calibri"/>
        <family val="2"/>
        <scheme val="minor"/>
      </rPr>
      <t xml:space="preserve"> - Transportation, Distribution, and Logistics-Other
</t>
    </r>
    <r>
      <rPr>
        <b/>
        <sz val="11"/>
        <color theme="1"/>
        <rFont val="Calibri"/>
        <family val="2"/>
        <scheme val="minor"/>
      </rPr>
      <t>72005</t>
    </r>
    <r>
      <rPr>
        <sz val="11"/>
        <color theme="1"/>
        <rFont val="Calibri"/>
        <family val="2"/>
        <scheme val="minor"/>
      </rPr>
      <t xml:space="preserve"> - Tutorial
</t>
    </r>
    <r>
      <rPr>
        <b/>
        <sz val="11"/>
        <color theme="1"/>
        <rFont val="Calibri"/>
        <family val="2"/>
        <scheme val="minor"/>
      </rPr>
      <t>54107</t>
    </r>
    <r>
      <rPr>
        <sz val="11"/>
        <color theme="1"/>
        <rFont val="Calibri"/>
        <family val="2"/>
        <scheme val="minor"/>
      </rPr>
      <t xml:space="preserve"> - U.S. Ethnic Studies
</t>
    </r>
    <r>
      <rPr>
        <b/>
        <sz val="11"/>
        <color theme="1"/>
        <rFont val="Calibri"/>
        <family val="2"/>
        <scheme val="minor"/>
      </rPr>
      <t>54003</t>
    </r>
    <r>
      <rPr>
        <sz val="11"/>
        <color theme="1"/>
        <rFont val="Calibri"/>
        <family val="2"/>
        <scheme val="minor"/>
      </rPr>
      <t xml:space="preserve"> - U.S. Geography
</t>
    </r>
    <r>
      <rPr>
        <b/>
        <sz val="11"/>
        <color theme="1"/>
        <rFont val="Calibri"/>
        <family val="2"/>
        <scheme val="minor"/>
      </rPr>
      <t>54151</t>
    </r>
    <r>
      <rPr>
        <sz val="11"/>
        <color theme="1"/>
        <rFont val="Calibri"/>
        <family val="2"/>
        <scheme val="minor"/>
      </rPr>
      <t xml:space="preserve"> - U.S. Government-Comprehensive
</t>
    </r>
    <r>
      <rPr>
        <b/>
        <sz val="11"/>
        <color theme="1"/>
        <rFont val="Calibri"/>
        <family val="2"/>
        <scheme val="minor"/>
      </rPr>
      <t>54101</t>
    </r>
    <r>
      <rPr>
        <sz val="11"/>
        <color theme="1"/>
        <rFont val="Calibri"/>
        <family val="2"/>
        <scheme val="minor"/>
      </rPr>
      <t xml:space="preserve"> - U.S. History-Comprehensive
</t>
    </r>
    <r>
      <rPr>
        <b/>
        <sz val="11"/>
        <color theme="1"/>
        <rFont val="Calibri"/>
        <family val="2"/>
        <scheme val="minor"/>
      </rPr>
      <t>54147</t>
    </r>
    <r>
      <rPr>
        <sz val="11"/>
        <color theme="1"/>
        <rFont val="Calibri"/>
        <family val="2"/>
        <scheme val="minor"/>
      </rPr>
      <t xml:space="preserve"> - U.S. History-Independent Study
</t>
    </r>
    <r>
      <rPr>
        <b/>
        <sz val="11"/>
        <color theme="1"/>
        <rFont val="Calibri"/>
        <family val="2"/>
        <scheme val="minor"/>
      </rPr>
      <t>54149</t>
    </r>
    <r>
      <rPr>
        <sz val="11"/>
        <color theme="1"/>
        <rFont val="Calibri"/>
        <family val="2"/>
        <scheme val="minor"/>
      </rPr>
      <t xml:space="preserve"> - U.S. History-Other
</t>
    </r>
    <r>
      <rPr>
        <b/>
        <sz val="11"/>
        <color theme="1"/>
        <rFont val="Calibri"/>
        <family val="2"/>
        <scheme val="minor"/>
      </rPr>
      <t>53202</t>
    </r>
    <r>
      <rPr>
        <sz val="11"/>
        <color theme="1"/>
        <rFont val="Calibri"/>
        <family val="2"/>
        <scheme val="minor"/>
      </rPr>
      <t xml:space="preserve"> - Unified Science
</t>
    </r>
    <r>
      <rPr>
        <b/>
        <sz val="11"/>
        <color theme="1"/>
        <rFont val="Calibri"/>
        <family val="2"/>
        <scheme val="minor"/>
      </rPr>
      <t>72105</t>
    </r>
    <r>
      <rPr>
        <sz val="11"/>
        <color theme="1"/>
        <rFont val="Calibri"/>
        <family val="2"/>
        <scheme val="minor"/>
      </rPr>
      <t xml:space="preserve"> - Values Clarification
</t>
    </r>
    <r>
      <rPr>
        <b/>
        <sz val="11"/>
        <color theme="1"/>
        <rFont val="Calibri"/>
        <family val="2"/>
        <scheme val="minor"/>
      </rPr>
      <t>61055</t>
    </r>
    <r>
      <rPr>
        <sz val="11"/>
        <color theme="1"/>
        <rFont val="Calibri"/>
        <family val="2"/>
        <scheme val="minor"/>
      </rPr>
      <t xml:space="preserve"> - Video
</t>
    </r>
    <r>
      <rPr>
        <b/>
        <sz val="11"/>
        <color theme="1"/>
        <rFont val="Calibri"/>
        <family val="2"/>
        <scheme val="minor"/>
      </rPr>
      <t>56500</t>
    </r>
    <r>
      <rPr>
        <sz val="11"/>
        <color theme="1"/>
        <rFont val="Calibri"/>
        <family val="2"/>
        <scheme val="minor"/>
      </rPr>
      <t xml:space="preserve"> - Vietnamese
</t>
    </r>
    <r>
      <rPr>
        <b/>
        <sz val="11"/>
        <color theme="1"/>
        <rFont val="Calibri"/>
        <family val="2"/>
        <scheme val="minor"/>
      </rPr>
      <t>55197</t>
    </r>
    <r>
      <rPr>
        <sz val="11"/>
        <color theme="1"/>
        <rFont val="Calibri"/>
        <family val="2"/>
        <scheme val="minor"/>
      </rPr>
      <t xml:space="preserve"> - Visual Art-Independent Study
</t>
    </r>
    <r>
      <rPr>
        <b/>
        <sz val="11"/>
        <color theme="1"/>
        <rFont val="Calibri"/>
        <family val="2"/>
        <scheme val="minor"/>
      </rPr>
      <t>55199</t>
    </r>
    <r>
      <rPr>
        <sz val="11"/>
        <color theme="1"/>
        <rFont val="Calibri"/>
        <family val="2"/>
        <scheme val="minor"/>
      </rPr>
      <t xml:space="preserve"> - Visual Arts-Other
</t>
    </r>
    <r>
      <rPr>
        <b/>
        <sz val="11"/>
        <color theme="1"/>
        <rFont val="Calibri"/>
        <family val="2"/>
        <scheme val="minor"/>
      </rPr>
      <t>55111</t>
    </r>
    <r>
      <rPr>
        <sz val="11"/>
        <color theme="1"/>
        <rFont val="Calibri"/>
        <family val="2"/>
        <scheme val="minor"/>
      </rPr>
      <t xml:space="preserve"> - Vocal Ensembles
</t>
    </r>
    <r>
      <rPr>
        <b/>
        <sz val="11"/>
        <color theme="1"/>
        <rFont val="Calibri"/>
        <family val="2"/>
        <scheme val="minor"/>
      </rPr>
      <t>60201</t>
    </r>
    <r>
      <rPr>
        <sz val="11"/>
        <color theme="1"/>
        <rFont val="Calibri"/>
        <family val="2"/>
        <scheme val="minor"/>
      </rPr>
      <t xml:space="preserve"> - Web Page Design
</t>
    </r>
    <r>
      <rPr>
        <b/>
        <sz val="11"/>
        <color theme="1"/>
        <rFont val="Calibri"/>
        <family val="2"/>
        <scheme val="minor"/>
      </rPr>
      <t>54063</t>
    </r>
    <r>
      <rPr>
        <sz val="11"/>
        <color theme="1"/>
        <rFont val="Calibri"/>
        <family val="2"/>
        <scheme val="minor"/>
      </rPr>
      <t xml:space="preserve"> - Western Civilization
</t>
    </r>
    <r>
      <rPr>
        <b/>
        <sz val="11"/>
        <color theme="1"/>
        <rFont val="Calibri"/>
        <family val="2"/>
        <scheme val="minor"/>
      </rPr>
      <t>62006</t>
    </r>
    <r>
      <rPr>
        <sz val="11"/>
        <color theme="1"/>
        <rFont val="Calibri"/>
        <family val="2"/>
        <scheme val="minor"/>
      </rPr>
      <t xml:space="preserve"> - Word Processing
</t>
    </r>
    <r>
      <rPr>
        <b/>
        <sz val="11"/>
        <color theme="1"/>
        <rFont val="Calibri"/>
        <family val="2"/>
        <scheme val="minor"/>
      </rPr>
      <t>54061</t>
    </r>
    <r>
      <rPr>
        <sz val="11"/>
        <color theme="1"/>
        <rFont val="Calibri"/>
        <family val="2"/>
        <scheme val="minor"/>
      </rPr>
      <t xml:space="preserve"> - World Area Studies
</t>
    </r>
    <r>
      <rPr>
        <b/>
        <sz val="11"/>
        <color theme="1"/>
        <rFont val="Calibri"/>
        <family val="2"/>
        <scheme val="minor"/>
      </rPr>
      <t>54001</t>
    </r>
    <r>
      <rPr>
        <sz val="11"/>
        <color theme="1"/>
        <rFont val="Calibri"/>
        <family val="2"/>
        <scheme val="minor"/>
      </rPr>
      <t xml:space="preserve"> - World Geography
</t>
    </r>
    <r>
      <rPr>
        <b/>
        <sz val="11"/>
        <color theme="1"/>
        <rFont val="Calibri"/>
        <family val="2"/>
        <scheme val="minor"/>
      </rPr>
      <t>54097</t>
    </r>
    <r>
      <rPr>
        <sz val="11"/>
        <color theme="1"/>
        <rFont val="Calibri"/>
        <family val="2"/>
        <scheme val="minor"/>
      </rPr>
      <t xml:space="preserve"> - World History-Independent Study
</t>
    </r>
    <r>
      <rPr>
        <b/>
        <sz val="11"/>
        <color theme="1"/>
        <rFont val="Calibri"/>
        <family val="2"/>
        <scheme val="minor"/>
      </rPr>
      <t>54051</t>
    </r>
    <r>
      <rPr>
        <sz val="11"/>
        <color theme="1"/>
        <rFont val="Calibri"/>
        <family val="2"/>
        <scheme val="minor"/>
      </rPr>
      <t xml:space="preserve"> - World History-Overview
</t>
    </r>
    <r>
      <rPr>
        <b/>
        <sz val="11"/>
        <color theme="1"/>
        <rFont val="Calibri"/>
        <family val="2"/>
        <scheme val="minor"/>
      </rPr>
      <t>54062</t>
    </r>
    <r>
      <rPr>
        <sz val="11"/>
        <color theme="1"/>
        <rFont val="Calibri"/>
        <family val="2"/>
        <scheme val="minor"/>
      </rPr>
      <t xml:space="preserve"> - World People Studies
</t>
    </r>
    <r>
      <rPr>
        <b/>
        <sz val="11"/>
        <color theme="1"/>
        <rFont val="Calibri"/>
        <family val="2"/>
        <scheme val="minor"/>
      </rPr>
      <t>51128</t>
    </r>
    <r>
      <rPr>
        <sz val="11"/>
        <color theme="1"/>
        <rFont val="Calibri"/>
        <family val="2"/>
        <scheme val="minor"/>
      </rPr>
      <t xml:space="preserve"> - Writing (early childhood education)
</t>
    </r>
    <r>
      <rPr>
        <b/>
        <sz val="11"/>
        <color theme="1"/>
        <rFont val="Calibri"/>
        <family val="2"/>
        <scheme val="minor"/>
      </rPr>
      <t>51131</t>
    </r>
    <r>
      <rPr>
        <sz val="11"/>
        <color theme="1"/>
        <rFont val="Calibri"/>
        <family val="2"/>
        <scheme val="minor"/>
      </rPr>
      <t xml:space="preserve"> - Writing (grade 1)
</t>
    </r>
    <r>
      <rPr>
        <b/>
        <sz val="11"/>
        <color theme="1"/>
        <rFont val="Calibri"/>
        <family val="2"/>
        <scheme val="minor"/>
      </rPr>
      <t>51132</t>
    </r>
    <r>
      <rPr>
        <sz val="11"/>
        <color theme="1"/>
        <rFont val="Calibri"/>
        <family val="2"/>
        <scheme val="minor"/>
      </rPr>
      <t xml:space="preserve"> - Writing (grade 2)
</t>
    </r>
    <r>
      <rPr>
        <b/>
        <sz val="11"/>
        <color theme="1"/>
        <rFont val="Calibri"/>
        <family val="2"/>
        <scheme val="minor"/>
      </rPr>
      <t>51133</t>
    </r>
    <r>
      <rPr>
        <sz val="11"/>
        <color theme="1"/>
        <rFont val="Calibri"/>
        <family val="2"/>
        <scheme val="minor"/>
      </rPr>
      <t xml:space="preserve"> - Writing (grade 3)
</t>
    </r>
    <r>
      <rPr>
        <b/>
        <sz val="11"/>
        <color theme="1"/>
        <rFont val="Calibri"/>
        <family val="2"/>
        <scheme val="minor"/>
      </rPr>
      <t>51134</t>
    </r>
    <r>
      <rPr>
        <sz val="11"/>
        <color theme="1"/>
        <rFont val="Calibri"/>
        <family val="2"/>
        <scheme val="minor"/>
      </rPr>
      <t xml:space="preserve"> - Writing (grade 4)
</t>
    </r>
    <r>
      <rPr>
        <b/>
        <sz val="11"/>
        <color theme="1"/>
        <rFont val="Calibri"/>
        <family val="2"/>
        <scheme val="minor"/>
      </rPr>
      <t>51135</t>
    </r>
    <r>
      <rPr>
        <sz val="11"/>
        <color theme="1"/>
        <rFont val="Calibri"/>
        <family val="2"/>
        <scheme val="minor"/>
      </rPr>
      <t xml:space="preserve"> - Writing (grade 5)
</t>
    </r>
    <r>
      <rPr>
        <b/>
        <sz val="11"/>
        <color theme="1"/>
        <rFont val="Calibri"/>
        <family val="2"/>
        <scheme val="minor"/>
      </rPr>
      <t>51136</t>
    </r>
    <r>
      <rPr>
        <sz val="11"/>
        <color theme="1"/>
        <rFont val="Calibri"/>
        <family val="2"/>
        <scheme val="minor"/>
      </rPr>
      <t xml:space="preserve"> - Writing (grade 6)
</t>
    </r>
    <r>
      <rPr>
        <b/>
        <sz val="11"/>
        <color theme="1"/>
        <rFont val="Calibri"/>
        <family val="2"/>
        <scheme val="minor"/>
      </rPr>
      <t>51137</t>
    </r>
    <r>
      <rPr>
        <sz val="11"/>
        <color theme="1"/>
        <rFont val="Calibri"/>
        <family val="2"/>
        <scheme val="minor"/>
      </rPr>
      <t xml:space="preserve"> - Writing (grade 7)
</t>
    </r>
    <r>
      <rPr>
        <b/>
        <sz val="11"/>
        <color theme="1"/>
        <rFont val="Calibri"/>
        <family val="2"/>
        <scheme val="minor"/>
      </rPr>
      <t>51138</t>
    </r>
    <r>
      <rPr>
        <sz val="11"/>
        <color theme="1"/>
        <rFont val="Calibri"/>
        <family val="2"/>
        <scheme val="minor"/>
      </rPr>
      <t xml:space="preserve"> - Writing (grade 8)
</t>
    </r>
    <r>
      <rPr>
        <b/>
        <sz val="11"/>
        <color theme="1"/>
        <rFont val="Calibri"/>
        <family val="2"/>
        <scheme val="minor"/>
      </rPr>
      <t>51130</t>
    </r>
    <r>
      <rPr>
        <sz val="11"/>
        <color theme="1"/>
        <rFont val="Calibri"/>
        <family val="2"/>
        <scheme val="minor"/>
      </rPr>
      <t xml:space="preserve"> - Writing (kindergarten)
</t>
    </r>
    <r>
      <rPr>
        <b/>
        <sz val="11"/>
        <color theme="1"/>
        <rFont val="Calibri"/>
        <family val="2"/>
        <scheme val="minor"/>
      </rPr>
      <t>51129</t>
    </r>
    <r>
      <rPr>
        <sz val="11"/>
        <color theme="1"/>
        <rFont val="Calibri"/>
        <family val="2"/>
        <scheme val="minor"/>
      </rPr>
      <t xml:space="preserve"> - Writing (pre-kindergarten)
</t>
    </r>
    <r>
      <rPr>
        <b/>
        <sz val="11"/>
        <color theme="1"/>
        <rFont val="Calibri"/>
        <family val="2"/>
        <scheme val="minor"/>
      </rPr>
      <t>51139</t>
    </r>
    <r>
      <rPr>
        <sz val="11"/>
        <color theme="1"/>
        <rFont val="Calibri"/>
        <family val="2"/>
        <scheme val="minor"/>
      </rPr>
      <t xml:space="preserve"> - Writing
</t>
    </r>
  </si>
  <si>
    <r>
      <t>51</t>
    </r>
    <r>
      <rPr>
        <sz val="11"/>
        <color theme="1"/>
        <rFont val="Calibri"/>
        <family val="2"/>
        <scheme val="minor"/>
      </rPr>
      <t xml:space="preserve"> - English Language and Literature
</t>
    </r>
    <r>
      <rPr>
        <b/>
        <sz val="11"/>
        <color theme="1"/>
        <rFont val="Calibri"/>
        <family val="2"/>
        <scheme val="minor"/>
      </rPr>
      <t>52</t>
    </r>
    <r>
      <rPr>
        <sz val="11"/>
        <color theme="1"/>
        <rFont val="Calibri"/>
        <family val="2"/>
        <scheme val="minor"/>
      </rPr>
      <t xml:space="preserve"> - Mathematics
</t>
    </r>
    <r>
      <rPr>
        <b/>
        <sz val="11"/>
        <color theme="1"/>
        <rFont val="Calibri"/>
        <family val="2"/>
        <scheme val="minor"/>
      </rPr>
      <t>53</t>
    </r>
    <r>
      <rPr>
        <sz val="11"/>
        <color theme="1"/>
        <rFont val="Calibri"/>
        <family val="2"/>
        <scheme val="minor"/>
      </rPr>
      <t xml:space="preserve"> - Life and Physical Sciences
</t>
    </r>
    <r>
      <rPr>
        <b/>
        <sz val="11"/>
        <color theme="1"/>
        <rFont val="Calibri"/>
        <family val="2"/>
        <scheme val="minor"/>
      </rPr>
      <t>54</t>
    </r>
    <r>
      <rPr>
        <sz val="11"/>
        <color theme="1"/>
        <rFont val="Calibri"/>
        <family val="2"/>
        <scheme val="minor"/>
      </rPr>
      <t xml:space="preserve"> - Social Sciences and History
</t>
    </r>
    <r>
      <rPr>
        <b/>
        <sz val="11"/>
        <color theme="1"/>
        <rFont val="Calibri"/>
        <family val="2"/>
        <scheme val="minor"/>
      </rPr>
      <t>55</t>
    </r>
    <r>
      <rPr>
        <sz val="11"/>
        <color theme="1"/>
        <rFont val="Calibri"/>
        <family val="2"/>
        <scheme val="minor"/>
      </rPr>
      <t xml:space="preserve"> - Fine and Performing Arts
</t>
    </r>
    <r>
      <rPr>
        <b/>
        <sz val="11"/>
        <color theme="1"/>
        <rFont val="Calibri"/>
        <family val="2"/>
        <scheme val="minor"/>
      </rPr>
      <t>56</t>
    </r>
    <r>
      <rPr>
        <sz val="11"/>
        <color theme="1"/>
        <rFont val="Calibri"/>
        <family val="2"/>
        <scheme val="minor"/>
      </rPr>
      <t xml:space="preserve"> - Foreign Language and Literature
</t>
    </r>
    <r>
      <rPr>
        <b/>
        <sz val="11"/>
        <color theme="1"/>
        <rFont val="Calibri"/>
        <family val="2"/>
        <scheme val="minor"/>
      </rPr>
      <t>57</t>
    </r>
    <r>
      <rPr>
        <sz val="11"/>
        <color theme="1"/>
        <rFont val="Calibri"/>
        <family val="2"/>
        <scheme val="minor"/>
      </rPr>
      <t xml:space="preserve"> - Religious Education and Theology
</t>
    </r>
    <r>
      <rPr>
        <b/>
        <sz val="11"/>
        <color theme="1"/>
        <rFont val="Calibri"/>
        <family val="2"/>
        <scheme val="minor"/>
      </rPr>
      <t>58</t>
    </r>
    <r>
      <rPr>
        <sz val="11"/>
        <color theme="1"/>
        <rFont val="Calibri"/>
        <family val="2"/>
        <scheme val="minor"/>
      </rPr>
      <t xml:space="preserve"> - Physical, Health, and Safety Education
</t>
    </r>
    <r>
      <rPr>
        <b/>
        <sz val="11"/>
        <color theme="1"/>
        <rFont val="Calibri"/>
        <family val="2"/>
        <scheme val="minor"/>
      </rPr>
      <t>59</t>
    </r>
    <r>
      <rPr>
        <sz val="11"/>
        <color theme="1"/>
        <rFont val="Calibri"/>
        <family val="2"/>
        <scheme val="minor"/>
      </rPr>
      <t xml:space="preserve"> - Military Science
</t>
    </r>
    <r>
      <rPr>
        <b/>
        <sz val="11"/>
        <color theme="1"/>
        <rFont val="Calibri"/>
        <family val="2"/>
        <scheme val="minor"/>
      </rPr>
      <t>60</t>
    </r>
    <r>
      <rPr>
        <sz val="11"/>
        <color theme="1"/>
        <rFont val="Calibri"/>
        <family val="2"/>
        <scheme val="minor"/>
      </rPr>
      <t xml:space="preserve"> - Computer and Information Sciences
</t>
    </r>
    <r>
      <rPr>
        <b/>
        <sz val="11"/>
        <color theme="1"/>
        <rFont val="Calibri"/>
        <family val="2"/>
        <scheme val="minor"/>
      </rPr>
      <t>61</t>
    </r>
    <r>
      <rPr>
        <sz val="11"/>
        <color theme="1"/>
        <rFont val="Calibri"/>
        <family val="2"/>
        <scheme val="minor"/>
      </rPr>
      <t xml:space="preserve"> - Communications and Audio/Visual Technology
</t>
    </r>
    <r>
      <rPr>
        <b/>
        <sz val="11"/>
        <color theme="1"/>
        <rFont val="Calibri"/>
        <family val="2"/>
        <scheme val="minor"/>
      </rPr>
      <t>62</t>
    </r>
    <r>
      <rPr>
        <sz val="11"/>
        <color theme="1"/>
        <rFont val="Calibri"/>
        <family val="2"/>
        <scheme val="minor"/>
      </rPr>
      <t xml:space="preserve"> - Business and Marketing
</t>
    </r>
    <r>
      <rPr>
        <b/>
        <sz val="11"/>
        <color theme="1"/>
        <rFont val="Calibri"/>
        <family val="2"/>
        <scheme val="minor"/>
      </rPr>
      <t>63</t>
    </r>
    <r>
      <rPr>
        <sz val="11"/>
        <color theme="1"/>
        <rFont val="Calibri"/>
        <family val="2"/>
        <scheme val="minor"/>
      </rPr>
      <t xml:space="preserve"> - Manufacturing
</t>
    </r>
    <r>
      <rPr>
        <b/>
        <sz val="11"/>
        <color theme="1"/>
        <rFont val="Calibri"/>
        <family val="2"/>
        <scheme val="minor"/>
      </rPr>
      <t>64</t>
    </r>
    <r>
      <rPr>
        <sz val="11"/>
        <color theme="1"/>
        <rFont val="Calibri"/>
        <family val="2"/>
        <scheme val="minor"/>
      </rPr>
      <t xml:space="preserve"> - Health Care Sciences
</t>
    </r>
    <r>
      <rPr>
        <b/>
        <sz val="11"/>
        <color theme="1"/>
        <rFont val="Calibri"/>
        <family val="2"/>
        <scheme val="minor"/>
      </rPr>
      <t>65</t>
    </r>
    <r>
      <rPr>
        <sz val="11"/>
        <color theme="1"/>
        <rFont val="Calibri"/>
        <family val="2"/>
        <scheme val="minor"/>
      </rPr>
      <t xml:space="preserve"> - Public, Protective, and Government Services
</t>
    </r>
    <r>
      <rPr>
        <b/>
        <sz val="11"/>
        <color theme="1"/>
        <rFont val="Calibri"/>
        <family val="2"/>
        <scheme val="minor"/>
      </rPr>
      <t>66</t>
    </r>
    <r>
      <rPr>
        <sz val="11"/>
        <color theme="1"/>
        <rFont val="Calibri"/>
        <family val="2"/>
        <scheme val="minor"/>
      </rPr>
      <t xml:space="preserve"> - Hospitality and Tourism
</t>
    </r>
    <r>
      <rPr>
        <b/>
        <sz val="11"/>
        <color theme="1"/>
        <rFont val="Calibri"/>
        <family val="2"/>
        <scheme val="minor"/>
      </rPr>
      <t>67</t>
    </r>
    <r>
      <rPr>
        <sz val="11"/>
        <color theme="1"/>
        <rFont val="Calibri"/>
        <family val="2"/>
        <scheme val="minor"/>
      </rPr>
      <t xml:space="preserve"> - Architecture and Construction
</t>
    </r>
    <r>
      <rPr>
        <b/>
        <sz val="11"/>
        <color theme="1"/>
        <rFont val="Calibri"/>
        <family val="2"/>
        <scheme val="minor"/>
      </rPr>
      <t>68</t>
    </r>
    <r>
      <rPr>
        <sz val="11"/>
        <color theme="1"/>
        <rFont val="Calibri"/>
        <family val="2"/>
        <scheme val="minor"/>
      </rPr>
      <t xml:space="preserve"> - Agriculture, Food, and Natural Resources
</t>
    </r>
    <r>
      <rPr>
        <b/>
        <sz val="11"/>
        <color theme="1"/>
        <rFont val="Calibri"/>
        <family val="2"/>
        <scheme val="minor"/>
      </rPr>
      <t>69</t>
    </r>
    <r>
      <rPr>
        <sz val="11"/>
        <color theme="1"/>
        <rFont val="Calibri"/>
        <family val="2"/>
        <scheme val="minor"/>
      </rPr>
      <t xml:space="preserve"> - Human Services
</t>
    </r>
    <r>
      <rPr>
        <b/>
        <sz val="11"/>
        <color theme="1"/>
        <rFont val="Calibri"/>
        <family val="2"/>
        <scheme val="minor"/>
      </rPr>
      <t>70</t>
    </r>
    <r>
      <rPr>
        <sz val="11"/>
        <color theme="1"/>
        <rFont val="Calibri"/>
        <family val="2"/>
        <scheme val="minor"/>
      </rPr>
      <t xml:space="preserve"> - Transportation, Distribution, and Logistics
</t>
    </r>
    <r>
      <rPr>
        <b/>
        <sz val="11"/>
        <color theme="1"/>
        <rFont val="Calibri"/>
        <family val="2"/>
        <scheme val="minor"/>
      </rPr>
      <t>71</t>
    </r>
    <r>
      <rPr>
        <sz val="11"/>
        <color theme="1"/>
        <rFont val="Calibri"/>
        <family val="2"/>
        <scheme val="minor"/>
      </rPr>
      <t xml:space="preserve"> - Engineering and Technology
</t>
    </r>
    <r>
      <rPr>
        <b/>
        <sz val="11"/>
        <color theme="1"/>
        <rFont val="Calibri"/>
        <family val="2"/>
        <scheme val="minor"/>
      </rPr>
      <t>72</t>
    </r>
    <r>
      <rPr>
        <sz val="11"/>
        <color theme="1"/>
        <rFont val="Calibri"/>
        <family val="2"/>
        <scheme val="minor"/>
      </rPr>
      <t xml:space="preserve"> - Miscellaneous
</t>
    </r>
    <r>
      <rPr>
        <b/>
        <sz val="11"/>
        <color theme="1"/>
        <rFont val="Calibri"/>
        <family val="2"/>
        <scheme val="minor"/>
      </rPr>
      <t>73</t>
    </r>
    <r>
      <rPr>
        <sz val="11"/>
        <color theme="1"/>
        <rFont val="Calibri"/>
        <family val="2"/>
        <scheme val="minor"/>
      </rPr>
      <t xml:space="preserve"> - Nonsubject Specific
</t>
    </r>
  </si>
  <si>
    <r>
      <t>QRIS</t>
    </r>
    <r>
      <rPr>
        <sz val="11"/>
        <color theme="1"/>
        <rFont val="Calibri"/>
        <family val="2"/>
        <scheme val="minor"/>
      </rPr>
      <t xml:space="preserve"> - Quality Rating and Improvement System
</t>
    </r>
    <r>
      <rPr>
        <b/>
        <sz val="11"/>
        <color theme="1"/>
        <rFont val="Calibri"/>
        <family val="2"/>
        <scheme val="minor"/>
      </rPr>
      <t>Licensing</t>
    </r>
    <r>
      <rPr>
        <sz val="11"/>
        <color theme="1"/>
        <rFont val="Calibri"/>
        <family val="2"/>
        <scheme val="minor"/>
      </rPr>
      <t xml:space="preserve"> - Licensing
</t>
    </r>
    <r>
      <rPr>
        <b/>
        <sz val="11"/>
        <color theme="1"/>
        <rFont val="Calibri"/>
        <family val="2"/>
        <scheme val="minor"/>
      </rPr>
      <t>StateStandard</t>
    </r>
    <r>
      <rPr>
        <sz val="11"/>
        <color theme="1"/>
        <rFont val="Calibri"/>
        <family val="2"/>
        <scheme val="minor"/>
      </rPr>
      <t xml:space="preserve"> - State standard
</t>
    </r>
    <r>
      <rPr>
        <b/>
        <sz val="11"/>
        <color theme="1"/>
        <rFont val="Calibri"/>
        <family val="2"/>
        <scheme val="minor"/>
      </rPr>
      <t>Other</t>
    </r>
    <r>
      <rPr>
        <sz val="11"/>
        <color theme="1"/>
        <rFont val="Calibri"/>
        <family val="2"/>
        <scheme val="minor"/>
      </rPr>
      <t xml:space="preserve"> - Other
</t>
    </r>
  </si>
  <si>
    <r>
      <t>Hours</t>
    </r>
    <r>
      <rPr>
        <sz val="11"/>
        <color theme="1"/>
        <rFont val="Calibri"/>
        <family val="2"/>
        <scheme val="minor"/>
      </rPr>
      <t xml:space="preserve"> - Hours
</t>
    </r>
    <r>
      <rPr>
        <b/>
        <sz val="11"/>
        <color theme="1"/>
        <rFont val="Calibri"/>
        <family val="2"/>
        <scheme val="minor"/>
      </rPr>
      <t>CEUs</t>
    </r>
    <r>
      <rPr>
        <sz val="11"/>
        <color theme="1"/>
        <rFont val="Calibri"/>
        <family val="2"/>
        <scheme val="minor"/>
      </rPr>
      <t xml:space="preserve"> - Continuing Education Units
</t>
    </r>
    <r>
      <rPr>
        <b/>
        <sz val="11"/>
        <color theme="1"/>
        <rFont val="Calibri"/>
        <family val="2"/>
        <scheme val="minor"/>
      </rPr>
      <t>QuarterCredits</t>
    </r>
    <r>
      <rPr>
        <sz val="11"/>
        <color theme="1"/>
        <rFont val="Calibri"/>
        <family val="2"/>
        <scheme val="minor"/>
      </rPr>
      <t xml:space="preserve"> - Quarter credits
</t>
    </r>
    <r>
      <rPr>
        <b/>
        <sz val="11"/>
        <color theme="1"/>
        <rFont val="Calibri"/>
        <family val="2"/>
        <scheme val="minor"/>
      </rPr>
      <t>SemesterCredits</t>
    </r>
    <r>
      <rPr>
        <sz val="11"/>
        <color theme="1"/>
        <rFont val="Calibri"/>
        <family val="2"/>
        <scheme val="minor"/>
      </rPr>
      <t xml:space="preserve"> - Semester credits
</t>
    </r>
  </si>
  <si>
    <r>
      <t>IN</t>
    </r>
    <r>
      <rPr>
        <sz val="11"/>
        <color theme="1"/>
        <rFont val="Calibri"/>
        <family val="2"/>
        <scheme val="minor"/>
      </rPr>
      <t xml:space="preserve"> - Infant
</t>
    </r>
    <r>
      <rPr>
        <b/>
        <sz val="11"/>
        <color theme="1"/>
        <rFont val="Calibri"/>
        <family val="2"/>
        <scheme val="minor"/>
      </rPr>
      <t>TO</t>
    </r>
    <r>
      <rPr>
        <sz val="11"/>
        <color theme="1"/>
        <rFont val="Calibri"/>
        <family val="2"/>
        <scheme val="minor"/>
      </rPr>
      <t xml:space="preserve"> - 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AS</t>
    </r>
    <r>
      <rPr>
        <sz val="11"/>
        <color theme="1"/>
        <rFont val="Calibri"/>
        <family val="2"/>
        <scheme val="minor"/>
      </rPr>
      <t xml:space="preserve"> - Associate's degree
</t>
    </r>
    <r>
      <rPr>
        <b/>
        <sz val="11"/>
        <color theme="1"/>
        <rFont val="Calibri"/>
        <family val="2"/>
        <scheme val="minor"/>
      </rPr>
      <t>BA</t>
    </r>
    <r>
      <rPr>
        <sz val="11"/>
        <color theme="1"/>
        <rFont val="Calibri"/>
        <family val="2"/>
        <scheme val="minor"/>
      </rPr>
      <t xml:space="preserve"> - Bachelor's degree
</t>
    </r>
    <r>
      <rPr>
        <b/>
        <sz val="11"/>
        <color theme="1"/>
        <rFont val="Calibri"/>
        <family val="2"/>
        <scheme val="minor"/>
      </rPr>
      <t>PB</t>
    </r>
    <r>
      <rPr>
        <sz val="11"/>
        <color theme="1"/>
        <rFont val="Calibri"/>
        <family val="2"/>
        <scheme val="minor"/>
      </rPr>
      <t xml:space="preserve"> - Post-baccalaureate certificate
</t>
    </r>
    <r>
      <rPr>
        <b/>
        <sz val="11"/>
        <color theme="1"/>
        <rFont val="Calibri"/>
        <family val="2"/>
        <scheme val="minor"/>
      </rPr>
      <t>MD</t>
    </r>
    <r>
      <rPr>
        <sz val="11"/>
        <color theme="1"/>
        <rFont val="Calibri"/>
        <family val="2"/>
        <scheme val="minor"/>
      </rPr>
      <t xml:space="preserve"> - Master's degree
</t>
    </r>
    <r>
      <rPr>
        <b/>
        <sz val="11"/>
        <color theme="1"/>
        <rFont val="Calibri"/>
        <family val="2"/>
        <scheme val="minor"/>
      </rPr>
      <t>PM</t>
    </r>
    <r>
      <rPr>
        <sz val="11"/>
        <color theme="1"/>
        <rFont val="Calibri"/>
        <family val="2"/>
        <scheme val="minor"/>
      </rPr>
      <t xml:space="preserve"> - Post-master's certificate
</t>
    </r>
    <r>
      <rPr>
        <b/>
        <sz val="11"/>
        <color theme="1"/>
        <rFont val="Calibri"/>
        <family val="2"/>
        <scheme val="minor"/>
      </rPr>
      <t>DO</t>
    </r>
    <r>
      <rPr>
        <sz val="11"/>
        <color theme="1"/>
        <rFont val="Calibri"/>
        <family val="2"/>
        <scheme val="minor"/>
      </rPr>
      <t xml:space="preserve"> - Doctoral degree
</t>
    </r>
    <r>
      <rPr>
        <b/>
        <sz val="11"/>
        <color theme="1"/>
        <rFont val="Calibri"/>
        <family val="2"/>
        <scheme val="minor"/>
      </rPr>
      <t>PD</t>
    </r>
    <r>
      <rPr>
        <sz val="11"/>
        <color theme="1"/>
        <rFont val="Calibri"/>
        <family val="2"/>
        <scheme val="minor"/>
      </rPr>
      <t xml:space="preserve"> - Post-doctoral certificate
</t>
    </r>
    <r>
      <rPr>
        <b/>
        <sz val="11"/>
        <color theme="1"/>
        <rFont val="Calibri"/>
        <family val="2"/>
        <scheme val="minor"/>
      </rPr>
      <t>AE</t>
    </r>
    <r>
      <rPr>
        <sz val="11"/>
        <color theme="1"/>
        <rFont val="Calibri"/>
        <family val="2"/>
        <scheme val="minor"/>
      </rPr>
      <t xml:space="preserve"> - Adult education
</t>
    </r>
    <r>
      <rPr>
        <b/>
        <sz val="11"/>
        <color theme="1"/>
        <rFont val="Calibri"/>
        <family val="2"/>
        <scheme val="minor"/>
      </rPr>
      <t>OT</t>
    </r>
    <r>
      <rPr>
        <sz val="11"/>
        <color theme="1"/>
        <rFont val="Calibri"/>
        <family val="2"/>
        <scheme val="minor"/>
      </rPr>
      <t xml:space="preserve"> - Other
</t>
    </r>
  </si>
  <si>
    <r>
      <t>AdministrativeSupportStaff</t>
    </r>
    <r>
      <rPr>
        <sz val="11"/>
        <color theme="1"/>
        <rFont val="Calibri"/>
        <family val="2"/>
        <scheme val="minor"/>
      </rPr>
      <t xml:space="preserve"> - Administrative Support Staff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AllOtherSupportStaff</t>
    </r>
    <r>
      <rPr>
        <sz val="11"/>
        <color theme="1"/>
        <rFont val="Calibri"/>
        <family val="2"/>
        <scheme val="minor"/>
      </rPr>
      <t xml:space="preserve"> - All Other Support Staff 
</t>
    </r>
    <r>
      <rPr>
        <b/>
        <sz val="11"/>
        <color theme="1"/>
        <rFont val="Calibri"/>
        <family val="2"/>
        <scheme val="minor"/>
      </rPr>
      <t>BehavioralSpecialists</t>
    </r>
    <r>
      <rPr>
        <sz val="11"/>
        <color theme="1"/>
        <rFont val="Calibri"/>
        <family val="2"/>
        <scheme val="minor"/>
      </rPr>
      <t xml:space="preserve"> - Behavioral Specialists
</t>
    </r>
    <r>
      <rPr>
        <b/>
        <sz val="11"/>
        <color theme="1"/>
        <rFont val="Calibri"/>
        <family val="2"/>
        <scheme val="minor"/>
      </rPr>
      <t>ELAssistantTeachers</t>
    </r>
    <r>
      <rPr>
        <sz val="11"/>
        <color theme="1"/>
        <rFont val="Calibri"/>
        <family val="2"/>
        <scheme val="minor"/>
      </rPr>
      <t xml:space="preserve"> - Early Leaning Assistant Teachers
</t>
    </r>
    <r>
      <rPr>
        <b/>
        <sz val="11"/>
        <color theme="1"/>
        <rFont val="Calibri"/>
        <family val="2"/>
        <scheme val="minor"/>
      </rPr>
      <t>ELTeachers</t>
    </r>
    <r>
      <rPr>
        <sz val="11"/>
        <color theme="1"/>
        <rFont val="Calibri"/>
        <family val="2"/>
        <scheme val="minor"/>
      </rPr>
      <t xml:space="preserve"> - Early Learning Teachers
</t>
    </r>
    <r>
      <rPr>
        <b/>
        <sz val="11"/>
        <color theme="1"/>
        <rFont val="Calibri"/>
        <family val="2"/>
        <scheme val="minor"/>
      </rPr>
      <t>ElementaryTeachers</t>
    </r>
    <r>
      <rPr>
        <sz val="11"/>
        <color theme="1"/>
        <rFont val="Calibri"/>
        <family val="2"/>
        <scheme val="minor"/>
      </rPr>
      <t xml:space="preserve"> - Elementary Teachers
</t>
    </r>
    <r>
      <rPr>
        <b/>
        <sz val="11"/>
        <color theme="1"/>
        <rFont val="Calibri"/>
        <family val="2"/>
        <scheme val="minor"/>
      </rPr>
      <t>FamilyServiceWorkers</t>
    </r>
    <r>
      <rPr>
        <sz val="11"/>
        <color theme="1"/>
        <rFont val="Calibri"/>
        <family val="2"/>
        <scheme val="minor"/>
      </rPr>
      <t xml:space="preserve"> - Family Service Workers
</t>
    </r>
    <r>
      <rPr>
        <b/>
        <sz val="11"/>
        <color theme="1"/>
        <rFont val="Calibri"/>
        <family val="2"/>
        <scheme val="minor"/>
      </rPr>
      <t>HealthSpecialists</t>
    </r>
    <r>
      <rPr>
        <sz val="11"/>
        <color theme="1"/>
        <rFont val="Calibri"/>
        <family val="2"/>
        <scheme val="minor"/>
      </rPr>
      <t xml:space="preserve"> - Health Specialists
</t>
    </r>
    <r>
      <rPr>
        <b/>
        <sz val="11"/>
        <color theme="1"/>
        <rFont val="Calibri"/>
        <family val="2"/>
        <scheme val="minor"/>
      </rPr>
      <t>HomeVisitors</t>
    </r>
    <r>
      <rPr>
        <sz val="11"/>
        <color theme="1"/>
        <rFont val="Calibri"/>
        <family val="2"/>
        <scheme val="minor"/>
      </rPr>
      <t xml:space="preserve"> - Home Visitors
</t>
    </r>
    <r>
      <rPr>
        <b/>
        <sz val="11"/>
        <color theme="1"/>
        <rFont val="Calibri"/>
        <family val="2"/>
        <scheme val="minor"/>
      </rPr>
      <t>InstructionalCoordinators</t>
    </r>
    <r>
      <rPr>
        <sz val="11"/>
        <color theme="1"/>
        <rFont val="Calibri"/>
        <family val="2"/>
        <scheme val="minor"/>
      </rPr>
      <t xml:space="preserve"> - Instructional Coordinators
</t>
    </r>
    <r>
      <rPr>
        <b/>
        <sz val="11"/>
        <color theme="1"/>
        <rFont val="Calibri"/>
        <family val="2"/>
        <scheme val="minor"/>
      </rPr>
      <t>KindergartenTeachers</t>
    </r>
    <r>
      <rPr>
        <sz val="11"/>
        <color theme="1"/>
        <rFont val="Calibri"/>
        <family val="2"/>
        <scheme val="minor"/>
      </rPr>
      <t xml:space="preserve"> - Kindergarten Teachers
</t>
    </r>
    <r>
      <rPr>
        <b/>
        <sz val="11"/>
        <color theme="1"/>
        <rFont val="Calibri"/>
        <family val="2"/>
        <scheme val="minor"/>
      </rPr>
      <t>LibraryMediaSpecialists</t>
    </r>
    <r>
      <rPr>
        <sz val="11"/>
        <color theme="1"/>
        <rFont val="Calibri"/>
        <family val="2"/>
        <scheme val="minor"/>
      </rPr>
      <t xml:space="preserve"> - Librarians/Media Specialists
</t>
    </r>
    <r>
      <rPr>
        <b/>
        <sz val="11"/>
        <color theme="1"/>
        <rFont val="Calibri"/>
        <family val="2"/>
        <scheme val="minor"/>
      </rPr>
      <t>LibraryMediaSupportStaff</t>
    </r>
    <r>
      <rPr>
        <sz val="11"/>
        <color theme="1"/>
        <rFont val="Calibri"/>
        <family val="2"/>
        <scheme val="minor"/>
      </rPr>
      <t xml:space="preserve"> - Library/Media Support Staff
</t>
    </r>
    <r>
      <rPr>
        <b/>
        <sz val="11"/>
        <color theme="1"/>
        <rFont val="Calibri"/>
        <family val="2"/>
        <scheme val="minor"/>
      </rPr>
      <t>MentalHealthSpecialists</t>
    </r>
    <r>
      <rPr>
        <sz val="11"/>
        <color theme="1"/>
        <rFont val="Calibri"/>
        <family val="2"/>
        <scheme val="minor"/>
      </rPr>
      <t xml:space="preserve"> - Mental Health Specialists
</t>
    </r>
    <r>
      <rPr>
        <b/>
        <sz val="11"/>
        <color theme="1"/>
        <rFont val="Calibri"/>
        <family val="2"/>
        <scheme val="minor"/>
      </rPr>
      <t>NutritionSpecialists</t>
    </r>
    <r>
      <rPr>
        <sz val="11"/>
        <color theme="1"/>
        <rFont val="Calibri"/>
        <family val="2"/>
        <scheme val="minor"/>
      </rPr>
      <t xml:space="preserve"> - Nutrition Specialists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PartCEarlyInterventionists</t>
    </r>
    <r>
      <rPr>
        <sz val="11"/>
        <color theme="1"/>
        <rFont val="Calibri"/>
        <family val="2"/>
        <scheme val="minor"/>
      </rPr>
      <t xml:space="preserve"> - Part C Early Interventionists
</t>
    </r>
    <r>
      <rPr>
        <b/>
        <sz val="11"/>
        <color theme="1"/>
        <rFont val="Calibri"/>
        <family val="2"/>
        <scheme val="minor"/>
      </rPr>
      <t>PartCServiceCoordinators</t>
    </r>
    <r>
      <rPr>
        <sz val="11"/>
        <color theme="1"/>
        <rFont val="Calibri"/>
        <family val="2"/>
        <scheme val="minor"/>
      </rPr>
      <t xml:space="preserve"> - Part C Service Coordinators
</t>
    </r>
    <r>
      <rPr>
        <b/>
        <sz val="11"/>
        <color theme="1"/>
        <rFont val="Calibri"/>
        <family val="2"/>
        <scheme val="minor"/>
      </rPr>
      <t>SchoolCounselors</t>
    </r>
    <r>
      <rPr>
        <sz val="11"/>
        <color theme="1"/>
        <rFont val="Calibri"/>
        <family val="2"/>
        <scheme val="minor"/>
      </rPr>
      <t xml:space="preserve"> - School Counselors
</t>
    </r>
    <r>
      <rPr>
        <b/>
        <sz val="11"/>
        <color theme="1"/>
        <rFont val="Calibri"/>
        <family val="2"/>
        <scheme val="minor"/>
      </rPr>
      <t>SecondaryTeachers</t>
    </r>
    <r>
      <rPr>
        <sz val="11"/>
        <color theme="1"/>
        <rFont val="Calibri"/>
        <family val="2"/>
        <scheme val="minor"/>
      </rPr>
      <t xml:space="preserve"> - Secondary Teachers
</t>
    </r>
    <r>
      <rPr>
        <b/>
        <sz val="11"/>
        <color theme="1"/>
        <rFont val="Calibri"/>
        <family val="2"/>
        <scheme val="minor"/>
      </rPr>
      <t>SocialWorkers</t>
    </r>
    <r>
      <rPr>
        <sz val="11"/>
        <color theme="1"/>
        <rFont val="Calibri"/>
        <family val="2"/>
        <scheme val="minor"/>
      </rPr>
      <t xml:space="preserve"> - Social Workers
</t>
    </r>
    <r>
      <rPr>
        <b/>
        <sz val="11"/>
        <color theme="1"/>
        <rFont val="Calibri"/>
        <family val="2"/>
        <scheme val="minor"/>
      </rPr>
      <t>SpecialEducationTeachers</t>
    </r>
    <r>
      <rPr>
        <sz val="11"/>
        <color theme="1"/>
        <rFont val="Calibri"/>
        <family val="2"/>
        <scheme val="minor"/>
      </rPr>
      <t xml:space="preserve"> - Special Education Teachers
</t>
    </r>
    <r>
      <rPr>
        <b/>
        <sz val="11"/>
        <color theme="1"/>
        <rFont val="Calibri"/>
        <family val="2"/>
        <scheme val="minor"/>
      </rPr>
      <t>SpecialNeedsSpecialists</t>
    </r>
    <r>
      <rPr>
        <sz val="11"/>
        <color theme="1"/>
        <rFont val="Calibri"/>
        <family val="2"/>
        <scheme val="minor"/>
      </rPr>
      <t xml:space="preserve"> - Special Needs Specialists
</t>
    </r>
    <r>
      <rPr>
        <b/>
        <sz val="11"/>
        <color theme="1"/>
        <rFont val="Calibri"/>
        <family val="2"/>
        <scheme val="minor"/>
      </rPr>
      <t>StudentSupportServicesStaff</t>
    </r>
    <r>
      <rPr>
        <sz val="11"/>
        <color theme="1"/>
        <rFont val="Calibri"/>
        <family val="2"/>
        <scheme val="minor"/>
      </rPr>
      <t xml:space="preserve"> - Student Support Services Staff
</t>
    </r>
    <r>
      <rPr>
        <b/>
        <sz val="11"/>
        <color theme="1"/>
        <rFont val="Calibri"/>
        <family val="2"/>
        <scheme val="minor"/>
      </rPr>
      <t>UngradedTeachers</t>
    </r>
    <r>
      <rPr>
        <sz val="11"/>
        <color theme="1"/>
        <rFont val="Calibri"/>
        <family val="2"/>
        <scheme val="minor"/>
      </rPr>
      <t xml:space="preserve"> - Ungraded Teachers
</t>
    </r>
    <r>
      <rPr>
        <b/>
        <sz val="11"/>
        <color theme="1"/>
        <rFont val="Calibri"/>
        <family val="2"/>
        <scheme val="minor"/>
      </rPr>
      <t>Other</t>
    </r>
    <r>
      <rPr>
        <sz val="11"/>
        <color theme="1"/>
        <rFont val="Calibri"/>
        <family val="2"/>
        <scheme val="minor"/>
      </rPr>
      <t xml:space="preserve"> - Other
</t>
    </r>
  </si>
  <si>
    <r>
      <t>CollegeCourse</t>
    </r>
    <r>
      <rPr>
        <sz val="11"/>
        <color theme="1"/>
        <rFont val="Calibri"/>
        <family val="2"/>
        <scheme val="minor"/>
      </rPr>
      <t xml:space="preserve"> - College Course
</t>
    </r>
    <r>
      <rPr>
        <b/>
        <sz val="11"/>
        <color theme="1"/>
        <rFont val="Calibri"/>
        <family val="2"/>
        <scheme val="minor"/>
      </rPr>
      <t>Training</t>
    </r>
    <r>
      <rPr>
        <sz val="11"/>
        <color theme="1"/>
        <rFont val="Calibri"/>
        <family val="2"/>
        <scheme val="minor"/>
      </rPr>
      <t xml:space="preserve"> - Training
</t>
    </r>
    <r>
      <rPr>
        <b/>
        <sz val="11"/>
        <color theme="1"/>
        <rFont val="Calibri"/>
        <family val="2"/>
        <scheme val="minor"/>
      </rPr>
      <t>Coaching</t>
    </r>
    <r>
      <rPr>
        <sz val="11"/>
        <color theme="1"/>
        <rFont val="Calibri"/>
        <family val="2"/>
        <scheme val="minor"/>
      </rPr>
      <t xml:space="preserve"> - Coaching
</t>
    </r>
    <r>
      <rPr>
        <b/>
        <sz val="11"/>
        <color theme="1"/>
        <rFont val="Calibri"/>
        <family val="2"/>
        <scheme val="minor"/>
      </rPr>
      <t>Mentoring</t>
    </r>
    <r>
      <rPr>
        <sz val="11"/>
        <color theme="1"/>
        <rFont val="Calibri"/>
        <family val="2"/>
        <scheme val="minor"/>
      </rPr>
      <t xml:space="preserve"> - Mentoring
</t>
    </r>
    <r>
      <rPr>
        <b/>
        <sz val="11"/>
        <color theme="1"/>
        <rFont val="Calibri"/>
        <family val="2"/>
        <scheme val="minor"/>
      </rPr>
      <t>Consultation</t>
    </r>
    <r>
      <rPr>
        <sz val="11"/>
        <color theme="1"/>
        <rFont val="Calibri"/>
        <family val="2"/>
        <scheme val="minor"/>
      </rPr>
      <t xml:space="preserve"> - Consultation
</t>
    </r>
    <r>
      <rPr>
        <b/>
        <sz val="11"/>
        <color theme="1"/>
        <rFont val="Calibri"/>
        <family val="2"/>
        <scheme val="minor"/>
      </rPr>
      <t>P2P</t>
    </r>
    <r>
      <rPr>
        <sz val="11"/>
        <color theme="1"/>
        <rFont val="Calibri"/>
        <family val="2"/>
        <scheme val="minor"/>
      </rPr>
      <t xml:space="preserve"> - Person-to-Person
</t>
    </r>
    <r>
      <rPr>
        <b/>
        <sz val="11"/>
        <color theme="1"/>
        <rFont val="Calibri"/>
        <family val="2"/>
        <scheme val="minor"/>
      </rPr>
      <t>TechnicalAssistance</t>
    </r>
    <r>
      <rPr>
        <sz val="11"/>
        <color theme="1"/>
        <rFont val="Calibri"/>
        <family val="2"/>
        <scheme val="minor"/>
      </rPr>
      <t xml:space="preserve"> - Technical Assistance
</t>
    </r>
    <r>
      <rPr>
        <b/>
        <sz val="11"/>
        <color theme="1"/>
        <rFont val="Calibri"/>
        <family val="2"/>
        <scheme val="minor"/>
      </rPr>
      <t>Advisement</t>
    </r>
    <r>
      <rPr>
        <sz val="11"/>
        <color theme="1"/>
        <rFont val="Calibri"/>
        <family val="2"/>
        <scheme val="minor"/>
      </rPr>
      <t xml:space="preserve"> - Advisement
</t>
    </r>
    <r>
      <rPr>
        <b/>
        <sz val="11"/>
        <color theme="1"/>
        <rFont val="Calibri"/>
        <family val="2"/>
        <scheme val="minor"/>
      </rPr>
      <t>Other</t>
    </r>
    <r>
      <rPr>
        <sz val="11"/>
        <color theme="1"/>
        <rFont val="Calibri"/>
        <family val="2"/>
        <scheme val="minor"/>
      </rPr>
      <t xml:space="preserve"> - Other
</t>
    </r>
  </si>
  <si>
    <r>
      <t>Onsite</t>
    </r>
    <r>
      <rPr>
        <sz val="11"/>
        <color theme="1"/>
        <rFont val="Calibri"/>
        <family val="2"/>
        <scheme val="minor"/>
      </rPr>
      <t xml:space="preserve"> - Onsite
</t>
    </r>
    <r>
      <rPr>
        <b/>
        <sz val="11"/>
        <color theme="1"/>
        <rFont val="Calibri"/>
        <family val="2"/>
        <scheme val="minor"/>
      </rPr>
      <t>Virtual</t>
    </r>
    <r>
      <rPr>
        <sz val="11"/>
        <color theme="1"/>
        <rFont val="Calibri"/>
        <family val="2"/>
        <scheme val="minor"/>
      </rPr>
      <t xml:space="preserve"> - Virtual classroom
</t>
    </r>
    <r>
      <rPr>
        <b/>
        <sz val="11"/>
        <color theme="1"/>
        <rFont val="Calibri"/>
        <family val="2"/>
        <scheme val="minor"/>
      </rPr>
      <t>Off-Site</t>
    </r>
    <r>
      <rPr>
        <sz val="11"/>
        <color theme="1"/>
        <rFont val="Calibri"/>
        <family val="2"/>
        <scheme val="minor"/>
      </rPr>
      <t xml:space="preserve"> - Off-site classroom
</t>
    </r>
    <r>
      <rPr>
        <b/>
        <sz val="11"/>
        <color theme="1"/>
        <rFont val="Calibri"/>
        <family val="2"/>
        <scheme val="minor"/>
      </rPr>
      <t>Conference</t>
    </r>
    <r>
      <rPr>
        <sz val="11"/>
        <color theme="1"/>
        <rFont val="Calibri"/>
        <family val="2"/>
        <scheme val="minor"/>
      </rPr>
      <t xml:space="preserve"> - Conference
</t>
    </r>
  </si>
  <si>
    <r>
      <t>01</t>
    </r>
    <r>
      <rPr>
        <sz val="11"/>
        <color theme="1"/>
        <rFont val="Calibri"/>
        <family val="2"/>
        <scheme val="minor"/>
      </rPr>
      <t xml:space="preserve"> - One time non-credit
</t>
    </r>
    <r>
      <rPr>
        <b/>
        <sz val="11"/>
        <color theme="1"/>
        <rFont val="Calibri"/>
        <family val="2"/>
        <scheme val="minor"/>
      </rPr>
      <t>02</t>
    </r>
    <r>
      <rPr>
        <sz val="11"/>
        <color theme="1"/>
        <rFont val="Calibri"/>
        <family val="2"/>
        <scheme val="minor"/>
      </rPr>
      <t xml:space="preserve"> - One time credit paid
</t>
    </r>
    <r>
      <rPr>
        <b/>
        <sz val="11"/>
        <color theme="1"/>
        <rFont val="Calibri"/>
        <family val="2"/>
        <scheme val="minor"/>
      </rPr>
      <t>03</t>
    </r>
    <r>
      <rPr>
        <sz val="11"/>
        <color theme="1"/>
        <rFont val="Calibri"/>
        <family val="2"/>
        <scheme val="minor"/>
      </rPr>
      <t xml:space="preserve"> - On-going non-credit paid
</t>
    </r>
    <r>
      <rPr>
        <b/>
        <sz val="11"/>
        <color theme="1"/>
        <rFont val="Calibri"/>
        <family val="2"/>
        <scheme val="minor"/>
      </rPr>
      <t>04</t>
    </r>
    <r>
      <rPr>
        <sz val="11"/>
        <color theme="1"/>
        <rFont val="Calibri"/>
        <family val="2"/>
        <scheme val="minor"/>
      </rPr>
      <t xml:space="preserve"> - On-going credit paid
</t>
    </r>
    <r>
      <rPr>
        <b/>
        <sz val="11"/>
        <color theme="1"/>
        <rFont val="Calibri"/>
        <family val="2"/>
        <scheme val="minor"/>
      </rPr>
      <t>05</t>
    </r>
    <r>
      <rPr>
        <sz val="11"/>
        <color theme="1"/>
        <rFont val="Calibri"/>
        <family val="2"/>
        <scheme val="minor"/>
      </rPr>
      <t xml:space="preserve"> - Salary bonus
</t>
    </r>
    <r>
      <rPr>
        <b/>
        <sz val="11"/>
        <color theme="1"/>
        <rFont val="Calibri"/>
        <family val="2"/>
        <scheme val="minor"/>
      </rPr>
      <t>06</t>
    </r>
    <r>
      <rPr>
        <sz val="11"/>
        <color theme="1"/>
        <rFont val="Calibri"/>
        <family val="2"/>
        <scheme val="minor"/>
      </rPr>
      <t xml:space="preserve"> - Wage enhancement
</t>
    </r>
    <r>
      <rPr>
        <b/>
        <sz val="11"/>
        <color theme="1"/>
        <rFont val="Calibri"/>
        <family val="2"/>
        <scheme val="minor"/>
      </rPr>
      <t>07</t>
    </r>
    <r>
      <rPr>
        <sz val="11"/>
        <color theme="1"/>
        <rFont val="Calibri"/>
        <family val="2"/>
        <scheme val="minor"/>
      </rPr>
      <t xml:space="preserve"> - Tuition reimbursement
</t>
    </r>
    <r>
      <rPr>
        <b/>
        <sz val="11"/>
        <color theme="1"/>
        <rFont val="Calibri"/>
        <family val="2"/>
        <scheme val="minor"/>
      </rPr>
      <t>08</t>
    </r>
    <r>
      <rPr>
        <sz val="11"/>
        <color theme="1"/>
        <rFont val="Calibri"/>
        <family val="2"/>
        <scheme val="minor"/>
      </rPr>
      <t xml:space="preserve"> - Travel child care
</t>
    </r>
    <r>
      <rPr>
        <b/>
        <sz val="11"/>
        <color theme="1"/>
        <rFont val="Calibri"/>
        <family val="2"/>
        <scheme val="minor"/>
      </rPr>
      <t>09</t>
    </r>
    <r>
      <rPr>
        <sz val="11"/>
        <color theme="1"/>
        <rFont val="Calibri"/>
        <family val="2"/>
        <scheme val="minor"/>
      </rPr>
      <t xml:space="preserve"> - Release time
</t>
    </r>
    <r>
      <rPr>
        <b/>
        <sz val="11"/>
        <color theme="1"/>
        <rFont val="Calibri"/>
        <family val="2"/>
        <scheme val="minor"/>
      </rPr>
      <t>10</t>
    </r>
    <r>
      <rPr>
        <sz val="11"/>
        <color theme="1"/>
        <rFont val="Calibri"/>
        <family val="2"/>
        <scheme val="minor"/>
      </rPr>
      <t xml:space="preserve"> - Scholarship
</t>
    </r>
    <r>
      <rPr>
        <b/>
        <sz val="11"/>
        <color theme="1"/>
        <rFont val="Calibri"/>
        <family val="2"/>
        <scheme val="minor"/>
      </rPr>
      <t>11</t>
    </r>
    <r>
      <rPr>
        <sz val="11"/>
        <color theme="1"/>
        <rFont val="Calibri"/>
        <family val="2"/>
        <scheme val="minor"/>
      </rPr>
      <t xml:space="preserve"> - Loan
</t>
    </r>
  </si>
  <si>
    <r>
      <t>Broadcast</t>
    </r>
    <r>
      <rPr>
        <sz val="11"/>
        <color theme="1"/>
        <rFont val="Calibri"/>
        <family val="2"/>
        <scheme val="minor"/>
      </rPr>
      <t xml:space="preserve"> - Broadcast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EarlyCollege</t>
    </r>
    <r>
      <rPr>
        <sz val="11"/>
        <color theme="1"/>
        <rFont val="Calibri"/>
        <family val="2"/>
        <scheme val="minor"/>
      </rPr>
      <t xml:space="preserve"> - Early College
</t>
    </r>
    <r>
      <rPr>
        <b/>
        <sz val="11"/>
        <color theme="1"/>
        <rFont val="Calibri"/>
        <family val="2"/>
        <scheme val="minor"/>
      </rPr>
      <t>AudioVideo</t>
    </r>
    <r>
      <rPr>
        <sz val="11"/>
        <color theme="1"/>
        <rFont val="Calibri"/>
        <family val="2"/>
        <scheme val="minor"/>
      </rPr>
      <t xml:space="preserve"> - Interactive Audio/Video
</t>
    </r>
    <r>
      <rPr>
        <b/>
        <sz val="11"/>
        <color theme="1"/>
        <rFont val="Calibri"/>
        <family val="2"/>
        <scheme val="minor"/>
      </rPr>
      <t>Conference</t>
    </r>
    <r>
      <rPr>
        <sz val="11"/>
        <color theme="1"/>
        <rFont val="Calibri"/>
        <family val="2"/>
        <scheme val="minor"/>
      </rPr>
      <t xml:space="preserve"> - Conference
</t>
    </r>
    <r>
      <rPr>
        <b/>
        <sz val="11"/>
        <color theme="1"/>
        <rFont val="Calibri"/>
        <family val="2"/>
        <scheme val="minor"/>
      </rPr>
      <t>Online</t>
    </r>
    <r>
      <rPr>
        <sz val="11"/>
        <color theme="1"/>
        <rFont val="Calibri"/>
        <family val="2"/>
        <scheme val="minor"/>
      </rPr>
      <t xml:space="preserve"> - Online
</t>
    </r>
    <r>
      <rPr>
        <b/>
        <sz val="11"/>
        <color theme="1"/>
        <rFont val="Calibri"/>
        <family val="2"/>
        <scheme val="minor"/>
      </rPr>
      <t>IndependentStudy</t>
    </r>
    <r>
      <rPr>
        <sz val="11"/>
        <color theme="1"/>
        <rFont val="Calibri"/>
        <family val="2"/>
        <scheme val="minor"/>
      </rPr>
      <t xml:space="preserve"> - Independent Study
</t>
    </r>
    <r>
      <rPr>
        <b/>
        <sz val="11"/>
        <color theme="1"/>
        <rFont val="Calibri"/>
        <family val="2"/>
        <scheme val="minor"/>
      </rPr>
      <t>FaceToFace</t>
    </r>
    <r>
      <rPr>
        <sz val="11"/>
        <color theme="1"/>
        <rFont val="Calibri"/>
        <family val="2"/>
        <scheme val="minor"/>
      </rPr>
      <t xml:space="preserve"> - Face To Face
</t>
    </r>
    <r>
      <rPr>
        <b/>
        <sz val="11"/>
        <color theme="1"/>
        <rFont val="Calibri"/>
        <family val="2"/>
        <scheme val="minor"/>
      </rPr>
      <t>BlendedLearning</t>
    </r>
    <r>
      <rPr>
        <sz val="11"/>
        <color theme="1"/>
        <rFont val="Calibri"/>
        <family val="2"/>
        <scheme val="minor"/>
      </rPr>
      <t xml:space="preserve"> - Blended Learning
</t>
    </r>
    <r>
      <rPr>
        <b/>
        <sz val="11"/>
        <color theme="1"/>
        <rFont val="Calibri"/>
        <family val="2"/>
        <scheme val="minor"/>
      </rPr>
      <t>Other</t>
    </r>
    <r>
      <rPr>
        <sz val="11"/>
        <color theme="1"/>
        <rFont val="Calibri"/>
        <family val="2"/>
        <scheme val="minor"/>
      </rPr>
      <t xml:space="preserve"> - Other
</t>
    </r>
  </si>
  <si>
    <r>
      <t>04723</t>
    </r>
    <r>
      <rPr>
        <sz val="11"/>
        <color theme="1"/>
        <rFont val="Calibri"/>
        <family val="2"/>
        <scheme val="minor"/>
      </rPr>
      <t xml:space="preserve"> - Athletic coach
</t>
    </r>
    <r>
      <rPr>
        <b/>
        <sz val="11"/>
        <color theme="1"/>
        <rFont val="Calibri"/>
        <family val="2"/>
        <scheme val="minor"/>
      </rPr>
      <t>04724</t>
    </r>
    <r>
      <rPr>
        <sz val="11"/>
        <color theme="1"/>
        <rFont val="Calibri"/>
        <family val="2"/>
        <scheme val="minor"/>
      </rPr>
      <t xml:space="preserve"> - Behavioral management specialist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04726</t>
    </r>
    <r>
      <rPr>
        <sz val="11"/>
        <color theme="1"/>
        <rFont val="Calibri"/>
        <family val="2"/>
        <scheme val="minor"/>
      </rPr>
      <t xml:space="preserve"> - Curriculum specialist
</t>
    </r>
    <r>
      <rPr>
        <b/>
        <sz val="11"/>
        <color theme="1"/>
        <rFont val="Calibri"/>
        <family val="2"/>
        <scheme val="minor"/>
      </rPr>
      <t>04727</t>
    </r>
    <r>
      <rPr>
        <sz val="11"/>
        <color theme="1"/>
        <rFont val="Calibri"/>
        <family val="2"/>
        <scheme val="minor"/>
      </rPr>
      <t xml:space="preserve"> - Education diagnostician
</t>
    </r>
    <r>
      <rPr>
        <b/>
        <sz val="11"/>
        <color theme="1"/>
        <rFont val="Calibri"/>
        <family val="2"/>
        <scheme val="minor"/>
      </rPr>
      <t>04728</t>
    </r>
    <r>
      <rPr>
        <sz val="11"/>
        <color theme="1"/>
        <rFont val="Calibri"/>
        <family val="2"/>
        <scheme val="minor"/>
      </rPr>
      <t xml:space="preserve"> - Librarian/media consultant
</t>
    </r>
    <r>
      <rPr>
        <b/>
        <sz val="11"/>
        <color theme="1"/>
        <rFont val="Calibri"/>
        <family val="2"/>
        <scheme val="minor"/>
      </rPr>
      <t>04729</t>
    </r>
    <r>
      <rPr>
        <sz val="11"/>
        <color theme="1"/>
        <rFont val="Calibri"/>
        <family val="2"/>
        <scheme val="minor"/>
      </rPr>
      <t xml:space="preserve"> - Remedial specialist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04731</t>
    </r>
    <r>
      <rPr>
        <sz val="11"/>
        <color theme="1"/>
        <rFont val="Calibri"/>
        <family val="2"/>
        <scheme val="minor"/>
      </rPr>
      <t xml:space="preserve"> - Student teacher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04733</t>
    </r>
    <r>
      <rPr>
        <sz val="11"/>
        <color theme="1"/>
        <rFont val="Calibri"/>
        <family val="2"/>
        <scheme val="minor"/>
      </rPr>
      <t xml:space="preserve"> - Teacher trainer
</t>
    </r>
    <r>
      <rPr>
        <b/>
        <sz val="11"/>
        <color theme="1"/>
        <rFont val="Calibri"/>
        <family val="2"/>
        <scheme val="minor"/>
      </rPr>
      <t>04734</t>
    </r>
    <r>
      <rPr>
        <sz val="11"/>
        <color theme="1"/>
        <rFont val="Calibri"/>
        <family val="2"/>
        <scheme val="minor"/>
      </rPr>
      <t xml:space="preserve"> - Teaching intern
</t>
    </r>
    <r>
      <rPr>
        <b/>
        <sz val="11"/>
        <color theme="1"/>
        <rFont val="Calibri"/>
        <family val="2"/>
        <scheme val="minor"/>
      </rPr>
      <t>04735</t>
    </r>
    <r>
      <rPr>
        <sz val="11"/>
        <color theme="1"/>
        <rFont val="Calibri"/>
        <family val="2"/>
        <scheme val="minor"/>
      </rPr>
      <t xml:space="preserve"> - Resource teacher
</t>
    </r>
    <r>
      <rPr>
        <b/>
        <sz val="11"/>
        <color theme="1"/>
        <rFont val="Calibri"/>
        <family val="2"/>
        <scheme val="minor"/>
      </rPr>
      <t>09999</t>
    </r>
    <r>
      <rPr>
        <sz val="11"/>
        <color theme="1"/>
        <rFont val="Calibri"/>
        <family val="2"/>
        <scheme val="minor"/>
      </rPr>
      <t xml:space="preserve"> - Other
</t>
    </r>
  </si>
  <si>
    <r>
      <t>OccupationalLicense</t>
    </r>
    <r>
      <rPr>
        <sz val="11"/>
        <color theme="1"/>
        <rFont val="Calibri"/>
        <family val="2"/>
        <scheme val="minor"/>
      </rPr>
      <t xml:space="preserve"> - Occupational License
</t>
    </r>
    <r>
      <rPr>
        <b/>
        <sz val="11"/>
        <color theme="1"/>
        <rFont val="Calibri"/>
        <family val="2"/>
        <scheme val="minor"/>
      </rPr>
      <t>IndustryCertification</t>
    </r>
    <r>
      <rPr>
        <sz val="11"/>
        <color theme="1"/>
        <rFont val="Calibri"/>
        <family val="2"/>
        <scheme val="minor"/>
      </rPr>
      <t xml:space="preserve"> - Industry-recognized Certification
</t>
    </r>
    <r>
      <rPr>
        <b/>
        <sz val="11"/>
        <color theme="1"/>
        <rFont val="Calibri"/>
        <family val="2"/>
        <scheme val="minor"/>
      </rPr>
      <t>ApprenticeshipCertificate</t>
    </r>
    <r>
      <rPr>
        <sz val="11"/>
        <color theme="1"/>
        <rFont val="Calibri"/>
        <family val="2"/>
        <scheme val="minor"/>
      </rPr>
      <t xml:space="preserve"> - Apprenticeship Certificate
</t>
    </r>
    <r>
      <rPr>
        <b/>
        <sz val="11"/>
        <color theme="1"/>
        <rFont val="Calibri"/>
        <family val="2"/>
        <scheme val="minor"/>
      </rPr>
      <t>EmployerCertification</t>
    </r>
    <r>
      <rPr>
        <sz val="11"/>
        <color theme="1"/>
        <rFont val="Calibri"/>
        <family val="2"/>
        <scheme val="minor"/>
      </rPr>
      <t xml:space="preserve"> - Employer certification
</t>
    </r>
    <r>
      <rPr>
        <b/>
        <sz val="11"/>
        <color theme="1"/>
        <rFont val="Calibri"/>
        <family val="2"/>
        <scheme val="minor"/>
      </rPr>
      <t>PreEmploymentTraining</t>
    </r>
    <r>
      <rPr>
        <sz val="11"/>
        <color theme="1"/>
        <rFont val="Calibri"/>
        <family val="2"/>
        <scheme val="minor"/>
      </rPr>
      <t xml:space="preserve"> - Pre-employment training certificate
</t>
    </r>
    <r>
      <rPr>
        <b/>
        <sz val="11"/>
        <color theme="1"/>
        <rFont val="Calibri"/>
        <family val="2"/>
        <scheme val="minor"/>
      </rPr>
      <t>OtherOccupational</t>
    </r>
    <r>
      <rPr>
        <sz val="11"/>
        <color theme="1"/>
        <rFont val="Calibri"/>
        <family val="2"/>
        <scheme val="minor"/>
      </rPr>
      <t xml:space="preserve"> - Other recognized occupational skills credential
</t>
    </r>
  </si>
  <si>
    <r>
      <t>Proficient</t>
    </r>
    <r>
      <rPr>
        <sz val="11"/>
        <color theme="1"/>
        <rFont val="Calibri"/>
        <family val="2"/>
        <scheme val="minor"/>
      </rPr>
      <t xml:space="preserve"> - Proficient
</t>
    </r>
    <r>
      <rPr>
        <b/>
        <sz val="11"/>
        <color theme="1"/>
        <rFont val="Calibri"/>
        <family val="2"/>
        <scheme val="minor"/>
      </rPr>
      <t>NotProficient</t>
    </r>
    <r>
      <rPr>
        <sz val="11"/>
        <color theme="1"/>
        <rFont val="Calibri"/>
        <family val="2"/>
        <scheme val="minor"/>
      </rPr>
      <t xml:space="preserve"> - Not proficient
</t>
    </r>
  </si>
  <si>
    <r>
      <t>Met</t>
    </r>
    <r>
      <rPr>
        <sz val="11"/>
        <color theme="1"/>
        <rFont val="Calibri"/>
        <family val="2"/>
        <scheme val="minor"/>
      </rPr>
      <t xml:space="preserve"> - Met: Regular Determination
</t>
    </r>
    <r>
      <rPr>
        <b/>
        <sz val="11"/>
        <color theme="1"/>
        <rFont val="Calibri"/>
        <family val="2"/>
        <scheme val="minor"/>
      </rPr>
      <t>MetGrowthModel</t>
    </r>
    <r>
      <rPr>
        <sz val="11"/>
        <color theme="1"/>
        <rFont val="Calibri"/>
        <family val="2"/>
        <scheme val="minor"/>
      </rPr>
      <t xml:space="preserve"> - Met: Growth Model 
</t>
    </r>
    <r>
      <rPr>
        <b/>
        <sz val="11"/>
        <color theme="1"/>
        <rFont val="Calibri"/>
        <family val="2"/>
        <scheme val="minor"/>
      </rPr>
      <t>MetBecauseSafeHarbor</t>
    </r>
    <r>
      <rPr>
        <sz val="11"/>
        <color theme="1"/>
        <rFont val="Calibri"/>
        <family val="2"/>
        <scheme val="minor"/>
      </rPr>
      <t xml:space="preserve"> - Met Because of Safe Harbor
</t>
    </r>
    <r>
      <rPr>
        <b/>
        <sz val="11"/>
        <color theme="1"/>
        <rFont val="Calibri"/>
        <family val="2"/>
        <scheme val="minor"/>
      </rPr>
      <t>DidNotMeetTarget</t>
    </r>
    <r>
      <rPr>
        <sz val="11"/>
        <color theme="1"/>
        <rFont val="Calibri"/>
        <family val="2"/>
        <scheme val="minor"/>
      </rPr>
      <t xml:space="preserve"> - Did Not Meet Target
</t>
    </r>
    <r>
      <rPr>
        <b/>
        <sz val="11"/>
        <color theme="1"/>
        <rFont val="Calibri"/>
        <family val="2"/>
        <scheme val="minor"/>
      </rPr>
      <t>TooFewStudents</t>
    </r>
    <r>
      <rPr>
        <sz val="11"/>
        <color theme="1"/>
        <rFont val="Calibri"/>
        <family val="2"/>
        <scheme val="minor"/>
      </rPr>
      <t xml:space="preserve"> - Too Few Students for Reliability
</t>
    </r>
    <r>
      <rPr>
        <b/>
        <sz val="11"/>
        <color theme="1"/>
        <rFont val="Calibri"/>
        <family val="2"/>
        <scheme val="minor"/>
      </rPr>
      <t>NoStudents</t>
    </r>
    <r>
      <rPr>
        <sz val="11"/>
        <color theme="1"/>
        <rFont val="Calibri"/>
        <family val="2"/>
        <scheme val="minor"/>
      </rPr>
      <t xml:space="preserve"> - No Students in the Sub-group
</t>
    </r>
    <r>
      <rPr>
        <b/>
        <sz val="11"/>
        <color theme="1"/>
        <rFont val="Calibri"/>
        <family val="2"/>
        <scheme val="minor"/>
      </rPr>
      <t>NA</t>
    </r>
    <r>
      <rPr>
        <sz val="11"/>
        <color theme="1"/>
        <rFont val="Calibri"/>
        <family val="2"/>
        <scheme val="minor"/>
      </rPr>
      <t xml:space="preserve"> - Not applicable
</t>
    </r>
  </si>
  <si>
    <r>
      <t>13452</t>
    </r>
    <r>
      <rPr>
        <sz val="11"/>
        <color theme="1"/>
        <rFont val="Calibri"/>
        <family val="2"/>
        <scheme val="minor"/>
      </rPr>
      <t xml:space="preserve"> - General Intellectual Aptitude only
</t>
    </r>
    <r>
      <rPr>
        <b/>
        <sz val="11"/>
        <color theme="1"/>
        <rFont val="Calibri"/>
        <family val="2"/>
        <scheme val="minor"/>
      </rPr>
      <t>13453</t>
    </r>
    <r>
      <rPr>
        <sz val="11"/>
        <color theme="1"/>
        <rFont val="Calibri"/>
        <family val="2"/>
        <scheme val="minor"/>
      </rPr>
      <t xml:space="preserve"> - Specific Academic Aptitude only
</t>
    </r>
    <r>
      <rPr>
        <b/>
        <sz val="11"/>
        <color theme="1"/>
        <rFont val="Calibri"/>
        <family val="2"/>
        <scheme val="minor"/>
      </rPr>
      <t>13454</t>
    </r>
    <r>
      <rPr>
        <sz val="11"/>
        <color theme="1"/>
        <rFont val="Calibri"/>
        <family val="2"/>
        <scheme val="minor"/>
      </rPr>
      <t xml:space="preserve"> - Visual/Performing Arts only
</t>
    </r>
    <r>
      <rPr>
        <b/>
        <sz val="11"/>
        <color theme="1"/>
        <rFont val="Calibri"/>
        <family val="2"/>
        <scheme val="minor"/>
      </rPr>
      <t>13456</t>
    </r>
    <r>
      <rPr>
        <sz val="11"/>
        <color theme="1"/>
        <rFont val="Calibri"/>
        <family val="2"/>
        <scheme val="minor"/>
      </rPr>
      <t xml:space="preserve"> - General Intellectual Aptitude &amp; Specific Academic Aptitude
</t>
    </r>
    <r>
      <rPr>
        <b/>
        <sz val="11"/>
        <color theme="1"/>
        <rFont val="Calibri"/>
        <family val="2"/>
        <scheme val="minor"/>
      </rPr>
      <t>13457</t>
    </r>
    <r>
      <rPr>
        <sz val="11"/>
        <color theme="1"/>
        <rFont val="Calibri"/>
        <family val="2"/>
        <scheme val="minor"/>
      </rPr>
      <t xml:space="preserve"> - General Intellectual Aptitude &amp; Visual/Performing Arts
</t>
    </r>
    <r>
      <rPr>
        <b/>
        <sz val="11"/>
        <color theme="1"/>
        <rFont val="Calibri"/>
        <family val="2"/>
        <scheme val="minor"/>
      </rPr>
      <t>13458</t>
    </r>
    <r>
      <rPr>
        <sz val="11"/>
        <color theme="1"/>
        <rFont val="Calibri"/>
        <family val="2"/>
        <scheme val="minor"/>
      </rPr>
      <t xml:space="preserve"> - General Intellectual Aptitude &amp; Technical/Practical Arts
</t>
    </r>
    <r>
      <rPr>
        <b/>
        <sz val="11"/>
        <color theme="1"/>
        <rFont val="Calibri"/>
        <family val="2"/>
        <scheme val="minor"/>
      </rPr>
      <t>13459</t>
    </r>
    <r>
      <rPr>
        <sz val="11"/>
        <color theme="1"/>
        <rFont val="Calibri"/>
        <family val="2"/>
        <scheme val="minor"/>
      </rPr>
      <t xml:space="preserve"> - Specific Academic Aptitude &amp; Visual/Performing Arts
</t>
    </r>
    <r>
      <rPr>
        <b/>
        <sz val="11"/>
        <color theme="1"/>
        <rFont val="Calibri"/>
        <family val="2"/>
        <scheme val="minor"/>
      </rPr>
      <t>13460</t>
    </r>
    <r>
      <rPr>
        <sz val="11"/>
        <color theme="1"/>
        <rFont val="Calibri"/>
        <family val="2"/>
        <scheme val="minor"/>
      </rPr>
      <t xml:space="preserve"> - Specific Academic Aptitude &amp; Technical/Practical Arts
</t>
    </r>
    <r>
      <rPr>
        <b/>
        <sz val="11"/>
        <color theme="1"/>
        <rFont val="Calibri"/>
        <family val="2"/>
        <scheme val="minor"/>
      </rPr>
      <t>13461</t>
    </r>
    <r>
      <rPr>
        <sz val="11"/>
        <color theme="1"/>
        <rFont val="Calibri"/>
        <family val="2"/>
        <scheme val="minor"/>
      </rPr>
      <t xml:space="preserve"> - Visual/Performing Arts &amp; Technical/Practical Arts
</t>
    </r>
    <r>
      <rPr>
        <b/>
        <sz val="11"/>
        <color theme="1"/>
        <rFont val="Calibri"/>
        <family val="2"/>
        <scheme val="minor"/>
      </rPr>
      <t>13462</t>
    </r>
    <r>
      <rPr>
        <sz val="11"/>
        <color theme="1"/>
        <rFont val="Calibri"/>
        <family val="2"/>
        <scheme val="minor"/>
      </rPr>
      <t xml:space="preserve"> - General Intellectual Aptitude, Specific Academic Aptitude, and Visual Performing Arts
</t>
    </r>
    <r>
      <rPr>
        <b/>
        <sz val="11"/>
        <color theme="1"/>
        <rFont val="Calibri"/>
        <family val="2"/>
        <scheme val="minor"/>
      </rPr>
      <t>13463</t>
    </r>
    <r>
      <rPr>
        <sz val="11"/>
        <color theme="1"/>
        <rFont val="Calibri"/>
        <family val="2"/>
        <scheme val="minor"/>
      </rPr>
      <t xml:space="preserve"> - General Intellectual Aptitude, Specific Academic Aptitude, &amp; Technical/Practical Arts
</t>
    </r>
    <r>
      <rPr>
        <b/>
        <sz val="11"/>
        <color theme="1"/>
        <rFont val="Calibri"/>
        <family val="2"/>
        <scheme val="minor"/>
      </rPr>
      <t>13464</t>
    </r>
    <r>
      <rPr>
        <sz val="11"/>
        <color theme="1"/>
        <rFont val="Calibri"/>
        <family val="2"/>
        <scheme val="minor"/>
      </rPr>
      <t xml:space="preserve"> - Specific Academic Aptitude, Visual/Performing Arts, &amp; Technical/Practical Arts
</t>
    </r>
    <r>
      <rPr>
        <b/>
        <sz val="11"/>
        <color theme="1"/>
        <rFont val="Calibri"/>
        <family val="2"/>
        <scheme val="minor"/>
      </rPr>
      <t>13465</t>
    </r>
    <r>
      <rPr>
        <sz val="11"/>
        <color theme="1"/>
        <rFont val="Calibri"/>
        <family val="2"/>
        <scheme val="minor"/>
      </rPr>
      <t xml:space="preserve"> - General Intellectual &amp; Specific Academic Aptitude, Visual/Performing Arts &amp; Technical/Practical Arts
</t>
    </r>
    <r>
      <rPr>
        <b/>
        <sz val="11"/>
        <color theme="1"/>
        <rFont val="Calibri"/>
        <family val="2"/>
        <scheme val="minor"/>
      </rPr>
      <t>06002</t>
    </r>
    <r>
      <rPr>
        <sz val="11"/>
        <color theme="1"/>
        <rFont val="Calibri"/>
        <family val="2"/>
        <scheme val="minor"/>
      </rPr>
      <t xml:space="preserve"> - Not specified
</t>
    </r>
    <r>
      <rPr>
        <b/>
        <sz val="11"/>
        <color theme="1"/>
        <rFont val="Calibri"/>
        <family val="2"/>
        <scheme val="minor"/>
      </rPr>
      <t>09999</t>
    </r>
    <r>
      <rPr>
        <sz val="11"/>
        <color theme="1"/>
        <rFont val="Calibri"/>
        <family val="2"/>
        <scheme val="minor"/>
      </rPr>
      <t xml:space="preserve"> - Other
</t>
    </r>
  </si>
  <si>
    <r>
      <t>Referred</t>
    </r>
    <r>
      <rPr>
        <sz val="11"/>
        <color theme="1"/>
        <rFont val="Calibri"/>
        <family val="2"/>
        <scheme val="minor"/>
      </rPr>
      <t xml:space="preserve"> - Referred to program
</t>
    </r>
    <r>
      <rPr>
        <b/>
        <sz val="11"/>
        <color theme="1"/>
        <rFont val="Calibri"/>
        <family val="2"/>
        <scheme val="minor"/>
      </rPr>
      <t>Eligible</t>
    </r>
    <r>
      <rPr>
        <sz val="11"/>
        <color theme="1"/>
        <rFont val="Calibri"/>
        <family val="2"/>
        <scheme val="minor"/>
      </rPr>
      <t xml:space="preserve"> - Eligible for program
</t>
    </r>
    <r>
      <rPr>
        <b/>
        <sz val="11"/>
        <color theme="1"/>
        <rFont val="Calibri"/>
        <family val="2"/>
        <scheme val="minor"/>
      </rPr>
      <t>NotEligible</t>
    </r>
    <r>
      <rPr>
        <sz val="11"/>
        <color theme="1"/>
        <rFont val="Calibri"/>
        <family val="2"/>
        <scheme val="minor"/>
      </rPr>
      <t xml:space="preserve"> - Not eligible for program
</t>
    </r>
    <r>
      <rPr>
        <b/>
        <sz val="11"/>
        <color theme="1"/>
        <rFont val="Calibri"/>
        <family val="2"/>
        <scheme val="minor"/>
      </rPr>
      <t>Active</t>
    </r>
    <r>
      <rPr>
        <sz val="11"/>
        <color theme="1"/>
        <rFont val="Calibri"/>
        <family val="2"/>
        <scheme val="minor"/>
      </rPr>
      <t xml:space="preserve"> - Active in program
</t>
    </r>
    <r>
      <rPr>
        <b/>
        <sz val="11"/>
        <color theme="1"/>
        <rFont val="Calibri"/>
        <family val="2"/>
        <scheme val="minor"/>
      </rPr>
      <t>Exited</t>
    </r>
    <r>
      <rPr>
        <sz val="11"/>
        <color theme="1"/>
        <rFont val="Calibri"/>
        <family val="2"/>
        <scheme val="minor"/>
      </rPr>
      <t xml:space="preserve"> - Exited program
</t>
    </r>
    <r>
      <rPr>
        <b/>
        <sz val="11"/>
        <color theme="1"/>
        <rFont val="Calibri"/>
        <family val="2"/>
        <scheme val="minor"/>
      </rPr>
      <t>Withdrew</t>
    </r>
    <r>
      <rPr>
        <sz val="11"/>
        <color theme="1"/>
        <rFont val="Calibri"/>
        <family val="2"/>
        <scheme val="minor"/>
      </rPr>
      <t xml:space="preserve"> - Withdrew/refused program
</t>
    </r>
    <r>
      <rPr>
        <b/>
        <sz val="11"/>
        <color theme="1"/>
        <rFont val="Calibri"/>
        <family val="2"/>
        <scheme val="minor"/>
      </rPr>
      <t>Other</t>
    </r>
    <r>
      <rPr>
        <sz val="11"/>
        <color theme="1"/>
        <rFont val="Calibri"/>
        <family val="2"/>
        <scheme val="minor"/>
      </rPr>
      <t xml:space="preserve"> - Other
</t>
    </r>
  </si>
  <si>
    <r>
      <t>Business</t>
    </r>
    <r>
      <rPr>
        <sz val="11"/>
        <color theme="1"/>
        <rFont val="Calibri"/>
        <family val="2"/>
        <scheme val="minor"/>
      </rPr>
      <t xml:space="preserve"> - Business
</t>
    </r>
    <r>
      <rPr>
        <b/>
        <sz val="11"/>
        <color theme="1"/>
        <rFont val="Calibri"/>
        <family val="2"/>
        <scheme val="minor"/>
      </rPr>
      <t>EducationOrganizationNetwork</t>
    </r>
    <r>
      <rPr>
        <sz val="11"/>
        <color theme="1"/>
        <rFont val="Calibri"/>
        <family val="2"/>
        <scheme val="minor"/>
      </rPr>
      <t xml:space="preserve"> - Education organization network
</t>
    </r>
    <r>
      <rPr>
        <b/>
        <sz val="11"/>
        <color theme="1"/>
        <rFont val="Calibri"/>
        <family val="2"/>
        <scheme val="minor"/>
      </rPr>
      <t>EducationServiceCenter</t>
    </r>
    <r>
      <rPr>
        <sz val="11"/>
        <color theme="1"/>
        <rFont val="Calibri"/>
        <family val="2"/>
        <scheme val="minor"/>
      </rPr>
      <t xml:space="preserve"> - Education Service Center
</t>
    </r>
    <r>
      <rPr>
        <b/>
        <sz val="11"/>
        <color theme="1"/>
        <rFont val="Calibri"/>
        <family val="2"/>
        <scheme val="minor"/>
      </rPr>
      <t>Federal</t>
    </r>
    <r>
      <rPr>
        <sz val="11"/>
        <color theme="1"/>
        <rFont val="Calibri"/>
        <family val="2"/>
        <scheme val="minor"/>
      </rPr>
      <t xml:space="preserve"> - Federal government
</t>
    </r>
    <r>
      <rPr>
        <b/>
        <sz val="11"/>
        <color theme="1"/>
        <rFont val="Calibri"/>
        <family val="2"/>
        <scheme val="minor"/>
      </rPr>
      <t>LEA</t>
    </r>
    <r>
      <rPr>
        <sz val="11"/>
        <color theme="1"/>
        <rFont val="Calibri"/>
        <family val="2"/>
        <scheme val="minor"/>
      </rPr>
      <t xml:space="preserve"> - Local education agency
</t>
    </r>
    <r>
      <rPr>
        <b/>
        <sz val="11"/>
        <color theme="1"/>
        <rFont val="Calibri"/>
        <family val="2"/>
        <scheme val="minor"/>
      </rPr>
      <t>NonProfit</t>
    </r>
    <r>
      <rPr>
        <sz val="11"/>
        <color theme="1"/>
        <rFont val="Calibri"/>
        <family val="2"/>
        <scheme val="minor"/>
      </rPr>
      <t xml:space="preserve"> - Non-profit organization
</t>
    </r>
    <r>
      <rPr>
        <b/>
        <sz val="11"/>
        <color theme="1"/>
        <rFont val="Calibri"/>
        <family val="2"/>
        <scheme val="minor"/>
      </rPr>
      <t>Postsecondary</t>
    </r>
    <r>
      <rPr>
        <sz val="11"/>
        <color theme="1"/>
        <rFont val="Calibri"/>
        <family val="2"/>
        <scheme val="minor"/>
      </rPr>
      <t xml:space="preserve"> - Postsecondary institution
</t>
    </r>
    <r>
      <rPr>
        <b/>
        <sz val="11"/>
        <color theme="1"/>
        <rFont val="Calibri"/>
        <family val="2"/>
        <scheme val="minor"/>
      </rPr>
      <t>Private</t>
    </r>
    <r>
      <rPr>
        <sz val="11"/>
        <color theme="1"/>
        <rFont val="Calibri"/>
        <family val="2"/>
        <scheme val="minor"/>
      </rPr>
      <t xml:space="preserve"> - Private organization
</t>
    </r>
    <r>
      <rPr>
        <b/>
        <sz val="11"/>
        <color theme="1"/>
        <rFont val="Calibri"/>
        <family val="2"/>
        <scheme val="minor"/>
      </rPr>
      <t>Regional</t>
    </r>
    <r>
      <rPr>
        <sz val="11"/>
        <color theme="1"/>
        <rFont val="Calibri"/>
        <family val="2"/>
        <scheme val="minor"/>
      </rPr>
      <t xml:space="preserve"> - Regional or intermediate education agency
</t>
    </r>
    <r>
      <rPr>
        <b/>
        <sz val="11"/>
        <color theme="1"/>
        <rFont val="Calibri"/>
        <family val="2"/>
        <scheme val="minor"/>
      </rPr>
      <t>Religious</t>
    </r>
    <r>
      <rPr>
        <sz val="11"/>
        <color theme="1"/>
        <rFont val="Calibri"/>
        <family val="2"/>
        <scheme val="minor"/>
      </rPr>
      <t xml:space="preserve"> - Religious organization
</t>
    </r>
    <r>
      <rPr>
        <b/>
        <sz val="11"/>
        <color theme="1"/>
        <rFont val="Calibri"/>
        <family val="2"/>
        <scheme val="minor"/>
      </rPr>
      <t>School</t>
    </r>
    <r>
      <rPr>
        <sz val="11"/>
        <color theme="1"/>
        <rFont val="Calibri"/>
        <family val="2"/>
        <scheme val="minor"/>
      </rPr>
      <t xml:space="preserve"> - School
</t>
    </r>
    <r>
      <rPr>
        <b/>
        <sz val="11"/>
        <color theme="1"/>
        <rFont val="Calibri"/>
        <family val="2"/>
        <scheme val="minor"/>
      </rPr>
      <t>SEA</t>
    </r>
    <r>
      <rPr>
        <sz val="11"/>
        <color theme="1"/>
        <rFont val="Calibri"/>
        <family val="2"/>
        <scheme val="minor"/>
      </rPr>
      <t xml:space="preserve"> - State Education Agency
</t>
    </r>
    <r>
      <rPr>
        <b/>
        <sz val="11"/>
        <color theme="1"/>
        <rFont val="Calibri"/>
        <family val="2"/>
        <scheme val="minor"/>
      </rPr>
      <t>Other</t>
    </r>
    <r>
      <rPr>
        <sz val="11"/>
        <color theme="1"/>
        <rFont val="Calibri"/>
        <family val="2"/>
        <scheme val="minor"/>
      </rPr>
      <t xml:space="preserve"> - Other
</t>
    </r>
  </si>
  <si>
    <r>
      <t>73056</t>
    </r>
    <r>
      <rPr>
        <sz val="11"/>
        <color theme="1"/>
        <rFont val="Calibri"/>
        <family val="2"/>
        <scheme val="minor"/>
      </rPr>
      <t xml:space="preserve"> - Adult Basic Education
</t>
    </r>
    <r>
      <rPr>
        <b/>
        <sz val="11"/>
        <color theme="1"/>
        <rFont val="Calibri"/>
        <family val="2"/>
        <scheme val="minor"/>
      </rPr>
      <t>73058</t>
    </r>
    <r>
      <rPr>
        <sz val="11"/>
        <color theme="1"/>
        <rFont val="Calibri"/>
        <family val="2"/>
        <scheme val="minor"/>
      </rPr>
      <t xml:space="preserve"> - Adult English as a Second Language
</t>
    </r>
    <r>
      <rPr>
        <b/>
        <sz val="11"/>
        <color theme="1"/>
        <rFont val="Calibri"/>
        <family val="2"/>
        <scheme val="minor"/>
      </rPr>
      <t>73057</t>
    </r>
    <r>
      <rPr>
        <sz val="11"/>
        <color theme="1"/>
        <rFont val="Calibri"/>
        <family val="2"/>
        <scheme val="minor"/>
      </rPr>
      <t xml:space="preserve"> - Adult Secondary Education
</t>
    </r>
    <r>
      <rPr>
        <b/>
        <sz val="11"/>
        <color theme="1"/>
        <rFont val="Calibri"/>
        <family val="2"/>
        <scheme val="minor"/>
      </rPr>
      <t>04961</t>
    </r>
    <r>
      <rPr>
        <sz val="11"/>
        <color theme="1"/>
        <rFont val="Calibri"/>
        <family val="2"/>
        <scheme val="minor"/>
      </rPr>
      <t xml:space="preserve"> - Alternative Education
</t>
    </r>
    <r>
      <rPr>
        <b/>
        <sz val="11"/>
        <color theme="1"/>
        <rFont val="Calibri"/>
        <family val="2"/>
        <scheme val="minor"/>
      </rPr>
      <t>04932</t>
    </r>
    <r>
      <rPr>
        <sz val="11"/>
        <color theme="1"/>
        <rFont val="Calibri"/>
        <family val="2"/>
        <scheme val="minor"/>
      </rPr>
      <t xml:space="preserve"> - Athletics
</t>
    </r>
    <r>
      <rPr>
        <b/>
        <sz val="11"/>
        <color theme="1"/>
        <rFont val="Calibri"/>
        <family val="2"/>
        <scheme val="minor"/>
      </rPr>
      <t>04923</t>
    </r>
    <r>
      <rPr>
        <sz val="11"/>
        <color theme="1"/>
        <rFont val="Calibri"/>
        <family val="2"/>
        <scheme val="minor"/>
      </rPr>
      <t xml:space="preserve"> - Bilingual education program
</t>
    </r>
    <r>
      <rPr>
        <b/>
        <sz val="11"/>
        <color theme="1"/>
        <rFont val="Calibri"/>
        <family val="2"/>
        <scheme val="minor"/>
      </rPr>
      <t>04906</t>
    </r>
    <r>
      <rPr>
        <sz val="11"/>
        <color theme="1"/>
        <rFont val="Calibri"/>
        <family val="2"/>
        <scheme val="minor"/>
      </rPr>
      <t xml:space="preserve"> - Career and Technical Education
</t>
    </r>
    <r>
      <rPr>
        <b/>
        <sz val="11"/>
        <color theme="1"/>
        <rFont val="Calibri"/>
        <family val="2"/>
        <scheme val="minor"/>
      </rPr>
      <t>04931</t>
    </r>
    <r>
      <rPr>
        <sz val="11"/>
        <color theme="1"/>
        <rFont val="Calibri"/>
        <family val="2"/>
        <scheme val="minor"/>
      </rPr>
      <t xml:space="preserve"> - Cocurricular programs
</t>
    </r>
    <r>
      <rPr>
        <b/>
        <sz val="11"/>
        <color theme="1"/>
        <rFont val="Calibri"/>
        <family val="2"/>
        <scheme val="minor"/>
      </rPr>
      <t>04958</t>
    </r>
    <r>
      <rPr>
        <sz val="11"/>
        <color theme="1"/>
        <rFont val="Calibri"/>
        <family val="2"/>
        <scheme val="minor"/>
      </rPr>
      <t xml:space="preserve"> - College preparatory
</t>
    </r>
    <r>
      <rPr>
        <b/>
        <sz val="11"/>
        <color theme="1"/>
        <rFont val="Calibri"/>
        <family val="2"/>
        <scheme val="minor"/>
      </rPr>
      <t>04945</t>
    </r>
    <r>
      <rPr>
        <sz val="11"/>
        <color theme="1"/>
        <rFont val="Calibri"/>
        <family val="2"/>
        <scheme val="minor"/>
      </rPr>
      <t xml:space="preserve"> - Community service program
</t>
    </r>
    <r>
      <rPr>
        <b/>
        <sz val="11"/>
        <color theme="1"/>
        <rFont val="Calibri"/>
        <family val="2"/>
        <scheme val="minor"/>
      </rPr>
      <t>04944</t>
    </r>
    <r>
      <rPr>
        <sz val="11"/>
        <color theme="1"/>
        <rFont val="Calibri"/>
        <family val="2"/>
        <scheme val="minor"/>
      </rPr>
      <t xml:space="preserve"> - Community/junior college education program
</t>
    </r>
    <r>
      <rPr>
        <b/>
        <sz val="11"/>
        <color theme="1"/>
        <rFont val="Calibri"/>
        <family val="2"/>
        <scheme val="minor"/>
      </rPr>
      <t>04922</t>
    </r>
    <r>
      <rPr>
        <sz val="11"/>
        <color theme="1"/>
        <rFont val="Calibri"/>
        <family val="2"/>
        <scheme val="minor"/>
      </rPr>
      <t xml:space="preserve"> - Compensatory services for disadvantaged students
</t>
    </r>
    <r>
      <rPr>
        <b/>
        <sz val="11"/>
        <color theme="1"/>
        <rFont val="Calibri"/>
        <family val="2"/>
        <scheme val="minor"/>
      </rPr>
      <t>73059</t>
    </r>
    <r>
      <rPr>
        <sz val="11"/>
        <color theme="1"/>
        <rFont val="Calibri"/>
        <family val="2"/>
        <scheme val="minor"/>
      </rPr>
      <t xml:space="preserve"> - Continuing Education
</t>
    </r>
    <r>
      <rPr>
        <b/>
        <sz val="11"/>
        <color theme="1"/>
        <rFont val="Calibri"/>
        <family val="2"/>
        <scheme val="minor"/>
      </rPr>
      <t>04956</t>
    </r>
    <r>
      <rPr>
        <sz val="11"/>
        <color theme="1"/>
        <rFont val="Calibri"/>
        <family val="2"/>
        <scheme val="minor"/>
      </rPr>
      <t xml:space="preserve"> - Counseling services
</t>
    </r>
    <r>
      <rPr>
        <b/>
        <sz val="11"/>
        <color theme="1"/>
        <rFont val="Calibri"/>
        <family val="2"/>
        <scheme val="minor"/>
      </rPr>
      <t>14609</t>
    </r>
    <r>
      <rPr>
        <sz val="11"/>
        <color theme="1"/>
        <rFont val="Calibri"/>
        <family val="2"/>
        <scheme val="minor"/>
      </rPr>
      <t xml:space="preserve"> - Early Head Start
</t>
    </r>
    <r>
      <rPr>
        <b/>
        <sz val="11"/>
        <color theme="1"/>
        <rFont val="Calibri"/>
        <family val="2"/>
        <scheme val="minor"/>
      </rPr>
      <t>04928</t>
    </r>
    <r>
      <rPr>
        <sz val="11"/>
        <color theme="1"/>
        <rFont val="Calibri"/>
        <family val="2"/>
        <scheme val="minor"/>
      </rPr>
      <t xml:space="preserve"> - English as a second language (ESL) program
</t>
    </r>
    <r>
      <rPr>
        <b/>
        <sz val="11"/>
        <color theme="1"/>
        <rFont val="Calibri"/>
        <family val="2"/>
        <scheme val="minor"/>
      </rPr>
      <t>04919</t>
    </r>
    <r>
      <rPr>
        <sz val="11"/>
        <color theme="1"/>
        <rFont val="Calibri"/>
        <family val="2"/>
        <scheme val="minor"/>
      </rPr>
      <t xml:space="preserve"> - Even Start
</t>
    </r>
    <r>
      <rPr>
        <b/>
        <sz val="11"/>
        <color theme="1"/>
        <rFont val="Calibri"/>
        <family val="2"/>
        <scheme val="minor"/>
      </rPr>
      <t>04955</t>
    </r>
    <r>
      <rPr>
        <sz val="11"/>
        <color theme="1"/>
        <rFont val="Calibri"/>
        <family val="2"/>
        <scheme val="minor"/>
      </rPr>
      <t xml:space="preserve"> - Extended day/child care services
</t>
    </r>
    <r>
      <rPr>
        <b/>
        <sz val="11"/>
        <color theme="1"/>
        <rFont val="Calibri"/>
        <family val="2"/>
        <scheme val="minor"/>
      </rPr>
      <t>04930</t>
    </r>
    <r>
      <rPr>
        <sz val="11"/>
        <color theme="1"/>
        <rFont val="Calibri"/>
        <family val="2"/>
        <scheme val="minor"/>
      </rPr>
      <t xml:space="preserve"> - Gifted and talented program
</t>
    </r>
    <r>
      <rPr>
        <b/>
        <sz val="11"/>
        <color theme="1"/>
        <rFont val="Calibri"/>
        <family val="2"/>
        <scheme val="minor"/>
      </rPr>
      <t>04918</t>
    </r>
    <r>
      <rPr>
        <sz val="11"/>
        <color theme="1"/>
        <rFont val="Calibri"/>
        <family val="2"/>
        <scheme val="minor"/>
      </rPr>
      <t xml:space="preserve"> - Head start
</t>
    </r>
    <r>
      <rPr>
        <b/>
        <sz val="11"/>
        <color theme="1"/>
        <rFont val="Calibri"/>
        <family val="2"/>
        <scheme val="minor"/>
      </rPr>
      <t>04963</t>
    </r>
    <r>
      <rPr>
        <sz val="11"/>
        <color theme="1"/>
        <rFont val="Calibri"/>
        <family val="2"/>
        <scheme val="minor"/>
      </rPr>
      <t xml:space="preserve"> - Health Services Program
</t>
    </r>
    <r>
      <rPr>
        <b/>
        <sz val="11"/>
        <color theme="1"/>
        <rFont val="Calibri"/>
        <family val="2"/>
        <scheme val="minor"/>
      </rPr>
      <t>04957</t>
    </r>
    <r>
      <rPr>
        <sz val="11"/>
        <color theme="1"/>
        <rFont val="Calibri"/>
        <family val="2"/>
        <scheme val="minor"/>
      </rPr>
      <t xml:space="preserve"> - Immigrant education
</t>
    </r>
    <r>
      <rPr>
        <b/>
        <sz val="11"/>
        <color theme="1"/>
        <rFont val="Calibri"/>
        <family val="2"/>
        <scheme val="minor"/>
      </rPr>
      <t>04921</t>
    </r>
    <r>
      <rPr>
        <sz val="11"/>
        <color theme="1"/>
        <rFont val="Calibri"/>
        <family val="2"/>
        <scheme val="minor"/>
      </rPr>
      <t xml:space="preserve"> - Indian education
</t>
    </r>
    <r>
      <rPr>
        <b/>
        <sz val="11"/>
        <color theme="1"/>
        <rFont val="Calibri"/>
        <family val="2"/>
        <scheme val="minor"/>
      </rPr>
      <t>04959</t>
    </r>
    <r>
      <rPr>
        <sz val="11"/>
        <color theme="1"/>
        <rFont val="Calibri"/>
        <family val="2"/>
        <scheme val="minor"/>
      </rPr>
      <t xml:space="preserve"> - International Baccalaureate
</t>
    </r>
    <r>
      <rPr>
        <b/>
        <sz val="11"/>
        <color theme="1"/>
        <rFont val="Calibri"/>
        <family val="2"/>
        <scheme val="minor"/>
      </rPr>
      <t>04962</t>
    </r>
    <r>
      <rPr>
        <sz val="11"/>
        <color theme="1"/>
        <rFont val="Calibri"/>
        <family val="2"/>
        <scheme val="minor"/>
      </rPr>
      <t xml:space="preserve"> - Library/Media Services Program
</t>
    </r>
    <r>
      <rPr>
        <b/>
        <sz val="11"/>
        <color theme="1"/>
        <rFont val="Calibri"/>
        <family val="2"/>
        <scheme val="minor"/>
      </rPr>
      <t>04960</t>
    </r>
    <r>
      <rPr>
        <sz val="11"/>
        <color theme="1"/>
        <rFont val="Calibri"/>
        <family val="2"/>
        <scheme val="minor"/>
      </rPr>
      <t xml:space="preserve"> - Magnet/Special Program Emphasis
</t>
    </r>
    <r>
      <rPr>
        <b/>
        <sz val="11"/>
        <color theme="1"/>
        <rFont val="Calibri"/>
        <family val="2"/>
        <scheme val="minor"/>
      </rPr>
      <t>04920</t>
    </r>
    <r>
      <rPr>
        <sz val="11"/>
        <color theme="1"/>
        <rFont val="Calibri"/>
        <family val="2"/>
        <scheme val="minor"/>
      </rPr>
      <t xml:space="preserve"> - Migrant education
</t>
    </r>
    <r>
      <rPr>
        <b/>
        <sz val="11"/>
        <color theme="1"/>
        <rFont val="Calibri"/>
        <family val="2"/>
        <scheme val="minor"/>
      </rPr>
      <t>04887</t>
    </r>
    <r>
      <rPr>
        <sz val="11"/>
        <color theme="1"/>
        <rFont val="Calibri"/>
        <family val="2"/>
        <scheme val="minor"/>
      </rPr>
      <t xml:space="preserve"> - Regular education
</t>
    </r>
    <r>
      <rPr>
        <b/>
        <sz val="11"/>
        <color theme="1"/>
        <rFont val="Calibri"/>
        <family val="2"/>
        <scheme val="minor"/>
      </rPr>
      <t>04964</t>
    </r>
    <r>
      <rPr>
        <sz val="11"/>
        <color theme="1"/>
        <rFont val="Calibri"/>
        <family val="2"/>
        <scheme val="minor"/>
      </rPr>
      <t xml:space="preserve"> - Remedial education
</t>
    </r>
    <r>
      <rPr>
        <b/>
        <sz val="11"/>
        <color theme="1"/>
        <rFont val="Calibri"/>
        <family val="2"/>
        <scheme val="minor"/>
      </rPr>
      <t>04967</t>
    </r>
    <r>
      <rPr>
        <sz val="11"/>
        <color theme="1"/>
        <rFont val="Calibri"/>
        <family val="2"/>
        <scheme val="minor"/>
      </rPr>
      <t xml:space="preserve"> - Section 504 Placement
</t>
    </r>
    <r>
      <rPr>
        <b/>
        <sz val="11"/>
        <color theme="1"/>
        <rFont val="Calibri"/>
        <family val="2"/>
        <scheme val="minor"/>
      </rPr>
      <t>04966</t>
    </r>
    <r>
      <rPr>
        <sz val="11"/>
        <color theme="1"/>
        <rFont val="Calibri"/>
        <family val="2"/>
        <scheme val="minor"/>
      </rPr>
      <t xml:space="preserve"> - Service learning
</t>
    </r>
    <r>
      <rPr>
        <b/>
        <sz val="11"/>
        <color theme="1"/>
        <rFont val="Calibri"/>
        <family val="2"/>
        <scheme val="minor"/>
      </rPr>
      <t>04888</t>
    </r>
    <r>
      <rPr>
        <sz val="11"/>
        <color theme="1"/>
        <rFont val="Calibri"/>
        <family val="2"/>
        <scheme val="minor"/>
      </rPr>
      <t xml:space="preserve"> - Special Education Services
</t>
    </r>
    <r>
      <rPr>
        <b/>
        <sz val="11"/>
        <color theme="1"/>
        <rFont val="Calibri"/>
        <family val="2"/>
        <scheme val="minor"/>
      </rPr>
      <t>04954</t>
    </r>
    <r>
      <rPr>
        <sz val="11"/>
        <color theme="1"/>
        <rFont val="Calibri"/>
        <family val="2"/>
        <scheme val="minor"/>
      </rPr>
      <t xml:space="preserve"> - Student retention/ Dropout Prevention
</t>
    </r>
    <r>
      <rPr>
        <b/>
        <sz val="11"/>
        <color theme="1"/>
        <rFont val="Calibri"/>
        <family val="2"/>
        <scheme val="minor"/>
      </rPr>
      <t>04953</t>
    </r>
    <r>
      <rPr>
        <sz val="11"/>
        <color theme="1"/>
        <rFont val="Calibri"/>
        <family val="2"/>
        <scheme val="minor"/>
      </rPr>
      <t xml:space="preserve"> - Substance abuse education/prevention
</t>
    </r>
    <r>
      <rPr>
        <b/>
        <sz val="11"/>
        <color theme="1"/>
        <rFont val="Calibri"/>
        <family val="2"/>
        <scheme val="minor"/>
      </rPr>
      <t>73204</t>
    </r>
    <r>
      <rPr>
        <sz val="11"/>
        <color theme="1"/>
        <rFont val="Calibri"/>
        <family val="2"/>
        <scheme val="minor"/>
      </rPr>
      <t xml:space="preserve"> - Targeted intervention program
</t>
    </r>
    <r>
      <rPr>
        <b/>
        <sz val="11"/>
        <color theme="1"/>
        <rFont val="Calibri"/>
        <family val="2"/>
        <scheme val="minor"/>
      </rPr>
      <t>04968</t>
    </r>
    <r>
      <rPr>
        <sz val="11"/>
        <color theme="1"/>
        <rFont val="Calibri"/>
        <family val="2"/>
        <scheme val="minor"/>
      </rPr>
      <t xml:space="preserve"> - Teacher professional development / Mentoring
</t>
    </r>
    <r>
      <rPr>
        <b/>
        <sz val="11"/>
        <color theme="1"/>
        <rFont val="Calibri"/>
        <family val="2"/>
        <scheme val="minor"/>
      </rPr>
      <t>04917</t>
    </r>
    <r>
      <rPr>
        <sz val="11"/>
        <color theme="1"/>
        <rFont val="Calibri"/>
        <family val="2"/>
        <scheme val="minor"/>
      </rPr>
      <t xml:space="preserve"> - Technical preparatory
</t>
    </r>
    <r>
      <rPr>
        <b/>
        <sz val="11"/>
        <color theme="1"/>
        <rFont val="Calibri"/>
        <family val="2"/>
        <scheme val="minor"/>
      </rPr>
      <t>73090</t>
    </r>
    <r>
      <rPr>
        <sz val="11"/>
        <color theme="1"/>
        <rFont val="Calibri"/>
        <family val="2"/>
        <scheme val="minor"/>
      </rPr>
      <t xml:space="preserve"> - Work-based Learning Opportunities
</t>
    </r>
    <r>
      <rPr>
        <b/>
        <sz val="11"/>
        <color theme="1"/>
        <rFont val="Calibri"/>
        <family val="2"/>
        <scheme val="minor"/>
      </rPr>
      <t>09999</t>
    </r>
    <r>
      <rPr>
        <sz val="11"/>
        <color theme="1"/>
        <rFont val="Calibri"/>
        <family val="2"/>
        <scheme val="minor"/>
      </rPr>
      <t xml:space="preserve"> - Other
</t>
    </r>
  </si>
  <si>
    <r>
      <t>NEGGRADE</t>
    </r>
    <r>
      <rPr>
        <sz val="11"/>
        <color theme="1"/>
        <rFont val="Calibri"/>
        <family val="2"/>
        <scheme val="minor"/>
      </rPr>
      <t xml:space="preserve"> - Negative grade level change
</t>
    </r>
    <r>
      <rPr>
        <b/>
        <sz val="11"/>
        <color theme="1"/>
        <rFont val="Calibri"/>
        <family val="2"/>
        <scheme val="minor"/>
      </rPr>
      <t>NOCHANGE</t>
    </r>
    <r>
      <rPr>
        <sz val="11"/>
        <color theme="1"/>
        <rFont val="Calibri"/>
        <family val="2"/>
        <scheme val="minor"/>
      </rPr>
      <t xml:space="preserve"> - No change
</t>
    </r>
    <r>
      <rPr>
        <b/>
        <sz val="11"/>
        <color theme="1"/>
        <rFont val="Calibri"/>
        <family val="2"/>
        <scheme val="minor"/>
      </rPr>
      <t>UPHALFGRADE</t>
    </r>
    <r>
      <rPr>
        <sz val="11"/>
        <color theme="1"/>
        <rFont val="Calibri"/>
        <family val="2"/>
        <scheme val="minor"/>
      </rPr>
      <t xml:space="preserve"> - Improvement of up to one half grade level
</t>
    </r>
    <r>
      <rPr>
        <b/>
        <sz val="11"/>
        <color theme="1"/>
        <rFont val="Calibri"/>
        <family val="2"/>
        <scheme val="minor"/>
      </rPr>
      <t>UPONEGRADE</t>
    </r>
    <r>
      <rPr>
        <sz val="11"/>
        <color theme="1"/>
        <rFont val="Calibri"/>
        <family val="2"/>
        <scheme val="minor"/>
      </rPr>
      <t xml:space="preserve"> - Improvement from one half grade level up to one full grade level
</t>
    </r>
    <r>
      <rPr>
        <b/>
        <sz val="11"/>
        <color theme="1"/>
        <rFont val="Calibri"/>
        <family val="2"/>
        <scheme val="minor"/>
      </rPr>
      <t>UPGTONE</t>
    </r>
    <r>
      <rPr>
        <sz val="11"/>
        <color theme="1"/>
        <rFont val="Calibri"/>
        <family val="2"/>
        <scheme val="minor"/>
      </rPr>
      <t xml:space="preserve"> - Improvement of more than one full grade level
</t>
    </r>
  </si>
  <si>
    <r>
      <t>AcceleratedPromotion</t>
    </r>
    <r>
      <rPr>
        <sz val="11"/>
        <color theme="1"/>
        <rFont val="Calibri"/>
        <family val="2"/>
        <scheme val="minor"/>
      </rPr>
      <t xml:space="preserve"> - Accelerated promotion
</t>
    </r>
    <r>
      <rPr>
        <b/>
        <sz val="11"/>
        <color theme="1"/>
        <rFont val="Calibri"/>
        <family val="2"/>
        <scheme val="minor"/>
      </rPr>
      <t>ContinuousPromotion</t>
    </r>
    <r>
      <rPr>
        <sz val="11"/>
        <color theme="1"/>
        <rFont val="Calibri"/>
        <family val="2"/>
        <scheme val="minor"/>
      </rPr>
      <t xml:space="preserve"> - Continuous promotion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ProbationaryPromotion</t>
    </r>
    <r>
      <rPr>
        <sz val="11"/>
        <color theme="1"/>
        <rFont val="Calibri"/>
        <family val="2"/>
        <scheme val="minor"/>
      </rPr>
      <t xml:space="preserve"> - Probationary promotion
</t>
    </r>
    <r>
      <rPr>
        <b/>
        <sz val="11"/>
        <color theme="1"/>
        <rFont val="Calibri"/>
        <family val="2"/>
        <scheme val="minor"/>
      </rPr>
      <t>RegularPromotion</t>
    </r>
    <r>
      <rPr>
        <sz val="11"/>
        <color theme="1"/>
        <rFont val="Calibri"/>
        <family val="2"/>
        <scheme val="minor"/>
      </rPr>
      <t xml:space="preserve"> - Regular promotion
</t>
    </r>
    <r>
      <rPr>
        <b/>
        <sz val="11"/>
        <color theme="1"/>
        <rFont val="Calibri"/>
        <family val="2"/>
        <scheme val="minor"/>
      </rPr>
      <t>VariableProgress</t>
    </r>
    <r>
      <rPr>
        <sz val="11"/>
        <color theme="1"/>
        <rFont val="Calibri"/>
        <family val="2"/>
        <scheme val="minor"/>
      </rPr>
      <t xml:space="preserve"> - Variable progress
</t>
    </r>
  </si>
  <si>
    <r>
      <t>BankStatement</t>
    </r>
    <r>
      <rPr>
        <sz val="11"/>
        <color theme="1"/>
        <rFont val="Calibri"/>
        <family val="2"/>
        <scheme val="minor"/>
      </rPr>
      <t xml:space="preserve"> - Bank statement
</t>
    </r>
    <r>
      <rPr>
        <b/>
        <sz val="11"/>
        <color theme="1"/>
        <rFont val="Calibri"/>
        <family val="2"/>
        <scheme val="minor"/>
      </rPr>
      <t>UtilityBill</t>
    </r>
    <r>
      <rPr>
        <sz val="11"/>
        <color theme="1"/>
        <rFont val="Calibri"/>
        <family val="2"/>
        <scheme val="minor"/>
      </rPr>
      <t xml:space="preserve"> - Utility bill
</t>
    </r>
    <r>
      <rPr>
        <b/>
        <sz val="11"/>
        <color theme="1"/>
        <rFont val="Calibri"/>
        <family val="2"/>
        <scheme val="minor"/>
      </rPr>
      <t>Lease</t>
    </r>
    <r>
      <rPr>
        <sz val="11"/>
        <color theme="1"/>
        <rFont val="Calibri"/>
        <family val="2"/>
        <scheme val="minor"/>
      </rPr>
      <t xml:space="preserve"> - Lease
</t>
    </r>
    <r>
      <rPr>
        <b/>
        <sz val="11"/>
        <color theme="1"/>
        <rFont val="Calibri"/>
        <family val="2"/>
        <scheme val="minor"/>
      </rPr>
      <t>Other</t>
    </r>
    <r>
      <rPr>
        <sz val="11"/>
        <color theme="1"/>
        <rFont val="Calibri"/>
        <family val="2"/>
        <scheme val="minor"/>
      </rPr>
      <t xml:space="preserve"> - Other
</t>
    </r>
  </si>
  <si>
    <r>
      <t>ImplementedAllGrades</t>
    </r>
    <r>
      <rPr>
        <sz val="11"/>
        <color theme="1"/>
        <rFont val="Calibri"/>
        <family val="2"/>
        <scheme val="minor"/>
      </rPr>
      <t xml:space="preserve"> - Implemented at all grade levels
</t>
    </r>
    <r>
      <rPr>
        <b/>
        <sz val="11"/>
        <color theme="1"/>
        <rFont val="Calibri"/>
        <family val="2"/>
        <scheme val="minor"/>
      </rPr>
      <t>ImplementedSomeGrades</t>
    </r>
    <r>
      <rPr>
        <sz val="11"/>
        <color theme="1"/>
        <rFont val="Calibri"/>
        <family val="2"/>
        <scheme val="minor"/>
      </rPr>
      <t xml:space="preserve"> - Implemented at some but not all grade levels
</t>
    </r>
    <r>
      <rPr>
        <b/>
        <sz val="11"/>
        <color theme="1"/>
        <rFont val="Calibri"/>
        <family val="2"/>
        <scheme val="minor"/>
      </rPr>
      <t>UnableToImplement</t>
    </r>
    <r>
      <rPr>
        <sz val="11"/>
        <color theme="1"/>
        <rFont val="Calibri"/>
        <family val="2"/>
        <scheme val="minor"/>
      </rPr>
      <t xml:space="preserve"> - Unable to implement at any grades levels
</t>
    </r>
    <r>
      <rPr>
        <b/>
        <sz val="11"/>
        <color theme="1"/>
        <rFont val="Calibri"/>
        <family val="2"/>
        <scheme val="minor"/>
      </rPr>
      <t>NotRequiredToImplement</t>
    </r>
    <r>
      <rPr>
        <sz val="11"/>
        <color theme="1"/>
        <rFont val="Calibri"/>
        <family val="2"/>
        <scheme val="minor"/>
      </rPr>
      <t xml:space="preserve"> - Not required to implement public school choice
</t>
    </r>
  </si>
  <si>
    <r>
      <t>01652</t>
    </r>
    <r>
      <rPr>
        <sz val="11"/>
        <color theme="1"/>
        <rFont val="Calibri"/>
        <family val="2"/>
        <scheme val="minor"/>
      </rPr>
      <t xml:space="preserve"> - Resident of administrative unit and usual school attendance area
</t>
    </r>
    <r>
      <rPr>
        <b/>
        <sz val="11"/>
        <color theme="1"/>
        <rFont val="Calibri"/>
        <family val="2"/>
        <scheme val="minor"/>
      </rPr>
      <t>01653</t>
    </r>
    <r>
      <rPr>
        <sz val="11"/>
        <color theme="1"/>
        <rFont val="Calibri"/>
        <family val="2"/>
        <scheme val="minor"/>
      </rPr>
      <t xml:space="preserve"> - Resident of administrative unit, but of other school attendance area
</t>
    </r>
    <r>
      <rPr>
        <b/>
        <sz val="11"/>
        <color theme="1"/>
        <rFont val="Calibri"/>
        <family val="2"/>
        <scheme val="minor"/>
      </rPr>
      <t>01654</t>
    </r>
    <r>
      <rPr>
        <sz val="11"/>
        <color theme="1"/>
        <rFont val="Calibri"/>
        <family val="2"/>
        <scheme val="minor"/>
      </rPr>
      <t xml:space="preserve"> - Resident of this state, but not of this administrative unit
</t>
    </r>
    <r>
      <rPr>
        <b/>
        <sz val="11"/>
        <color theme="1"/>
        <rFont val="Calibri"/>
        <family val="2"/>
        <scheme val="minor"/>
      </rPr>
      <t>01655</t>
    </r>
    <r>
      <rPr>
        <sz val="11"/>
        <color theme="1"/>
        <rFont val="Calibri"/>
        <family val="2"/>
        <scheme val="minor"/>
      </rPr>
      <t xml:space="preserve"> - Resident of an administrative unit that crosses state boundaries
</t>
    </r>
    <r>
      <rPr>
        <b/>
        <sz val="11"/>
        <color theme="1"/>
        <rFont val="Calibri"/>
        <family val="2"/>
        <scheme val="minor"/>
      </rPr>
      <t>01656</t>
    </r>
    <r>
      <rPr>
        <sz val="11"/>
        <color theme="1"/>
        <rFont val="Calibri"/>
        <family val="2"/>
        <scheme val="minor"/>
      </rPr>
      <t xml:space="preserve"> - Resident of another state
</t>
    </r>
  </si>
  <si>
    <r>
      <t>LicensingVisits</t>
    </r>
    <r>
      <rPr>
        <sz val="11"/>
        <color theme="1"/>
        <rFont val="Calibri"/>
        <family val="2"/>
        <scheme val="minor"/>
      </rPr>
      <t xml:space="preserve"> - Licensing Visits
</t>
    </r>
    <r>
      <rPr>
        <b/>
        <sz val="11"/>
        <color theme="1"/>
        <rFont val="Calibri"/>
        <family val="2"/>
        <scheme val="minor"/>
      </rPr>
      <t>HeathSafety</t>
    </r>
    <r>
      <rPr>
        <sz val="11"/>
        <color theme="1"/>
        <rFont val="Calibri"/>
        <family val="2"/>
        <scheme val="minor"/>
      </rPr>
      <t xml:space="preserve"> - Health and Safety
</t>
    </r>
    <r>
      <rPr>
        <b/>
        <sz val="11"/>
        <color theme="1"/>
        <rFont val="Calibri"/>
        <family val="2"/>
        <scheme val="minor"/>
      </rPr>
      <t>Renewal</t>
    </r>
    <r>
      <rPr>
        <sz val="11"/>
        <color theme="1"/>
        <rFont val="Calibri"/>
        <family val="2"/>
        <scheme val="minor"/>
      </rPr>
      <t xml:space="preserve"> - Renewal
</t>
    </r>
    <r>
      <rPr>
        <b/>
        <sz val="11"/>
        <color theme="1"/>
        <rFont val="Calibri"/>
        <family val="2"/>
        <scheme val="minor"/>
      </rPr>
      <t>Review</t>
    </r>
    <r>
      <rPr>
        <sz val="11"/>
        <color theme="1"/>
        <rFont val="Calibri"/>
        <family val="2"/>
        <scheme val="minor"/>
      </rPr>
      <t xml:space="preserve"> - Review
</t>
    </r>
    <r>
      <rPr>
        <b/>
        <sz val="11"/>
        <color theme="1"/>
        <rFont val="Calibri"/>
        <family val="2"/>
        <scheme val="minor"/>
      </rPr>
      <t>Other</t>
    </r>
    <r>
      <rPr>
        <sz val="11"/>
        <color theme="1"/>
        <rFont val="Calibri"/>
        <family val="2"/>
        <scheme val="minor"/>
      </rPr>
      <t xml:space="preserve"> - Other
</t>
    </r>
  </si>
  <si>
    <r>
      <t>AK</t>
    </r>
    <r>
      <rPr>
        <sz val="11"/>
        <color theme="1"/>
        <rFont val="Calibri"/>
        <family val="2"/>
        <scheme val="minor"/>
      </rPr>
      <t xml:space="preserve"> - Alaska
</t>
    </r>
    <r>
      <rPr>
        <b/>
        <sz val="11"/>
        <color theme="1"/>
        <rFont val="Calibri"/>
        <family val="2"/>
        <scheme val="minor"/>
      </rPr>
      <t>AL</t>
    </r>
    <r>
      <rPr>
        <sz val="11"/>
        <color theme="1"/>
        <rFont val="Calibri"/>
        <family val="2"/>
        <scheme val="minor"/>
      </rPr>
      <t xml:space="preserve"> - Alabama
</t>
    </r>
    <r>
      <rPr>
        <b/>
        <sz val="11"/>
        <color theme="1"/>
        <rFont val="Calibri"/>
        <family val="2"/>
        <scheme val="minor"/>
      </rPr>
      <t>AR</t>
    </r>
    <r>
      <rPr>
        <sz val="11"/>
        <color theme="1"/>
        <rFont val="Calibri"/>
        <family val="2"/>
        <scheme val="minor"/>
      </rPr>
      <t xml:space="preserve"> - Arkansas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AZ</t>
    </r>
    <r>
      <rPr>
        <sz val="11"/>
        <color theme="1"/>
        <rFont val="Calibri"/>
        <family val="2"/>
        <scheme val="minor"/>
      </rPr>
      <t xml:space="preserve"> - Arizona
</t>
    </r>
    <r>
      <rPr>
        <b/>
        <sz val="11"/>
        <color theme="1"/>
        <rFont val="Calibri"/>
        <family val="2"/>
        <scheme val="minor"/>
      </rPr>
      <t>CA</t>
    </r>
    <r>
      <rPr>
        <sz val="11"/>
        <color theme="1"/>
        <rFont val="Calibri"/>
        <family val="2"/>
        <scheme val="minor"/>
      </rPr>
      <t xml:space="preserve"> - California
</t>
    </r>
    <r>
      <rPr>
        <b/>
        <sz val="11"/>
        <color theme="1"/>
        <rFont val="Calibri"/>
        <family val="2"/>
        <scheme val="minor"/>
      </rPr>
      <t>CO</t>
    </r>
    <r>
      <rPr>
        <sz val="11"/>
        <color theme="1"/>
        <rFont val="Calibri"/>
        <family val="2"/>
        <scheme val="minor"/>
      </rPr>
      <t xml:space="preserve"> - Colorado
</t>
    </r>
    <r>
      <rPr>
        <b/>
        <sz val="11"/>
        <color theme="1"/>
        <rFont val="Calibri"/>
        <family val="2"/>
        <scheme val="minor"/>
      </rPr>
      <t>CT</t>
    </r>
    <r>
      <rPr>
        <sz val="11"/>
        <color theme="1"/>
        <rFont val="Calibri"/>
        <family val="2"/>
        <scheme val="minor"/>
      </rPr>
      <t xml:space="preserve"> - Connecticut
</t>
    </r>
    <r>
      <rPr>
        <b/>
        <sz val="11"/>
        <color theme="1"/>
        <rFont val="Calibri"/>
        <family val="2"/>
        <scheme val="minor"/>
      </rPr>
      <t>DC</t>
    </r>
    <r>
      <rPr>
        <sz val="11"/>
        <color theme="1"/>
        <rFont val="Calibri"/>
        <family val="2"/>
        <scheme val="minor"/>
      </rPr>
      <t xml:space="preserve"> - District of Columbia
</t>
    </r>
    <r>
      <rPr>
        <b/>
        <sz val="11"/>
        <color theme="1"/>
        <rFont val="Calibri"/>
        <family val="2"/>
        <scheme val="minor"/>
      </rPr>
      <t>DE</t>
    </r>
    <r>
      <rPr>
        <sz val="11"/>
        <color theme="1"/>
        <rFont val="Calibri"/>
        <family val="2"/>
        <scheme val="minor"/>
      </rPr>
      <t xml:space="preserve"> - Delaware
</t>
    </r>
    <r>
      <rPr>
        <b/>
        <sz val="11"/>
        <color theme="1"/>
        <rFont val="Calibri"/>
        <family val="2"/>
        <scheme val="minor"/>
      </rPr>
      <t>FL</t>
    </r>
    <r>
      <rPr>
        <sz val="11"/>
        <color theme="1"/>
        <rFont val="Calibri"/>
        <family val="2"/>
        <scheme val="minor"/>
      </rPr>
      <t xml:space="preserve"> - Florida
</t>
    </r>
    <r>
      <rPr>
        <b/>
        <sz val="11"/>
        <color theme="1"/>
        <rFont val="Calibri"/>
        <family val="2"/>
        <scheme val="minor"/>
      </rPr>
      <t>FM</t>
    </r>
    <r>
      <rPr>
        <sz val="11"/>
        <color theme="1"/>
        <rFont val="Calibri"/>
        <family val="2"/>
        <scheme val="minor"/>
      </rPr>
      <t xml:space="preserve"> - Federated States of Micronesia
</t>
    </r>
    <r>
      <rPr>
        <b/>
        <sz val="11"/>
        <color theme="1"/>
        <rFont val="Calibri"/>
        <family val="2"/>
        <scheme val="minor"/>
      </rPr>
      <t>GA</t>
    </r>
    <r>
      <rPr>
        <sz val="11"/>
        <color theme="1"/>
        <rFont val="Calibri"/>
        <family val="2"/>
        <scheme val="minor"/>
      </rPr>
      <t xml:space="preserve"> - Georgia
</t>
    </r>
    <r>
      <rPr>
        <b/>
        <sz val="11"/>
        <color theme="1"/>
        <rFont val="Calibri"/>
        <family val="2"/>
        <scheme val="minor"/>
      </rPr>
      <t>GU</t>
    </r>
    <r>
      <rPr>
        <sz val="11"/>
        <color theme="1"/>
        <rFont val="Calibri"/>
        <family val="2"/>
        <scheme val="minor"/>
      </rPr>
      <t xml:space="preserve"> - Guam
</t>
    </r>
    <r>
      <rPr>
        <b/>
        <sz val="11"/>
        <color theme="1"/>
        <rFont val="Calibri"/>
        <family val="2"/>
        <scheme val="minor"/>
      </rPr>
      <t>HI</t>
    </r>
    <r>
      <rPr>
        <sz val="11"/>
        <color theme="1"/>
        <rFont val="Calibri"/>
        <family val="2"/>
        <scheme val="minor"/>
      </rPr>
      <t xml:space="preserve"> - Hawaii
</t>
    </r>
    <r>
      <rPr>
        <b/>
        <sz val="11"/>
        <color theme="1"/>
        <rFont val="Calibri"/>
        <family val="2"/>
        <scheme val="minor"/>
      </rPr>
      <t>IA</t>
    </r>
    <r>
      <rPr>
        <sz val="11"/>
        <color theme="1"/>
        <rFont val="Calibri"/>
        <family val="2"/>
        <scheme val="minor"/>
      </rPr>
      <t xml:space="preserve"> - Iowa
</t>
    </r>
    <r>
      <rPr>
        <b/>
        <sz val="11"/>
        <color theme="1"/>
        <rFont val="Calibri"/>
        <family val="2"/>
        <scheme val="minor"/>
      </rPr>
      <t>ID</t>
    </r>
    <r>
      <rPr>
        <sz val="11"/>
        <color theme="1"/>
        <rFont val="Calibri"/>
        <family val="2"/>
        <scheme val="minor"/>
      </rPr>
      <t xml:space="preserve"> - Idaho
</t>
    </r>
    <r>
      <rPr>
        <b/>
        <sz val="11"/>
        <color theme="1"/>
        <rFont val="Calibri"/>
        <family val="2"/>
        <scheme val="minor"/>
      </rPr>
      <t>IL</t>
    </r>
    <r>
      <rPr>
        <sz val="11"/>
        <color theme="1"/>
        <rFont val="Calibri"/>
        <family val="2"/>
        <scheme val="minor"/>
      </rPr>
      <t xml:space="preserve"> - Illinois
</t>
    </r>
    <r>
      <rPr>
        <b/>
        <sz val="11"/>
        <color theme="1"/>
        <rFont val="Calibri"/>
        <family val="2"/>
        <scheme val="minor"/>
      </rPr>
      <t>IN</t>
    </r>
    <r>
      <rPr>
        <sz val="11"/>
        <color theme="1"/>
        <rFont val="Calibri"/>
        <family val="2"/>
        <scheme val="minor"/>
      </rPr>
      <t xml:space="preserve"> - Indiana
</t>
    </r>
    <r>
      <rPr>
        <b/>
        <sz val="11"/>
        <color theme="1"/>
        <rFont val="Calibri"/>
        <family val="2"/>
        <scheme val="minor"/>
      </rPr>
      <t>KS</t>
    </r>
    <r>
      <rPr>
        <sz val="11"/>
        <color theme="1"/>
        <rFont val="Calibri"/>
        <family val="2"/>
        <scheme val="minor"/>
      </rPr>
      <t xml:space="preserve"> - Kansas
</t>
    </r>
    <r>
      <rPr>
        <b/>
        <sz val="11"/>
        <color theme="1"/>
        <rFont val="Calibri"/>
        <family val="2"/>
        <scheme val="minor"/>
      </rPr>
      <t>KY</t>
    </r>
    <r>
      <rPr>
        <sz val="11"/>
        <color theme="1"/>
        <rFont val="Calibri"/>
        <family val="2"/>
        <scheme val="minor"/>
      </rPr>
      <t xml:space="preserve"> - Kentucky
</t>
    </r>
    <r>
      <rPr>
        <b/>
        <sz val="11"/>
        <color theme="1"/>
        <rFont val="Calibri"/>
        <family val="2"/>
        <scheme val="minor"/>
      </rPr>
      <t>LA</t>
    </r>
    <r>
      <rPr>
        <sz val="11"/>
        <color theme="1"/>
        <rFont val="Calibri"/>
        <family val="2"/>
        <scheme val="minor"/>
      </rPr>
      <t xml:space="preserve"> - Louisiana
</t>
    </r>
    <r>
      <rPr>
        <b/>
        <sz val="11"/>
        <color theme="1"/>
        <rFont val="Calibri"/>
        <family val="2"/>
        <scheme val="minor"/>
      </rPr>
      <t>MA</t>
    </r>
    <r>
      <rPr>
        <sz val="11"/>
        <color theme="1"/>
        <rFont val="Calibri"/>
        <family val="2"/>
        <scheme val="minor"/>
      </rPr>
      <t xml:space="preserve"> - Massachusetts
</t>
    </r>
    <r>
      <rPr>
        <b/>
        <sz val="11"/>
        <color theme="1"/>
        <rFont val="Calibri"/>
        <family val="2"/>
        <scheme val="minor"/>
      </rPr>
      <t>MD</t>
    </r>
    <r>
      <rPr>
        <sz val="11"/>
        <color theme="1"/>
        <rFont val="Calibri"/>
        <family val="2"/>
        <scheme val="minor"/>
      </rPr>
      <t xml:space="preserve"> - Maryland
</t>
    </r>
    <r>
      <rPr>
        <b/>
        <sz val="11"/>
        <color theme="1"/>
        <rFont val="Calibri"/>
        <family val="2"/>
        <scheme val="minor"/>
      </rPr>
      <t>ME</t>
    </r>
    <r>
      <rPr>
        <sz val="11"/>
        <color theme="1"/>
        <rFont val="Calibri"/>
        <family val="2"/>
        <scheme val="minor"/>
      </rPr>
      <t xml:space="preserve"> - Maine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MI</t>
    </r>
    <r>
      <rPr>
        <sz val="11"/>
        <color theme="1"/>
        <rFont val="Calibri"/>
        <family val="2"/>
        <scheme val="minor"/>
      </rPr>
      <t xml:space="preserve"> - Michigan
</t>
    </r>
    <r>
      <rPr>
        <b/>
        <sz val="11"/>
        <color theme="1"/>
        <rFont val="Calibri"/>
        <family val="2"/>
        <scheme val="minor"/>
      </rPr>
      <t>MN</t>
    </r>
    <r>
      <rPr>
        <sz val="11"/>
        <color theme="1"/>
        <rFont val="Calibri"/>
        <family val="2"/>
        <scheme val="minor"/>
      </rPr>
      <t xml:space="preserve"> - Minnesota
</t>
    </r>
    <r>
      <rPr>
        <b/>
        <sz val="11"/>
        <color theme="1"/>
        <rFont val="Calibri"/>
        <family val="2"/>
        <scheme val="minor"/>
      </rPr>
      <t>MO</t>
    </r>
    <r>
      <rPr>
        <sz val="11"/>
        <color theme="1"/>
        <rFont val="Calibri"/>
        <family val="2"/>
        <scheme val="minor"/>
      </rPr>
      <t xml:space="preserve"> - Missouri
</t>
    </r>
    <r>
      <rPr>
        <b/>
        <sz val="11"/>
        <color theme="1"/>
        <rFont val="Calibri"/>
        <family val="2"/>
        <scheme val="minor"/>
      </rPr>
      <t>MP</t>
    </r>
    <r>
      <rPr>
        <sz val="11"/>
        <color theme="1"/>
        <rFont val="Calibri"/>
        <family val="2"/>
        <scheme val="minor"/>
      </rPr>
      <t xml:space="preserve"> - Northern Marianas
</t>
    </r>
    <r>
      <rPr>
        <b/>
        <sz val="11"/>
        <color theme="1"/>
        <rFont val="Calibri"/>
        <family val="2"/>
        <scheme val="minor"/>
      </rPr>
      <t>MS</t>
    </r>
    <r>
      <rPr>
        <sz val="11"/>
        <color theme="1"/>
        <rFont val="Calibri"/>
        <family val="2"/>
        <scheme val="minor"/>
      </rPr>
      <t xml:space="preserve"> - Mississippi
</t>
    </r>
    <r>
      <rPr>
        <b/>
        <sz val="11"/>
        <color theme="1"/>
        <rFont val="Calibri"/>
        <family val="2"/>
        <scheme val="minor"/>
      </rPr>
      <t>MT</t>
    </r>
    <r>
      <rPr>
        <sz val="11"/>
        <color theme="1"/>
        <rFont val="Calibri"/>
        <family val="2"/>
        <scheme val="minor"/>
      </rPr>
      <t xml:space="preserve"> - Montana
</t>
    </r>
    <r>
      <rPr>
        <b/>
        <sz val="11"/>
        <color theme="1"/>
        <rFont val="Calibri"/>
        <family val="2"/>
        <scheme val="minor"/>
      </rPr>
      <t>NC</t>
    </r>
    <r>
      <rPr>
        <sz val="11"/>
        <color theme="1"/>
        <rFont val="Calibri"/>
        <family val="2"/>
        <scheme val="minor"/>
      </rPr>
      <t xml:space="preserve"> - North Carolina
</t>
    </r>
    <r>
      <rPr>
        <b/>
        <sz val="11"/>
        <color theme="1"/>
        <rFont val="Calibri"/>
        <family val="2"/>
        <scheme val="minor"/>
      </rPr>
      <t>ND</t>
    </r>
    <r>
      <rPr>
        <sz val="11"/>
        <color theme="1"/>
        <rFont val="Calibri"/>
        <family val="2"/>
        <scheme val="minor"/>
      </rPr>
      <t xml:space="preserve"> - North Dakota
</t>
    </r>
    <r>
      <rPr>
        <b/>
        <sz val="11"/>
        <color theme="1"/>
        <rFont val="Calibri"/>
        <family val="2"/>
        <scheme val="minor"/>
      </rPr>
      <t>NE</t>
    </r>
    <r>
      <rPr>
        <sz val="11"/>
        <color theme="1"/>
        <rFont val="Calibri"/>
        <family val="2"/>
        <scheme val="minor"/>
      </rPr>
      <t xml:space="preserve"> - Nebraska
</t>
    </r>
    <r>
      <rPr>
        <b/>
        <sz val="11"/>
        <color theme="1"/>
        <rFont val="Calibri"/>
        <family val="2"/>
        <scheme val="minor"/>
      </rPr>
      <t>NH</t>
    </r>
    <r>
      <rPr>
        <sz val="11"/>
        <color theme="1"/>
        <rFont val="Calibri"/>
        <family val="2"/>
        <scheme val="minor"/>
      </rPr>
      <t xml:space="preserve"> - New Hampshire
</t>
    </r>
    <r>
      <rPr>
        <b/>
        <sz val="11"/>
        <color theme="1"/>
        <rFont val="Calibri"/>
        <family val="2"/>
        <scheme val="minor"/>
      </rPr>
      <t>NJ</t>
    </r>
    <r>
      <rPr>
        <sz val="11"/>
        <color theme="1"/>
        <rFont val="Calibri"/>
        <family val="2"/>
        <scheme val="minor"/>
      </rPr>
      <t xml:space="preserve"> - New Jersey
</t>
    </r>
    <r>
      <rPr>
        <b/>
        <sz val="11"/>
        <color theme="1"/>
        <rFont val="Calibri"/>
        <family val="2"/>
        <scheme val="minor"/>
      </rPr>
      <t>NM</t>
    </r>
    <r>
      <rPr>
        <sz val="11"/>
        <color theme="1"/>
        <rFont val="Calibri"/>
        <family val="2"/>
        <scheme val="minor"/>
      </rPr>
      <t xml:space="preserve"> - New Mexico
</t>
    </r>
    <r>
      <rPr>
        <b/>
        <sz val="11"/>
        <color theme="1"/>
        <rFont val="Calibri"/>
        <family val="2"/>
        <scheme val="minor"/>
      </rPr>
      <t>NV</t>
    </r>
    <r>
      <rPr>
        <sz val="11"/>
        <color theme="1"/>
        <rFont val="Calibri"/>
        <family val="2"/>
        <scheme val="minor"/>
      </rPr>
      <t xml:space="preserve"> - Nevada
</t>
    </r>
    <r>
      <rPr>
        <b/>
        <sz val="11"/>
        <color theme="1"/>
        <rFont val="Calibri"/>
        <family val="2"/>
        <scheme val="minor"/>
      </rPr>
      <t>NY</t>
    </r>
    <r>
      <rPr>
        <sz val="11"/>
        <color theme="1"/>
        <rFont val="Calibri"/>
        <family val="2"/>
        <scheme val="minor"/>
      </rPr>
      <t xml:space="preserve"> - New York
</t>
    </r>
    <r>
      <rPr>
        <b/>
        <sz val="11"/>
        <color theme="1"/>
        <rFont val="Calibri"/>
        <family val="2"/>
        <scheme val="minor"/>
      </rPr>
      <t>OH</t>
    </r>
    <r>
      <rPr>
        <sz val="11"/>
        <color theme="1"/>
        <rFont val="Calibri"/>
        <family val="2"/>
        <scheme val="minor"/>
      </rPr>
      <t xml:space="preserve"> - Ohio
</t>
    </r>
    <r>
      <rPr>
        <b/>
        <sz val="11"/>
        <color theme="1"/>
        <rFont val="Calibri"/>
        <family val="2"/>
        <scheme val="minor"/>
      </rPr>
      <t>OK</t>
    </r>
    <r>
      <rPr>
        <sz val="11"/>
        <color theme="1"/>
        <rFont val="Calibri"/>
        <family val="2"/>
        <scheme val="minor"/>
      </rPr>
      <t xml:space="preserve"> - Oklahoma
</t>
    </r>
    <r>
      <rPr>
        <b/>
        <sz val="11"/>
        <color theme="1"/>
        <rFont val="Calibri"/>
        <family val="2"/>
        <scheme val="minor"/>
      </rPr>
      <t>OR</t>
    </r>
    <r>
      <rPr>
        <sz val="11"/>
        <color theme="1"/>
        <rFont val="Calibri"/>
        <family val="2"/>
        <scheme val="minor"/>
      </rPr>
      <t xml:space="preserve"> - Oregon
</t>
    </r>
    <r>
      <rPr>
        <b/>
        <sz val="11"/>
        <color theme="1"/>
        <rFont val="Calibri"/>
        <family val="2"/>
        <scheme val="minor"/>
      </rPr>
      <t>PA</t>
    </r>
    <r>
      <rPr>
        <sz val="11"/>
        <color theme="1"/>
        <rFont val="Calibri"/>
        <family val="2"/>
        <scheme val="minor"/>
      </rPr>
      <t xml:space="preserve"> - Pennsylvania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PW</t>
    </r>
    <r>
      <rPr>
        <sz val="11"/>
        <color theme="1"/>
        <rFont val="Calibri"/>
        <family val="2"/>
        <scheme val="minor"/>
      </rPr>
      <t xml:space="preserve"> - Palau
</t>
    </r>
    <r>
      <rPr>
        <b/>
        <sz val="11"/>
        <color theme="1"/>
        <rFont val="Calibri"/>
        <family val="2"/>
        <scheme val="minor"/>
      </rPr>
      <t>RI</t>
    </r>
    <r>
      <rPr>
        <sz val="11"/>
        <color theme="1"/>
        <rFont val="Calibri"/>
        <family val="2"/>
        <scheme val="minor"/>
      </rPr>
      <t xml:space="preserve"> - Rhode Island
</t>
    </r>
    <r>
      <rPr>
        <b/>
        <sz val="11"/>
        <color theme="1"/>
        <rFont val="Calibri"/>
        <family val="2"/>
        <scheme val="minor"/>
      </rPr>
      <t>SC</t>
    </r>
    <r>
      <rPr>
        <sz val="11"/>
        <color theme="1"/>
        <rFont val="Calibri"/>
        <family val="2"/>
        <scheme val="minor"/>
      </rPr>
      <t xml:space="preserve"> - South Carolina
</t>
    </r>
    <r>
      <rPr>
        <b/>
        <sz val="11"/>
        <color theme="1"/>
        <rFont val="Calibri"/>
        <family val="2"/>
        <scheme val="minor"/>
      </rPr>
      <t>SD</t>
    </r>
    <r>
      <rPr>
        <sz val="11"/>
        <color theme="1"/>
        <rFont val="Calibri"/>
        <family val="2"/>
        <scheme val="minor"/>
      </rPr>
      <t xml:space="preserve"> - South Dakota
</t>
    </r>
    <r>
      <rPr>
        <b/>
        <sz val="11"/>
        <color theme="1"/>
        <rFont val="Calibri"/>
        <family val="2"/>
        <scheme val="minor"/>
      </rPr>
      <t>TN</t>
    </r>
    <r>
      <rPr>
        <sz val="11"/>
        <color theme="1"/>
        <rFont val="Calibri"/>
        <family val="2"/>
        <scheme val="minor"/>
      </rPr>
      <t xml:space="preserve"> - Tennessee
</t>
    </r>
    <r>
      <rPr>
        <b/>
        <sz val="11"/>
        <color theme="1"/>
        <rFont val="Calibri"/>
        <family val="2"/>
        <scheme val="minor"/>
      </rPr>
      <t>TX</t>
    </r>
    <r>
      <rPr>
        <sz val="11"/>
        <color theme="1"/>
        <rFont val="Calibri"/>
        <family val="2"/>
        <scheme val="minor"/>
      </rPr>
      <t xml:space="preserve"> - Texas
</t>
    </r>
    <r>
      <rPr>
        <b/>
        <sz val="11"/>
        <color theme="1"/>
        <rFont val="Calibri"/>
        <family val="2"/>
        <scheme val="minor"/>
      </rPr>
      <t>UT</t>
    </r>
    <r>
      <rPr>
        <sz val="11"/>
        <color theme="1"/>
        <rFont val="Calibri"/>
        <family val="2"/>
        <scheme val="minor"/>
      </rPr>
      <t xml:space="preserve"> - Utah
</t>
    </r>
    <r>
      <rPr>
        <b/>
        <sz val="11"/>
        <color theme="1"/>
        <rFont val="Calibri"/>
        <family val="2"/>
        <scheme val="minor"/>
      </rPr>
      <t>VA</t>
    </r>
    <r>
      <rPr>
        <sz val="11"/>
        <color theme="1"/>
        <rFont val="Calibri"/>
        <family val="2"/>
        <scheme val="minor"/>
      </rPr>
      <t xml:space="preserve"> - Virginia
</t>
    </r>
    <r>
      <rPr>
        <b/>
        <sz val="11"/>
        <color theme="1"/>
        <rFont val="Calibri"/>
        <family val="2"/>
        <scheme val="minor"/>
      </rPr>
      <t>VI</t>
    </r>
    <r>
      <rPr>
        <sz val="11"/>
        <color theme="1"/>
        <rFont val="Calibri"/>
        <family val="2"/>
        <scheme val="minor"/>
      </rPr>
      <t xml:space="preserve"> - Virgin Islands
</t>
    </r>
    <r>
      <rPr>
        <b/>
        <sz val="11"/>
        <color theme="1"/>
        <rFont val="Calibri"/>
        <family val="2"/>
        <scheme val="minor"/>
      </rPr>
      <t>VT</t>
    </r>
    <r>
      <rPr>
        <sz val="11"/>
        <color theme="1"/>
        <rFont val="Calibri"/>
        <family val="2"/>
        <scheme val="minor"/>
      </rPr>
      <t xml:space="preserve"> - Vermont
</t>
    </r>
    <r>
      <rPr>
        <b/>
        <sz val="11"/>
        <color theme="1"/>
        <rFont val="Calibri"/>
        <family val="2"/>
        <scheme val="minor"/>
      </rPr>
      <t>WA</t>
    </r>
    <r>
      <rPr>
        <sz val="11"/>
        <color theme="1"/>
        <rFont val="Calibri"/>
        <family val="2"/>
        <scheme val="minor"/>
      </rPr>
      <t xml:space="preserve"> - Washington
</t>
    </r>
    <r>
      <rPr>
        <b/>
        <sz val="11"/>
        <color theme="1"/>
        <rFont val="Calibri"/>
        <family val="2"/>
        <scheme val="minor"/>
      </rPr>
      <t>WI</t>
    </r>
    <r>
      <rPr>
        <sz val="11"/>
        <color theme="1"/>
        <rFont val="Calibri"/>
        <family val="2"/>
        <scheme val="minor"/>
      </rPr>
      <t xml:space="preserve"> - Wisconsin
</t>
    </r>
    <r>
      <rPr>
        <b/>
        <sz val="11"/>
        <color theme="1"/>
        <rFont val="Calibri"/>
        <family val="2"/>
        <scheme val="minor"/>
      </rPr>
      <t>WV</t>
    </r>
    <r>
      <rPr>
        <sz val="11"/>
        <color theme="1"/>
        <rFont val="Calibri"/>
        <family val="2"/>
        <scheme val="minor"/>
      </rPr>
      <t xml:space="preserve"> - West Virginia
</t>
    </r>
    <r>
      <rPr>
        <b/>
        <sz val="11"/>
        <color theme="1"/>
        <rFont val="Calibri"/>
        <family val="2"/>
        <scheme val="minor"/>
      </rPr>
      <t>WY</t>
    </r>
    <r>
      <rPr>
        <sz val="11"/>
        <color theme="1"/>
        <rFont val="Calibri"/>
        <family val="2"/>
        <scheme val="minor"/>
      </rPr>
      <t xml:space="preserve"> - Wyoming
</t>
    </r>
  </si>
  <si>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NotEligible</t>
    </r>
    <r>
      <rPr>
        <sz val="11"/>
        <color theme="1"/>
        <rFont val="Calibri"/>
        <family val="2"/>
        <scheme val="minor"/>
      </rPr>
      <t xml:space="preserve"> - Not Eligible
</t>
    </r>
    <r>
      <rPr>
        <b/>
        <sz val="11"/>
        <color theme="1"/>
        <rFont val="Calibri"/>
        <family val="2"/>
        <scheme val="minor"/>
      </rPr>
      <t>NoOperatingQRIS</t>
    </r>
    <r>
      <rPr>
        <sz val="11"/>
        <color theme="1"/>
        <rFont val="Calibri"/>
        <family val="2"/>
        <scheme val="minor"/>
      </rPr>
      <t xml:space="preserve"> - No Operating QRIS
</t>
    </r>
    <r>
      <rPr>
        <b/>
        <sz val="11"/>
        <color theme="1"/>
        <rFont val="Calibri"/>
        <family val="2"/>
        <scheme val="minor"/>
      </rPr>
      <t>InformationUnavailable</t>
    </r>
    <r>
      <rPr>
        <sz val="11"/>
        <color theme="1"/>
        <rFont val="Calibri"/>
        <family val="2"/>
        <scheme val="minor"/>
      </rPr>
      <t xml:space="preserve"> - Information Unavailable
</t>
    </r>
  </si>
  <si>
    <r>
      <t>Family</t>
    </r>
    <r>
      <rPr>
        <sz val="11"/>
        <color theme="1"/>
        <rFont val="Calibri"/>
        <family val="2"/>
        <scheme val="minor"/>
      </rPr>
      <t xml:space="preserve"> - Family
</t>
    </r>
    <r>
      <rPr>
        <b/>
        <sz val="11"/>
        <color theme="1"/>
        <rFont val="Calibri"/>
        <family val="2"/>
        <scheme val="minor"/>
      </rPr>
      <t>Program</t>
    </r>
    <r>
      <rPr>
        <sz val="11"/>
        <color theme="1"/>
        <rFont val="Calibri"/>
        <family val="2"/>
        <scheme val="minor"/>
      </rPr>
      <t xml:space="preserve"> - Program
</t>
    </r>
    <r>
      <rPr>
        <b/>
        <sz val="11"/>
        <color theme="1"/>
        <rFont val="Calibri"/>
        <family val="2"/>
        <scheme val="minor"/>
      </rPr>
      <t>BeyondProgramControl</t>
    </r>
    <r>
      <rPr>
        <sz val="11"/>
        <color theme="1"/>
        <rFont val="Calibri"/>
        <family val="2"/>
        <scheme val="minor"/>
      </rPr>
      <t xml:space="preserve"> - Other beyond the control of the program
</t>
    </r>
    <r>
      <rPr>
        <b/>
        <sz val="11"/>
        <color theme="1"/>
        <rFont val="Calibri"/>
        <family val="2"/>
        <scheme val="minor"/>
      </rPr>
      <t>00748</t>
    </r>
    <r>
      <rPr>
        <sz val="11"/>
        <color theme="1"/>
        <rFont val="Calibri"/>
        <family val="2"/>
        <scheme val="minor"/>
      </rPr>
      <t xml:space="preserve"> - Promotion or advancement
</t>
    </r>
  </si>
  <si>
    <r>
      <t>03451</t>
    </r>
    <r>
      <rPr>
        <sz val="11"/>
        <color theme="1"/>
        <rFont val="Calibri"/>
        <family val="2"/>
        <scheme val="minor"/>
      </rPr>
      <t xml:space="preserve"> - Absent
</t>
    </r>
    <r>
      <rPr>
        <b/>
        <sz val="11"/>
        <color theme="1"/>
        <rFont val="Calibri"/>
        <family val="2"/>
        <scheme val="minor"/>
      </rPr>
      <t>03455</t>
    </r>
    <r>
      <rPr>
        <sz val="11"/>
        <color theme="1"/>
        <rFont val="Calibri"/>
        <family val="2"/>
        <scheme val="minor"/>
      </rPr>
      <t xml:space="preserve"> - Disruptive behavior
</t>
    </r>
    <r>
      <rPr>
        <b/>
        <sz val="11"/>
        <color theme="1"/>
        <rFont val="Calibri"/>
        <family val="2"/>
        <scheme val="minor"/>
      </rPr>
      <t>03454</t>
    </r>
    <r>
      <rPr>
        <sz val="11"/>
        <color theme="1"/>
        <rFont val="Calibri"/>
        <family val="2"/>
        <scheme val="minor"/>
      </rPr>
      <t xml:space="preserve"> - Medical waiver
</t>
    </r>
    <r>
      <rPr>
        <b/>
        <sz val="11"/>
        <color theme="1"/>
        <rFont val="Calibri"/>
        <family val="2"/>
        <scheme val="minor"/>
      </rPr>
      <t>03456</t>
    </r>
    <r>
      <rPr>
        <sz val="11"/>
        <color theme="1"/>
        <rFont val="Calibri"/>
        <family val="2"/>
        <scheme val="minor"/>
      </rPr>
      <t xml:space="preserve"> - Previously passed the examination
</t>
    </r>
    <r>
      <rPr>
        <b/>
        <sz val="11"/>
        <color theme="1"/>
        <rFont val="Calibri"/>
        <family val="2"/>
        <scheme val="minor"/>
      </rPr>
      <t>03452</t>
    </r>
    <r>
      <rPr>
        <sz val="11"/>
        <color theme="1"/>
        <rFont val="Calibri"/>
        <family val="2"/>
        <scheme val="minor"/>
      </rPr>
      <t xml:space="preserve"> - Refusal by parent
</t>
    </r>
    <r>
      <rPr>
        <b/>
        <sz val="11"/>
        <color theme="1"/>
        <rFont val="Calibri"/>
        <family val="2"/>
        <scheme val="minor"/>
      </rPr>
      <t>03453</t>
    </r>
    <r>
      <rPr>
        <sz val="11"/>
        <color theme="1"/>
        <rFont val="Calibri"/>
        <family val="2"/>
        <scheme val="minor"/>
      </rPr>
      <t xml:space="preserve"> - Refusal by student
</t>
    </r>
    <r>
      <rPr>
        <b/>
        <sz val="11"/>
        <color theme="1"/>
        <rFont val="Calibri"/>
        <family val="2"/>
        <scheme val="minor"/>
      </rPr>
      <t>09999</t>
    </r>
    <r>
      <rPr>
        <sz val="11"/>
        <color theme="1"/>
        <rFont val="Calibri"/>
        <family val="2"/>
        <scheme val="minor"/>
      </rPr>
      <t xml:space="preserve"> - Other
</t>
    </r>
  </si>
  <si>
    <r>
      <t>00997</t>
    </r>
    <r>
      <rPr>
        <sz val="11"/>
        <color theme="1"/>
        <rFont val="Calibri"/>
        <family val="2"/>
        <scheme val="minor"/>
      </rPr>
      <t xml:space="preserve"> - Business
</t>
    </r>
    <r>
      <rPr>
        <b/>
        <sz val="11"/>
        <color theme="1"/>
        <rFont val="Calibri"/>
        <family val="2"/>
        <scheme val="minor"/>
      </rPr>
      <t>00752</t>
    </r>
    <r>
      <rPr>
        <sz val="11"/>
        <color theme="1"/>
        <rFont val="Calibri"/>
        <family val="2"/>
        <scheme val="minor"/>
      </rPr>
      <t xml:space="preserve"> - Community facility
</t>
    </r>
    <r>
      <rPr>
        <b/>
        <sz val="11"/>
        <color theme="1"/>
        <rFont val="Calibri"/>
        <family val="2"/>
        <scheme val="minor"/>
      </rPr>
      <t>00753</t>
    </r>
    <r>
      <rPr>
        <sz val="11"/>
        <color theme="1"/>
        <rFont val="Calibri"/>
        <family val="2"/>
        <scheme val="minor"/>
      </rPr>
      <t xml:space="preserve"> - Home of student
</t>
    </r>
    <r>
      <rPr>
        <b/>
        <sz val="11"/>
        <color theme="1"/>
        <rFont val="Calibri"/>
        <family val="2"/>
        <scheme val="minor"/>
      </rPr>
      <t>00754</t>
    </r>
    <r>
      <rPr>
        <sz val="11"/>
        <color theme="1"/>
        <rFont val="Calibri"/>
        <family val="2"/>
        <scheme val="minor"/>
      </rPr>
      <t xml:space="preserve"> - Hospital
</t>
    </r>
    <r>
      <rPr>
        <b/>
        <sz val="11"/>
        <color theme="1"/>
        <rFont val="Calibri"/>
        <family val="2"/>
        <scheme val="minor"/>
      </rPr>
      <t>03018</t>
    </r>
    <r>
      <rPr>
        <sz val="11"/>
        <color theme="1"/>
        <rFont val="Calibri"/>
        <family val="2"/>
        <scheme val="minor"/>
      </rPr>
      <t xml:space="preserve"> - Library/media center
</t>
    </r>
    <r>
      <rPr>
        <b/>
        <sz val="11"/>
        <color theme="1"/>
        <rFont val="Calibri"/>
        <family val="2"/>
        <scheme val="minor"/>
      </rPr>
      <t>03506</t>
    </r>
    <r>
      <rPr>
        <sz val="11"/>
        <color theme="1"/>
        <rFont val="Calibri"/>
        <family val="2"/>
        <scheme val="minor"/>
      </rPr>
      <t xml:space="preserve"> - Mobile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00341</t>
    </r>
    <r>
      <rPr>
        <sz val="11"/>
        <color theme="1"/>
        <rFont val="Calibri"/>
        <family val="2"/>
        <scheme val="minor"/>
      </rPr>
      <t xml:space="preserve"> - Other K-12 educational institution
</t>
    </r>
    <r>
      <rPr>
        <b/>
        <sz val="11"/>
        <color theme="1"/>
        <rFont val="Calibri"/>
        <family val="2"/>
        <scheme val="minor"/>
      </rPr>
      <t>00342</t>
    </r>
    <r>
      <rPr>
        <sz val="11"/>
        <color theme="1"/>
        <rFont val="Calibri"/>
        <family val="2"/>
        <scheme val="minor"/>
      </rPr>
      <t xml:space="preserve"> - Postsecondary facility
</t>
    </r>
    <r>
      <rPr>
        <b/>
        <sz val="11"/>
        <color theme="1"/>
        <rFont val="Calibri"/>
        <family val="2"/>
        <scheme val="minor"/>
      </rPr>
      <t>00675</t>
    </r>
    <r>
      <rPr>
        <sz val="11"/>
        <color theme="1"/>
        <rFont val="Calibri"/>
        <family val="2"/>
        <scheme val="minor"/>
      </rPr>
      <t xml:space="preserve"> - School
</t>
    </r>
  </si>
  <si>
    <r>
      <t>00737</t>
    </r>
    <r>
      <rPr>
        <sz val="11"/>
        <color theme="1"/>
        <rFont val="Calibri"/>
        <family val="2"/>
        <scheme val="minor"/>
      </rPr>
      <t xml:space="preserve"> - Athletic awards
</t>
    </r>
    <r>
      <rPr>
        <b/>
        <sz val="11"/>
        <color theme="1"/>
        <rFont val="Calibri"/>
        <family val="2"/>
        <scheme val="minor"/>
      </rPr>
      <t>00738</t>
    </r>
    <r>
      <rPr>
        <sz val="11"/>
        <color theme="1"/>
        <rFont val="Calibri"/>
        <family val="2"/>
        <scheme val="minor"/>
      </rPr>
      <t xml:space="preserve"> - Awarding of units of value
</t>
    </r>
    <r>
      <rPr>
        <b/>
        <sz val="11"/>
        <color theme="1"/>
        <rFont val="Calibri"/>
        <family val="2"/>
        <scheme val="minor"/>
      </rPr>
      <t>00740</t>
    </r>
    <r>
      <rPr>
        <sz val="11"/>
        <color theme="1"/>
        <rFont val="Calibri"/>
        <family val="2"/>
        <scheme val="minor"/>
      </rPr>
      <t xml:space="preserve"> - Citizenship award/recognition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00742</t>
    </r>
    <r>
      <rPr>
        <sz val="11"/>
        <color theme="1"/>
        <rFont val="Calibri"/>
        <family val="2"/>
        <scheme val="minor"/>
      </rPr>
      <t xml:space="preserve"> - Certificate
</t>
    </r>
    <r>
      <rPr>
        <b/>
        <sz val="11"/>
        <color theme="1"/>
        <rFont val="Calibri"/>
        <family val="2"/>
        <scheme val="minor"/>
      </rPr>
      <t>00743</t>
    </r>
    <r>
      <rPr>
        <sz val="11"/>
        <color theme="1"/>
        <rFont val="Calibri"/>
        <family val="2"/>
        <scheme val="minor"/>
      </rPr>
      <t xml:space="preserve"> - Honor award
</t>
    </r>
    <r>
      <rPr>
        <b/>
        <sz val="11"/>
        <color theme="1"/>
        <rFont val="Calibri"/>
        <family val="2"/>
        <scheme val="minor"/>
      </rPr>
      <t>02048</t>
    </r>
    <r>
      <rPr>
        <sz val="11"/>
        <color theme="1"/>
        <rFont val="Calibri"/>
        <family val="2"/>
        <scheme val="minor"/>
      </rPr>
      <t xml:space="preserve"> - Letter of commendation
</t>
    </r>
    <r>
      <rPr>
        <b/>
        <sz val="11"/>
        <color theme="1"/>
        <rFont val="Calibri"/>
        <family val="2"/>
        <scheme val="minor"/>
      </rPr>
      <t>00745</t>
    </r>
    <r>
      <rPr>
        <sz val="11"/>
        <color theme="1"/>
        <rFont val="Calibri"/>
        <family val="2"/>
        <scheme val="minor"/>
      </rPr>
      <t xml:space="preserve"> - Medals
</t>
    </r>
    <r>
      <rPr>
        <b/>
        <sz val="11"/>
        <color theme="1"/>
        <rFont val="Calibri"/>
        <family val="2"/>
        <scheme val="minor"/>
      </rPr>
      <t>00746</t>
    </r>
    <r>
      <rPr>
        <sz val="11"/>
        <color theme="1"/>
        <rFont val="Calibri"/>
        <family val="2"/>
        <scheme val="minor"/>
      </rPr>
      <t xml:space="preserve"> - Monogram/letter
</t>
    </r>
    <r>
      <rPr>
        <b/>
        <sz val="11"/>
        <color theme="1"/>
        <rFont val="Calibri"/>
        <family val="2"/>
        <scheme val="minor"/>
      </rPr>
      <t>00747</t>
    </r>
    <r>
      <rPr>
        <sz val="11"/>
        <color theme="1"/>
        <rFont val="Calibri"/>
        <family val="2"/>
        <scheme val="minor"/>
      </rPr>
      <t xml:space="preserve"> - Points
</t>
    </r>
    <r>
      <rPr>
        <b/>
        <sz val="11"/>
        <color theme="1"/>
        <rFont val="Calibri"/>
        <family val="2"/>
        <scheme val="minor"/>
      </rPr>
      <t>00748</t>
    </r>
    <r>
      <rPr>
        <sz val="11"/>
        <color theme="1"/>
        <rFont val="Calibri"/>
        <family val="2"/>
        <scheme val="minor"/>
      </rPr>
      <t xml:space="preserve"> - Promotion or advancement
</t>
    </r>
    <r>
      <rPr>
        <b/>
        <sz val="11"/>
        <color theme="1"/>
        <rFont val="Calibri"/>
        <family val="2"/>
        <scheme val="minor"/>
      </rPr>
      <t>09999</t>
    </r>
    <r>
      <rPr>
        <sz val="11"/>
        <color theme="1"/>
        <rFont val="Calibri"/>
        <family val="2"/>
        <scheme val="minor"/>
      </rPr>
      <t xml:space="preserve"> - Other
</t>
    </r>
  </si>
  <si>
    <r>
      <t>Yes</t>
    </r>
    <r>
      <rPr>
        <sz val="11"/>
        <color theme="1"/>
        <rFont val="Calibri"/>
        <family val="2"/>
        <scheme val="minor"/>
      </rPr>
      <t xml:space="preserve"> - Reconstituted school
</t>
    </r>
    <r>
      <rPr>
        <b/>
        <sz val="11"/>
        <color theme="1"/>
        <rFont val="Calibri"/>
        <family val="2"/>
        <scheme val="minor"/>
      </rPr>
      <t>No</t>
    </r>
    <r>
      <rPr>
        <sz val="11"/>
        <color theme="1"/>
        <rFont val="Calibri"/>
        <family val="2"/>
        <scheme val="minor"/>
      </rPr>
      <t xml:space="preserve"> - Not a reconstituted school
</t>
    </r>
  </si>
  <si>
    <r>
      <t>WaitingList</t>
    </r>
    <r>
      <rPr>
        <sz val="11"/>
        <color theme="1"/>
        <rFont val="Calibri"/>
        <family val="2"/>
        <scheme val="minor"/>
      </rPr>
      <t xml:space="preserve"> - Waiting list
</t>
    </r>
    <r>
      <rPr>
        <b/>
        <sz val="11"/>
        <color theme="1"/>
        <rFont val="Calibri"/>
        <family val="2"/>
        <scheme val="minor"/>
      </rPr>
      <t>ParentDeclined</t>
    </r>
    <r>
      <rPr>
        <sz val="11"/>
        <color theme="1"/>
        <rFont val="Calibri"/>
        <family val="2"/>
        <scheme val="minor"/>
      </rPr>
      <t xml:space="preserve"> - Parent declined service
</t>
    </r>
    <r>
      <rPr>
        <b/>
        <sz val="11"/>
        <color theme="1"/>
        <rFont val="Calibri"/>
        <family val="2"/>
        <scheme val="minor"/>
      </rPr>
      <t>Enrolled</t>
    </r>
    <r>
      <rPr>
        <sz val="11"/>
        <color theme="1"/>
        <rFont val="Calibri"/>
        <family val="2"/>
        <scheme val="minor"/>
      </rPr>
      <t xml:space="preserve"> - Enrolled
</t>
    </r>
    <r>
      <rPr>
        <b/>
        <sz val="11"/>
        <color theme="1"/>
        <rFont val="Calibri"/>
        <family val="2"/>
        <scheme val="minor"/>
      </rPr>
      <t>Unreachable</t>
    </r>
    <r>
      <rPr>
        <sz val="11"/>
        <color theme="1"/>
        <rFont val="Calibri"/>
        <family val="2"/>
        <scheme val="minor"/>
      </rPr>
      <t xml:space="preserve"> - Unable to contact parent/family/guardian
</t>
    </r>
    <r>
      <rPr>
        <b/>
        <sz val="11"/>
        <color theme="1"/>
        <rFont val="Calibri"/>
        <family val="2"/>
        <scheme val="minor"/>
      </rPr>
      <t>NotEligible</t>
    </r>
    <r>
      <rPr>
        <sz val="11"/>
        <color theme="1"/>
        <rFont val="Calibri"/>
        <family val="2"/>
        <scheme val="minor"/>
      </rPr>
      <t xml:space="preserve"> - Not eligible
</t>
    </r>
    <r>
      <rPr>
        <b/>
        <sz val="11"/>
        <color theme="1"/>
        <rFont val="Calibri"/>
        <family val="2"/>
        <scheme val="minor"/>
      </rPr>
      <t>Other</t>
    </r>
    <r>
      <rPr>
        <sz val="11"/>
        <color theme="1"/>
        <rFont val="Calibri"/>
        <family val="2"/>
        <scheme val="minor"/>
      </rPr>
      <t xml:space="preserve"> - Other
</t>
    </r>
  </si>
  <si>
    <r>
      <t>Accountability</t>
    </r>
    <r>
      <rPr>
        <sz val="11"/>
        <color theme="1"/>
        <rFont val="Calibri"/>
        <family val="2"/>
        <scheme val="minor"/>
      </rPr>
      <t xml:space="preserve"> - Accountability
</t>
    </r>
    <r>
      <rPr>
        <b/>
        <sz val="11"/>
        <color theme="1"/>
        <rFont val="Calibri"/>
        <family val="2"/>
        <scheme val="minor"/>
      </rPr>
      <t>Attendance</t>
    </r>
    <r>
      <rPr>
        <sz val="11"/>
        <color theme="1"/>
        <rFont val="Calibri"/>
        <family val="2"/>
        <scheme val="minor"/>
      </rPr>
      <t xml:space="preserve"> - Attendance
</t>
    </r>
    <r>
      <rPr>
        <b/>
        <sz val="11"/>
        <color theme="1"/>
        <rFont val="Calibri"/>
        <family val="2"/>
        <scheme val="minor"/>
      </rPr>
      <t>Funding</t>
    </r>
    <r>
      <rPr>
        <sz val="11"/>
        <color theme="1"/>
        <rFont val="Calibri"/>
        <family val="2"/>
        <scheme val="minor"/>
      </rPr>
      <t xml:space="preserve"> - Funding
</t>
    </r>
    <r>
      <rPr>
        <b/>
        <sz val="11"/>
        <color theme="1"/>
        <rFont val="Calibri"/>
        <family val="2"/>
        <scheme val="minor"/>
      </rPr>
      <t>Graduation</t>
    </r>
    <r>
      <rPr>
        <sz val="11"/>
        <color theme="1"/>
        <rFont val="Calibri"/>
        <family val="2"/>
        <scheme val="minor"/>
      </rPr>
      <t xml:space="preserve"> - Graduation
</t>
    </r>
    <r>
      <rPr>
        <b/>
        <sz val="11"/>
        <color theme="1"/>
        <rFont val="Calibri"/>
        <family val="2"/>
        <scheme val="minor"/>
      </rPr>
      <t>IndividualizedEducationProgram</t>
    </r>
    <r>
      <rPr>
        <sz val="11"/>
        <color theme="1"/>
        <rFont val="Calibri"/>
        <family val="2"/>
        <scheme val="minor"/>
      </rPr>
      <t xml:space="preserve"> - Individualized education program (IEP)
</t>
    </r>
    <r>
      <rPr>
        <b/>
        <sz val="11"/>
        <color theme="1"/>
        <rFont val="Calibri"/>
        <family val="2"/>
        <scheme val="minor"/>
      </rPr>
      <t>Transportation</t>
    </r>
    <r>
      <rPr>
        <sz val="11"/>
        <color theme="1"/>
        <rFont val="Calibri"/>
        <family val="2"/>
        <scheme val="minor"/>
      </rPr>
      <t xml:space="preserve"> - Transportation
</t>
    </r>
  </si>
  <si>
    <r>
      <t>RA1</t>
    </r>
    <r>
      <rPr>
        <sz val="11"/>
        <color theme="1"/>
        <rFont val="Calibri"/>
        <family val="2"/>
        <scheme val="minor"/>
      </rPr>
      <t xml:space="preserve"> - Replacement of all or most of the school staff (which may include the principal)
</t>
    </r>
    <r>
      <rPr>
        <b/>
        <sz val="11"/>
        <color theme="1"/>
        <rFont val="Calibri"/>
        <family val="2"/>
        <scheme val="minor"/>
      </rPr>
      <t>RA2</t>
    </r>
    <r>
      <rPr>
        <sz val="11"/>
        <color theme="1"/>
        <rFont val="Calibri"/>
        <family val="2"/>
        <scheme val="minor"/>
      </rPr>
      <t xml:space="preserve"> - Reopening the school as a public charter school
</t>
    </r>
    <r>
      <rPr>
        <b/>
        <sz val="11"/>
        <color theme="1"/>
        <rFont val="Calibri"/>
        <family val="2"/>
        <scheme val="minor"/>
      </rPr>
      <t>RA3</t>
    </r>
    <r>
      <rPr>
        <sz val="11"/>
        <color theme="1"/>
        <rFont val="Calibri"/>
        <family val="2"/>
        <scheme val="minor"/>
      </rPr>
      <t xml:space="preserve"> - Entering into a contract with a private entity to operate the school
</t>
    </r>
    <r>
      <rPr>
        <b/>
        <sz val="11"/>
        <color theme="1"/>
        <rFont val="Calibri"/>
        <family val="2"/>
        <scheme val="minor"/>
      </rPr>
      <t>RA4</t>
    </r>
    <r>
      <rPr>
        <sz val="11"/>
        <color theme="1"/>
        <rFont val="Calibri"/>
        <family val="2"/>
        <scheme val="minor"/>
      </rPr>
      <t xml:space="preserve"> - Take of the school by the state
</t>
    </r>
    <r>
      <rPr>
        <b/>
        <sz val="11"/>
        <color theme="1"/>
        <rFont val="Calibri"/>
        <family val="2"/>
        <scheme val="minor"/>
      </rPr>
      <t>RA5</t>
    </r>
    <r>
      <rPr>
        <sz val="11"/>
        <color theme="1"/>
        <rFont val="Calibri"/>
        <family val="2"/>
        <scheme val="minor"/>
      </rPr>
      <t xml:space="preserve"> - Other major restructuring of the school governance
</t>
    </r>
  </si>
  <si>
    <r>
      <t>B</t>
    </r>
    <r>
      <rPr>
        <sz val="11"/>
        <color theme="1"/>
        <rFont val="Calibri"/>
        <family val="2"/>
        <scheme val="minor"/>
      </rPr>
      <t xml:space="preserve"> - Basic or remedial
</t>
    </r>
    <r>
      <rPr>
        <b/>
        <sz val="11"/>
        <color theme="1"/>
        <rFont val="Calibri"/>
        <family val="2"/>
        <scheme val="minor"/>
      </rPr>
      <t>E</t>
    </r>
    <r>
      <rPr>
        <sz val="11"/>
        <color theme="1"/>
        <rFont val="Calibri"/>
        <family val="2"/>
        <scheme val="minor"/>
      </rPr>
      <t xml:space="preserve"> - Enriched or advanced
</t>
    </r>
    <r>
      <rPr>
        <b/>
        <sz val="11"/>
        <color theme="1"/>
        <rFont val="Calibri"/>
        <family val="2"/>
        <scheme val="minor"/>
      </rPr>
      <t>G</t>
    </r>
    <r>
      <rPr>
        <sz val="11"/>
        <color theme="1"/>
        <rFont val="Calibri"/>
        <family val="2"/>
        <scheme val="minor"/>
      </rPr>
      <t xml:space="preserve"> - General or regular
</t>
    </r>
    <r>
      <rPr>
        <b/>
        <sz val="11"/>
        <color theme="1"/>
        <rFont val="Calibri"/>
        <family val="2"/>
        <scheme val="minor"/>
      </rPr>
      <t>H</t>
    </r>
    <r>
      <rPr>
        <sz val="11"/>
        <color theme="1"/>
        <rFont val="Calibri"/>
        <family val="2"/>
        <scheme val="minor"/>
      </rPr>
      <t xml:space="preserve"> - Honors
</t>
    </r>
    <r>
      <rPr>
        <b/>
        <sz val="11"/>
        <color theme="1"/>
        <rFont val="Calibri"/>
        <family val="2"/>
        <scheme val="minor"/>
      </rPr>
      <t>C</t>
    </r>
    <r>
      <rPr>
        <sz val="11"/>
        <color theme="1"/>
        <rFont val="Calibri"/>
        <family val="2"/>
        <scheme val="minor"/>
      </rPr>
      <t xml:space="preserve"> - College
</t>
    </r>
    <r>
      <rPr>
        <b/>
        <sz val="11"/>
        <color theme="1"/>
        <rFont val="Calibri"/>
        <family val="2"/>
        <scheme val="minor"/>
      </rPr>
      <t>X</t>
    </r>
    <r>
      <rPr>
        <sz val="11"/>
        <color theme="1"/>
        <rFont val="Calibri"/>
        <family val="2"/>
        <scheme val="minor"/>
      </rPr>
      <t xml:space="preserve"> - No specified level of rigor
</t>
    </r>
  </si>
  <si>
    <r>
      <t>01</t>
    </r>
    <r>
      <rPr>
        <sz val="11"/>
        <color theme="1"/>
        <rFont val="Calibri"/>
        <family val="2"/>
        <scheme val="minor"/>
      </rPr>
      <t xml:space="preserve"> - English Language and Literature
</t>
    </r>
    <r>
      <rPr>
        <b/>
        <sz val="11"/>
        <color theme="1"/>
        <rFont val="Calibri"/>
        <family val="2"/>
        <scheme val="minor"/>
      </rPr>
      <t>02</t>
    </r>
    <r>
      <rPr>
        <sz val="11"/>
        <color theme="1"/>
        <rFont val="Calibri"/>
        <family val="2"/>
        <scheme val="minor"/>
      </rPr>
      <t xml:space="preserve"> - Mathematics
</t>
    </r>
    <r>
      <rPr>
        <b/>
        <sz val="11"/>
        <color theme="1"/>
        <rFont val="Calibri"/>
        <family val="2"/>
        <scheme val="minor"/>
      </rPr>
      <t>03</t>
    </r>
    <r>
      <rPr>
        <sz val="11"/>
        <color theme="1"/>
        <rFont val="Calibri"/>
        <family val="2"/>
        <scheme val="minor"/>
      </rPr>
      <t xml:space="preserve"> - Life and Physical Sciences
</t>
    </r>
    <r>
      <rPr>
        <b/>
        <sz val="11"/>
        <color theme="1"/>
        <rFont val="Calibri"/>
        <family val="2"/>
        <scheme val="minor"/>
      </rPr>
      <t>04</t>
    </r>
    <r>
      <rPr>
        <sz val="11"/>
        <color theme="1"/>
        <rFont val="Calibri"/>
        <family val="2"/>
        <scheme val="minor"/>
      </rPr>
      <t xml:space="preserve"> - Social Sciences and History
</t>
    </r>
    <r>
      <rPr>
        <b/>
        <sz val="11"/>
        <color theme="1"/>
        <rFont val="Calibri"/>
        <family val="2"/>
        <scheme val="minor"/>
      </rPr>
      <t>05</t>
    </r>
    <r>
      <rPr>
        <sz val="11"/>
        <color theme="1"/>
        <rFont val="Calibri"/>
        <family val="2"/>
        <scheme val="minor"/>
      </rPr>
      <t xml:space="preserve"> - Fine and Performing Arts
</t>
    </r>
    <r>
      <rPr>
        <b/>
        <sz val="11"/>
        <color theme="1"/>
        <rFont val="Calibri"/>
        <family val="2"/>
        <scheme val="minor"/>
      </rPr>
      <t>06</t>
    </r>
    <r>
      <rPr>
        <sz val="11"/>
        <color theme="1"/>
        <rFont val="Calibri"/>
        <family val="2"/>
        <scheme val="minor"/>
      </rPr>
      <t xml:space="preserve"> - Foreign Language and Literature
</t>
    </r>
    <r>
      <rPr>
        <b/>
        <sz val="11"/>
        <color theme="1"/>
        <rFont val="Calibri"/>
        <family val="2"/>
        <scheme val="minor"/>
      </rPr>
      <t>07</t>
    </r>
    <r>
      <rPr>
        <sz val="11"/>
        <color theme="1"/>
        <rFont val="Calibri"/>
        <family val="2"/>
        <scheme val="minor"/>
      </rPr>
      <t xml:space="preserve"> - Religious Education and Theology
</t>
    </r>
    <r>
      <rPr>
        <b/>
        <sz val="11"/>
        <color theme="1"/>
        <rFont val="Calibri"/>
        <family val="2"/>
        <scheme val="minor"/>
      </rPr>
      <t>08</t>
    </r>
    <r>
      <rPr>
        <sz val="11"/>
        <color theme="1"/>
        <rFont val="Calibri"/>
        <family val="2"/>
        <scheme val="minor"/>
      </rPr>
      <t xml:space="preserve"> - Physical, Health, and Safety Education
</t>
    </r>
    <r>
      <rPr>
        <b/>
        <sz val="11"/>
        <color theme="1"/>
        <rFont val="Calibri"/>
        <family val="2"/>
        <scheme val="minor"/>
      </rPr>
      <t>09</t>
    </r>
    <r>
      <rPr>
        <sz val="11"/>
        <color theme="1"/>
        <rFont val="Calibri"/>
        <family val="2"/>
        <scheme val="minor"/>
      </rPr>
      <t xml:space="preserve"> - Military Science
</t>
    </r>
    <r>
      <rPr>
        <b/>
        <sz val="11"/>
        <color theme="1"/>
        <rFont val="Calibri"/>
        <family val="2"/>
        <scheme val="minor"/>
      </rPr>
      <t>10</t>
    </r>
    <r>
      <rPr>
        <sz val="11"/>
        <color theme="1"/>
        <rFont val="Calibri"/>
        <family val="2"/>
        <scheme val="minor"/>
      </rPr>
      <t xml:space="preserve"> - Computer and Information Sciences
</t>
    </r>
    <r>
      <rPr>
        <b/>
        <sz val="11"/>
        <color theme="1"/>
        <rFont val="Calibri"/>
        <family val="2"/>
        <scheme val="minor"/>
      </rPr>
      <t>11</t>
    </r>
    <r>
      <rPr>
        <sz val="11"/>
        <color theme="1"/>
        <rFont val="Calibri"/>
        <family val="2"/>
        <scheme val="minor"/>
      </rPr>
      <t xml:space="preserve"> - Communication and Audio/Visual Technology
</t>
    </r>
    <r>
      <rPr>
        <b/>
        <sz val="11"/>
        <color theme="1"/>
        <rFont val="Calibri"/>
        <family val="2"/>
        <scheme val="minor"/>
      </rPr>
      <t>12</t>
    </r>
    <r>
      <rPr>
        <sz val="11"/>
        <color theme="1"/>
        <rFont val="Calibri"/>
        <family val="2"/>
        <scheme val="minor"/>
      </rPr>
      <t xml:space="preserve"> - Business and Marketing
</t>
    </r>
    <r>
      <rPr>
        <b/>
        <sz val="11"/>
        <color theme="1"/>
        <rFont val="Calibri"/>
        <family val="2"/>
        <scheme val="minor"/>
      </rPr>
      <t>13</t>
    </r>
    <r>
      <rPr>
        <sz val="11"/>
        <color theme="1"/>
        <rFont val="Calibri"/>
        <family val="2"/>
        <scheme val="minor"/>
      </rPr>
      <t xml:space="preserve"> - Manufacturing
</t>
    </r>
    <r>
      <rPr>
        <b/>
        <sz val="11"/>
        <color theme="1"/>
        <rFont val="Calibri"/>
        <family val="2"/>
        <scheme val="minor"/>
      </rPr>
      <t>14</t>
    </r>
    <r>
      <rPr>
        <sz val="11"/>
        <color theme="1"/>
        <rFont val="Calibri"/>
        <family val="2"/>
        <scheme val="minor"/>
      </rPr>
      <t xml:space="preserve"> - Health Care Sciences
</t>
    </r>
    <r>
      <rPr>
        <b/>
        <sz val="11"/>
        <color theme="1"/>
        <rFont val="Calibri"/>
        <family val="2"/>
        <scheme val="minor"/>
      </rPr>
      <t>15</t>
    </r>
    <r>
      <rPr>
        <sz val="11"/>
        <color theme="1"/>
        <rFont val="Calibri"/>
        <family val="2"/>
        <scheme val="minor"/>
      </rPr>
      <t xml:space="preserve"> - Public, Protective, and Government Service
</t>
    </r>
    <r>
      <rPr>
        <b/>
        <sz val="11"/>
        <color theme="1"/>
        <rFont val="Calibri"/>
        <family val="2"/>
        <scheme val="minor"/>
      </rPr>
      <t>16</t>
    </r>
    <r>
      <rPr>
        <sz val="11"/>
        <color theme="1"/>
        <rFont val="Calibri"/>
        <family val="2"/>
        <scheme val="minor"/>
      </rPr>
      <t xml:space="preserve"> - Hospitality and Tourism
</t>
    </r>
    <r>
      <rPr>
        <b/>
        <sz val="11"/>
        <color theme="1"/>
        <rFont val="Calibri"/>
        <family val="2"/>
        <scheme val="minor"/>
      </rPr>
      <t>17</t>
    </r>
    <r>
      <rPr>
        <sz val="11"/>
        <color theme="1"/>
        <rFont val="Calibri"/>
        <family val="2"/>
        <scheme val="minor"/>
      </rPr>
      <t xml:space="preserve"> - Architecture and Construction
</t>
    </r>
    <r>
      <rPr>
        <b/>
        <sz val="11"/>
        <color theme="1"/>
        <rFont val="Calibri"/>
        <family val="2"/>
        <scheme val="minor"/>
      </rPr>
      <t>18</t>
    </r>
    <r>
      <rPr>
        <sz val="11"/>
        <color theme="1"/>
        <rFont val="Calibri"/>
        <family val="2"/>
        <scheme val="minor"/>
      </rPr>
      <t xml:space="preserve"> - Agriculture, Food, and Natural Resources
</t>
    </r>
    <r>
      <rPr>
        <b/>
        <sz val="11"/>
        <color theme="1"/>
        <rFont val="Calibri"/>
        <family val="2"/>
        <scheme val="minor"/>
      </rPr>
      <t>19</t>
    </r>
    <r>
      <rPr>
        <sz val="11"/>
        <color theme="1"/>
        <rFont val="Calibri"/>
        <family val="2"/>
        <scheme val="minor"/>
      </rPr>
      <t xml:space="preserve"> - Human Services
</t>
    </r>
    <r>
      <rPr>
        <b/>
        <sz val="11"/>
        <color theme="1"/>
        <rFont val="Calibri"/>
        <family val="2"/>
        <scheme val="minor"/>
      </rPr>
      <t>20</t>
    </r>
    <r>
      <rPr>
        <sz val="11"/>
        <color theme="1"/>
        <rFont val="Calibri"/>
        <family val="2"/>
        <scheme val="minor"/>
      </rPr>
      <t xml:space="preserve"> - Transportation, Distribution and Logistics
</t>
    </r>
    <r>
      <rPr>
        <b/>
        <sz val="11"/>
        <color theme="1"/>
        <rFont val="Calibri"/>
        <family val="2"/>
        <scheme val="minor"/>
      </rPr>
      <t>21</t>
    </r>
    <r>
      <rPr>
        <sz val="11"/>
        <color theme="1"/>
        <rFont val="Calibri"/>
        <family val="2"/>
        <scheme val="minor"/>
      </rPr>
      <t xml:space="preserve"> - Engineering and Technology
</t>
    </r>
    <r>
      <rPr>
        <b/>
        <sz val="11"/>
        <color theme="1"/>
        <rFont val="Calibri"/>
        <family val="2"/>
        <scheme val="minor"/>
      </rPr>
      <t>22</t>
    </r>
    <r>
      <rPr>
        <sz val="11"/>
        <color theme="1"/>
        <rFont val="Calibri"/>
        <family val="2"/>
        <scheme val="minor"/>
      </rPr>
      <t xml:space="preserve"> - Miscellaneous
</t>
    </r>
    <r>
      <rPr>
        <b/>
        <sz val="11"/>
        <color theme="1"/>
        <rFont val="Calibri"/>
        <family val="2"/>
        <scheme val="minor"/>
      </rPr>
      <t>23</t>
    </r>
    <r>
      <rPr>
        <sz val="11"/>
        <color theme="1"/>
        <rFont val="Calibri"/>
        <family val="2"/>
        <scheme val="minor"/>
      </rPr>
      <t xml:space="preserve"> - Non-Subject-Specific
</t>
    </r>
  </si>
  <si>
    <r>
      <t>School</t>
    </r>
    <r>
      <rPr>
        <sz val="11"/>
        <color theme="1"/>
        <rFont val="Calibri"/>
        <family val="2"/>
        <scheme val="minor"/>
      </rPr>
      <t xml:space="preserve"> - School-assigned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LEA</t>
    </r>
    <r>
      <rPr>
        <sz val="11"/>
        <color theme="1"/>
        <rFont val="Calibri"/>
        <family val="2"/>
        <scheme val="minor"/>
      </rPr>
      <t xml:space="preserve"> - Local Education Agency assigned number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StateUniversitySystem</t>
    </r>
    <r>
      <rPr>
        <sz val="11"/>
        <color theme="1"/>
        <rFont val="Calibri"/>
        <family val="2"/>
        <scheme val="minor"/>
      </rPr>
      <t xml:space="preserve"> - State University System assigned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Other</t>
    </r>
    <r>
      <rPr>
        <sz val="11"/>
        <color theme="1"/>
        <rFont val="Calibri"/>
        <family val="2"/>
        <scheme val="minor"/>
      </rPr>
      <t xml:space="preserve"> - Other
</t>
    </r>
  </si>
  <si>
    <r>
      <t>Turnaround</t>
    </r>
    <r>
      <rPr>
        <sz val="11"/>
        <color theme="1"/>
        <rFont val="Calibri"/>
        <family val="2"/>
        <scheme val="minor"/>
      </rPr>
      <t xml:space="preserve"> - Turnaround model
</t>
    </r>
    <r>
      <rPr>
        <b/>
        <sz val="11"/>
        <color theme="1"/>
        <rFont val="Calibri"/>
        <family val="2"/>
        <scheme val="minor"/>
      </rPr>
      <t>Restart</t>
    </r>
    <r>
      <rPr>
        <sz val="11"/>
        <color theme="1"/>
        <rFont val="Calibri"/>
        <family val="2"/>
        <scheme val="minor"/>
      </rPr>
      <t xml:space="preserve"> - Restart model
</t>
    </r>
    <r>
      <rPr>
        <b/>
        <sz val="11"/>
        <color theme="1"/>
        <rFont val="Calibri"/>
        <family val="2"/>
        <scheme val="minor"/>
      </rPr>
      <t>Closure</t>
    </r>
    <r>
      <rPr>
        <sz val="11"/>
        <color theme="1"/>
        <rFont val="Calibri"/>
        <family val="2"/>
        <scheme val="minor"/>
      </rPr>
      <t xml:space="preserve"> - School closure model
</t>
    </r>
    <r>
      <rPr>
        <b/>
        <sz val="11"/>
        <color theme="1"/>
        <rFont val="Calibri"/>
        <family val="2"/>
        <scheme val="minor"/>
      </rPr>
      <t>Transformation</t>
    </r>
    <r>
      <rPr>
        <sz val="11"/>
        <color theme="1"/>
        <rFont val="Calibri"/>
        <family val="2"/>
        <scheme val="minor"/>
      </rPr>
      <t xml:space="preserve"> - Transformation model
</t>
    </r>
  </si>
  <si>
    <r>
      <t>CorrectiveAction</t>
    </r>
    <r>
      <rPr>
        <sz val="11"/>
        <color theme="1"/>
        <rFont val="Calibri"/>
        <family val="2"/>
        <scheme val="minor"/>
      </rPr>
      <t xml:space="preserve"> - Corrective action
</t>
    </r>
    <r>
      <rPr>
        <b/>
        <sz val="11"/>
        <color theme="1"/>
        <rFont val="Calibri"/>
        <family val="2"/>
        <scheme val="minor"/>
      </rPr>
      <t>Year1</t>
    </r>
    <r>
      <rPr>
        <sz val="11"/>
        <color theme="1"/>
        <rFont val="Calibri"/>
        <family val="2"/>
        <scheme val="minor"/>
      </rPr>
      <t xml:space="preserve"> - Improvement status Year 1
</t>
    </r>
    <r>
      <rPr>
        <b/>
        <sz val="11"/>
        <color theme="1"/>
        <rFont val="Calibri"/>
        <family val="2"/>
        <scheme val="minor"/>
      </rPr>
      <t>Year2</t>
    </r>
    <r>
      <rPr>
        <sz val="11"/>
        <color theme="1"/>
        <rFont val="Calibri"/>
        <family val="2"/>
        <scheme val="minor"/>
      </rPr>
      <t xml:space="preserve"> - Improvement status Year 2
</t>
    </r>
    <r>
      <rPr>
        <b/>
        <sz val="11"/>
        <color theme="1"/>
        <rFont val="Calibri"/>
        <family val="2"/>
        <scheme val="minor"/>
      </rPr>
      <t>Planning</t>
    </r>
    <r>
      <rPr>
        <sz val="11"/>
        <color theme="1"/>
        <rFont val="Calibri"/>
        <family val="2"/>
        <scheme val="minor"/>
      </rPr>
      <t xml:space="preserve"> - Planning for restructuring
</t>
    </r>
    <r>
      <rPr>
        <b/>
        <sz val="11"/>
        <color theme="1"/>
        <rFont val="Calibri"/>
        <family val="2"/>
        <scheme val="minor"/>
      </rPr>
      <t>Restructuring</t>
    </r>
    <r>
      <rPr>
        <sz val="11"/>
        <color theme="1"/>
        <rFont val="Calibri"/>
        <family val="2"/>
        <scheme val="minor"/>
      </rPr>
      <t xml:space="preserve"> - Restructuring
</t>
    </r>
    <r>
      <rPr>
        <b/>
        <sz val="11"/>
        <color theme="1"/>
        <rFont val="Calibri"/>
        <family val="2"/>
        <scheme val="minor"/>
      </rPr>
      <t>NA</t>
    </r>
    <r>
      <rPr>
        <sz val="11"/>
        <color theme="1"/>
        <rFont val="Calibri"/>
        <family val="2"/>
        <scheme val="minor"/>
      </rPr>
      <t xml:space="preserve"> - Not applicable
</t>
    </r>
  </si>
  <si>
    <r>
      <t>00013</t>
    </r>
    <r>
      <rPr>
        <sz val="11"/>
        <color theme="1"/>
        <rFont val="Calibri"/>
        <family val="2"/>
        <scheme val="minor"/>
      </rPr>
      <t xml:space="preserve"> - Adult
</t>
    </r>
    <r>
      <rPr>
        <b/>
        <sz val="11"/>
        <color theme="1"/>
        <rFont val="Calibri"/>
        <family val="2"/>
        <scheme val="minor"/>
      </rPr>
      <t>01302</t>
    </r>
    <r>
      <rPr>
        <sz val="11"/>
        <color theme="1"/>
        <rFont val="Calibri"/>
        <family val="2"/>
        <scheme val="minor"/>
      </rPr>
      <t xml:space="preserve"> - All levels
</t>
    </r>
    <r>
      <rPr>
        <b/>
        <sz val="11"/>
        <color theme="1"/>
        <rFont val="Calibri"/>
        <family val="2"/>
        <scheme val="minor"/>
      </rPr>
      <t>01304</t>
    </r>
    <r>
      <rPr>
        <sz val="11"/>
        <color theme="1"/>
        <rFont val="Calibri"/>
        <family val="2"/>
        <scheme val="minor"/>
      </rPr>
      <t xml:space="preserve"> - Elementary
</t>
    </r>
    <r>
      <rPr>
        <b/>
        <sz val="11"/>
        <color theme="1"/>
        <rFont val="Calibri"/>
        <family val="2"/>
        <scheme val="minor"/>
      </rPr>
      <t>02402</t>
    </r>
    <r>
      <rPr>
        <sz val="11"/>
        <color theme="1"/>
        <rFont val="Calibri"/>
        <family val="2"/>
        <scheme val="minor"/>
      </rPr>
      <t xml:space="preserve"> - High school
</t>
    </r>
    <r>
      <rPr>
        <b/>
        <sz val="11"/>
        <color theme="1"/>
        <rFont val="Calibri"/>
        <family val="2"/>
        <scheme val="minor"/>
      </rPr>
      <t>00787</t>
    </r>
    <r>
      <rPr>
        <sz val="11"/>
        <color theme="1"/>
        <rFont val="Calibri"/>
        <family val="2"/>
        <scheme val="minor"/>
      </rPr>
      <t xml:space="preserve"> - Infant/toddler
</t>
    </r>
    <r>
      <rPr>
        <b/>
        <sz val="11"/>
        <color theme="1"/>
        <rFont val="Calibri"/>
        <family val="2"/>
        <scheme val="minor"/>
      </rPr>
      <t>02399</t>
    </r>
    <r>
      <rPr>
        <sz val="11"/>
        <color theme="1"/>
        <rFont val="Calibri"/>
        <family val="2"/>
        <scheme val="minor"/>
      </rPr>
      <t xml:space="preserve"> - Intermediate
</t>
    </r>
    <r>
      <rPr>
        <b/>
        <sz val="11"/>
        <color theme="1"/>
        <rFont val="Calibri"/>
        <family val="2"/>
        <scheme val="minor"/>
      </rPr>
      <t>02602</t>
    </r>
    <r>
      <rPr>
        <sz val="11"/>
        <color theme="1"/>
        <rFont val="Calibri"/>
        <family val="2"/>
        <scheme val="minor"/>
      </rPr>
      <t xml:space="preserve"> - Junior high school
</t>
    </r>
    <r>
      <rPr>
        <b/>
        <sz val="11"/>
        <color theme="1"/>
        <rFont val="Calibri"/>
        <family val="2"/>
        <scheme val="minor"/>
      </rPr>
      <t>02400</t>
    </r>
    <r>
      <rPr>
        <sz val="11"/>
        <color theme="1"/>
        <rFont val="Calibri"/>
        <family val="2"/>
        <scheme val="minor"/>
      </rPr>
      <t xml:space="preserve"> - Middle
</t>
    </r>
    <r>
      <rPr>
        <b/>
        <sz val="11"/>
        <color theme="1"/>
        <rFont val="Calibri"/>
        <family val="2"/>
        <scheme val="minor"/>
      </rPr>
      <t>01981</t>
    </r>
    <r>
      <rPr>
        <sz val="11"/>
        <color theme="1"/>
        <rFont val="Calibri"/>
        <family val="2"/>
        <scheme val="minor"/>
      </rPr>
      <t xml:space="preserve"> - Pre-kindergarten/early childhood
</t>
    </r>
    <r>
      <rPr>
        <b/>
        <sz val="11"/>
        <color theme="1"/>
        <rFont val="Calibri"/>
        <family val="2"/>
        <scheme val="minor"/>
      </rPr>
      <t>02397</t>
    </r>
    <r>
      <rPr>
        <sz val="11"/>
        <color theme="1"/>
        <rFont val="Calibri"/>
        <family val="2"/>
        <scheme val="minor"/>
      </rPr>
      <t xml:space="preserve"> - Primary
</t>
    </r>
    <r>
      <rPr>
        <b/>
        <sz val="11"/>
        <color theme="1"/>
        <rFont val="Calibri"/>
        <family val="2"/>
        <scheme val="minor"/>
      </rPr>
      <t>02403</t>
    </r>
    <r>
      <rPr>
        <sz val="11"/>
        <color theme="1"/>
        <rFont val="Calibri"/>
        <family val="2"/>
        <scheme val="minor"/>
      </rPr>
      <t xml:space="preserve"> - Secondary
</t>
    </r>
    <r>
      <rPr>
        <b/>
        <sz val="11"/>
        <color theme="1"/>
        <rFont val="Calibri"/>
        <family val="2"/>
        <scheme val="minor"/>
      </rPr>
      <t>73066</t>
    </r>
    <r>
      <rPr>
        <sz val="11"/>
        <color theme="1"/>
        <rFont val="Calibri"/>
        <family val="2"/>
        <scheme val="minor"/>
      </rPr>
      <t xml:space="preserve"> - Joint secondary and postsecondary
</t>
    </r>
  </si>
  <si>
    <r>
      <t>Open</t>
    </r>
    <r>
      <rPr>
        <sz val="11"/>
        <color theme="1"/>
        <rFont val="Calibri"/>
        <family val="2"/>
        <scheme val="minor"/>
      </rPr>
      <t xml:space="preserve"> - Open
</t>
    </r>
    <r>
      <rPr>
        <b/>
        <sz val="11"/>
        <color theme="1"/>
        <rFont val="Calibri"/>
        <family val="2"/>
        <scheme val="minor"/>
      </rPr>
      <t>Closed</t>
    </r>
    <r>
      <rPr>
        <sz val="11"/>
        <color theme="1"/>
        <rFont val="Calibri"/>
        <family val="2"/>
        <scheme val="minor"/>
      </rPr>
      <t xml:space="preserve"> - Closed
</t>
    </r>
    <r>
      <rPr>
        <b/>
        <sz val="11"/>
        <color theme="1"/>
        <rFont val="Calibri"/>
        <family val="2"/>
        <scheme val="minor"/>
      </rPr>
      <t>New</t>
    </r>
    <r>
      <rPr>
        <sz val="11"/>
        <color theme="1"/>
        <rFont val="Calibri"/>
        <family val="2"/>
        <scheme val="minor"/>
      </rPr>
      <t xml:space="preserve"> - New
</t>
    </r>
    <r>
      <rPr>
        <b/>
        <sz val="11"/>
        <color theme="1"/>
        <rFont val="Calibri"/>
        <family val="2"/>
        <scheme val="minor"/>
      </rPr>
      <t>Added</t>
    </r>
    <r>
      <rPr>
        <sz val="11"/>
        <color theme="1"/>
        <rFont val="Calibri"/>
        <family val="2"/>
        <scheme val="minor"/>
      </rPr>
      <t xml:space="preserve"> - Added
</t>
    </r>
    <r>
      <rPr>
        <b/>
        <sz val="11"/>
        <color theme="1"/>
        <rFont val="Calibri"/>
        <family val="2"/>
        <scheme val="minor"/>
      </rPr>
      <t>ChangedAgency</t>
    </r>
    <r>
      <rPr>
        <sz val="11"/>
        <color theme="1"/>
        <rFont val="Calibri"/>
        <family val="2"/>
        <scheme val="minor"/>
      </rPr>
      <t xml:space="preserve"> - Changed Agency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FutureSchool</t>
    </r>
    <r>
      <rPr>
        <sz val="11"/>
        <color theme="1"/>
        <rFont val="Calibri"/>
        <family val="2"/>
        <scheme val="minor"/>
      </rPr>
      <t xml:space="preserve"> - Future school
</t>
    </r>
    <r>
      <rPr>
        <b/>
        <sz val="11"/>
        <color theme="1"/>
        <rFont val="Calibri"/>
        <family val="2"/>
        <scheme val="minor"/>
      </rPr>
      <t>Reopened</t>
    </r>
    <r>
      <rPr>
        <sz val="11"/>
        <color theme="1"/>
        <rFont val="Calibri"/>
        <family val="2"/>
        <scheme val="minor"/>
      </rPr>
      <t xml:space="preserve"> - Reopened
</t>
    </r>
  </si>
  <si>
    <r>
      <t>Regular</t>
    </r>
    <r>
      <rPr>
        <sz val="11"/>
        <color theme="1"/>
        <rFont val="Calibri"/>
        <family val="2"/>
        <scheme val="minor"/>
      </rPr>
      <t xml:space="preserve"> - Regular School
</t>
    </r>
    <r>
      <rPr>
        <b/>
        <sz val="11"/>
        <color theme="1"/>
        <rFont val="Calibri"/>
        <family val="2"/>
        <scheme val="minor"/>
      </rPr>
      <t>SpecialEd</t>
    </r>
    <r>
      <rPr>
        <sz val="11"/>
        <color theme="1"/>
        <rFont val="Calibri"/>
        <family val="2"/>
        <scheme val="minor"/>
      </rPr>
      <t xml:space="preserve"> - Special Education School
</t>
    </r>
    <r>
      <rPr>
        <b/>
        <sz val="11"/>
        <color theme="1"/>
        <rFont val="Calibri"/>
        <family val="2"/>
        <scheme val="minor"/>
      </rPr>
      <t>CareerAndTechnical</t>
    </r>
    <r>
      <rPr>
        <sz val="11"/>
        <color theme="1"/>
        <rFont val="Calibri"/>
        <family val="2"/>
        <scheme val="minor"/>
      </rPr>
      <t xml:space="preserve"> - Career and Technical Education School
</t>
    </r>
    <r>
      <rPr>
        <b/>
        <sz val="11"/>
        <color theme="1"/>
        <rFont val="Calibri"/>
        <family val="2"/>
        <scheme val="minor"/>
      </rPr>
      <t>Alternative</t>
    </r>
    <r>
      <rPr>
        <sz val="11"/>
        <color theme="1"/>
        <rFont val="Calibri"/>
        <family val="2"/>
        <scheme val="minor"/>
      </rPr>
      <t xml:space="preserve"> - Alternative School
</t>
    </r>
  </si>
  <si>
    <r>
      <t>B</t>
    </r>
    <r>
      <rPr>
        <sz val="11"/>
        <color theme="1"/>
        <rFont val="Calibri"/>
        <family val="2"/>
        <scheme val="minor"/>
      </rPr>
      <t xml:space="preserve"> - Basic or remedial
</t>
    </r>
    <r>
      <rPr>
        <b/>
        <sz val="11"/>
        <color theme="1"/>
        <rFont val="Calibri"/>
        <family val="2"/>
        <scheme val="minor"/>
      </rPr>
      <t>E</t>
    </r>
    <r>
      <rPr>
        <sz val="11"/>
        <color theme="1"/>
        <rFont val="Calibri"/>
        <family val="2"/>
        <scheme val="minor"/>
      </rPr>
      <t xml:space="preserve"> - Enriched or advanced
</t>
    </r>
    <r>
      <rPr>
        <b/>
        <sz val="11"/>
        <color theme="1"/>
        <rFont val="Calibri"/>
        <family val="2"/>
        <scheme val="minor"/>
      </rPr>
      <t>G</t>
    </r>
    <r>
      <rPr>
        <sz val="11"/>
        <color theme="1"/>
        <rFont val="Calibri"/>
        <family val="2"/>
        <scheme val="minor"/>
      </rPr>
      <t xml:space="preserve"> - General or regular
</t>
    </r>
    <r>
      <rPr>
        <b/>
        <sz val="11"/>
        <color theme="1"/>
        <rFont val="Calibri"/>
        <family val="2"/>
        <scheme val="minor"/>
      </rPr>
      <t>H</t>
    </r>
    <r>
      <rPr>
        <sz val="11"/>
        <color theme="1"/>
        <rFont val="Calibri"/>
        <family val="2"/>
        <scheme val="minor"/>
      </rPr>
      <t xml:space="preserve"> - Honors
</t>
    </r>
  </si>
  <si>
    <r>
      <t>01</t>
    </r>
    <r>
      <rPr>
        <sz val="11"/>
        <color theme="1"/>
        <rFont val="Calibri"/>
        <family val="2"/>
        <scheme val="minor"/>
      </rPr>
      <t xml:space="preserve"> - English Language and Literature
</t>
    </r>
    <r>
      <rPr>
        <b/>
        <sz val="11"/>
        <color theme="1"/>
        <rFont val="Calibri"/>
        <family val="2"/>
        <scheme val="minor"/>
      </rPr>
      <t>02</t>
    </r>
    <r>
      <rPr>
        <sz val="11"/>
        <color theme="1"/>
        <rFont val="Calibri"/>
        <family val="2"/>
        <scheme val="minor"/>
      </rPr>
      <t xml:space="preserve"> - Mathematics
</t>
    </r>
    <r>
      <rPr>
        <b/>
        <sz val="11"/>
        <color theme="1"/>
        <rFont val="Calibri"/>
        <family val="2"/>
        <scheme val="minor"/>
      </rPr>
      <t>03</t>
    </r>
    <r>
      <rPr>
        <sz val="11"/>
        <color theme="1"/>
        <rFont val="Calibri"/>
        <family val="2"/>
        <scheme val="minor"/>
      </rPr>
      <t xml:space="preserve"> - Life and Physical Sciences
</t>
    </r>
    <r>
      <rPr>
        <b/>
        <sz val="11"/>
        <color theme="1"/>
        <rFont val="Calibri"/>
        <family val="2"/>
        <scheme val="minor"/>
      </rPr>
      <t>04</t>
    </r>
    <r>
      <rPr>
        <sz val="11"/>
        <color theme="1"/>
        <rFont val="Calibri"/>
        <family val="2"/>
        <scheme val="minor"/>
      </rPr>
      <t xml:space="preserve"> - Social Sciences and History
</t>
    </r>
    <r>
      <rPr>
        <b/>
        <sz val="11"/>
        <color theme="1"/>
        <rFont val="Calibri"/>
        <family val="2"/>
        <scheme val="minor"/>
      </rPr>
      <t>05</t>
    </r>
    <r>
      <rPr>
        <sz val="11"/>
        <color theme="1"/>
        <rFont val="Calibri"/>
        <family val="2"/>
        <scheme val="minor"/>
      </rPr>
      <t xml:space="preserve"> - Fine and Performing Arts
</t>
    </r>
    <r>
      <rPr>
        <b/>
        <sz val="11"/>
        <color theme="1"/>
        <rFont val="Calibri"/>
        <family val="2"/>
        <scheme val="minor"/>
      </rPr>
      <t>06</t>
    </r>
    <r>
      <rPr>
        <sz val="11"/>
        <color theme="1"/>
        <rFont val="Calibri"/>
        <family val="2"/>
        <scheme val="minor"/>
      </rPr>
      <t xml:space="preserve"> - Foreign Language and Literature
</t>
    </r>
    <r>
      <rPr>
        <b/>
        <sz val="11"/>
        <color theme="1"/>
        <rFont val="Calibri"/>
        <family val="2"/>
        <scheme val="minor"/>
      </rPr>
      <t>07</t>
    </r>
    <r>
      <rPr>
        <sz val="11"/>
        <color theme="1"/>
        <rFont val="Calibri"/>
        <family val="2"/>
        <scheme val="minor"/>
      </rPr>
      <t xml:space="preserve"> - Religious Education and Theology
</t>
    </r>
    <r>
      <rPr>
        <b/>
        <sz val="11"/>
        <color theme="1"/>
        <rFont val="Calibri"/>
        <family val="2"/>
        <scheme val="minor"/>
      </rPr>
      <t>08</t>
    </r>
    <r>
      <rPr>
        <sz val="11"/>
        <color theme="1"/>
        <rFont val="Calibri"/>
        <family val="2"/>
        <scheme val="minor"/>
      </rPr>
      <t xml:space="preserve"> - Physical, Health, and Safety Education
</t>
    </r>
    <r>
      <rPr>
        <b/>
        <sz val="11"/>
        <color theme="1"/>
        <rFont val="Calibri"/>
        <family val="2"/>
        <scheme val="minor"/>
      </rPr>
      <t>09</t>
    </r>
    <r>
      <rPr>
        <sz val="11"/>
        <color theme="1"/>
        <rFont val="Calibri"/>
        <family val="2"/>
        <scheme val="minor"/>
      </rPr>
      <t xml:space="preserve"> - Military Science
</t>
    </r>
    <r>
      <rPr>
        <b/>
        <sz val="11"/>
        <color theme="1"/>
        <rFont val="Calibri"/>
        <family val="2"/>
        <scheme val="minor"/>
      </rPr>
      <t>10</t>
    </r>
    <r>
      <rPr>
        <sz val="11"/>
        <color theme="1"/>
        <rFont val="Calibri"/>
        <family val="2"/>
        <scheme val="minor"/>
      </rPr>
      <t xml:space="preserve"> - Computer and Information Sciences
</t>
    </r>
    <r>
      <rPr>
        <b/>
        <sz val="11"/>
        <color theme="1"/>
        <rFont val="Calibri"/>
        <family val="2"/>
        <scheme val="minor"/>
      </rPr>
      <t>11</t>
    </r>
    <r>
      <rPr>
        <sz val="11"/>
        <color theme="1"/>
        <rFont val="Calibri"/>
        <family val="2"/>
        <scheme val="minor"/>
      </rPr>
      <t xml:space="preserve"> - Communication and Audio/Visual Technology
</t>
    </r>
    <r>
      <rPr>
        <b/>
        <sz val="11"/>
        <color theme="1"/>
        <rFont val="Calibri"/>
        <family val="2"/>
        <scheme val="minor"/>
      </rPr>
      <t>12</t>
    </r>
    <r>
      <rPr>
        <sz val="11"/>
        <color theme="1"/>
        <rFont val="Calibri"/>
        <family val="2"/>
        <scheme val="minor"/>
      </rPr>
      <t xml:space="preserve"> - Business and Marketing
</t>
    </r>
    <r>
      <rPr>
        <b/>
        <sz val="11"/>
        <color theme="1"/>
        <rFont val="Calibri"/>
        <family val="2"/>
        <scheme val="minor"/>
      </rPr>
      <t>13</t>
    </r>
    <r>
      <rPr>
        <sz val="11"/>
        <color theme="1"/>
        <rFont val="Calibri"/>
        <family val="2"/>
        <scheme val="minor"/>
      </rPr>
      <t xml:space="preserve"> - Manufacturing
</t>
    </r>
    <r>
      <rPr>
        <b/>
        <sz val="11"/>
        <color theme="1"/>
        <rFont val="Calibri"/>
        <family val="2"/>
        <scheme val="minor"/>
      </rPr>
      <t>14</t>
    </r>
    <r>
      <rPr>
        <sz val="11"/>
        <color theme="1"/>
        <rFont val="Calibri"/>
        <family val="2"/>
        <scheme val="minor"/>
      </rPr>
      <t xml:space="preserve"> - Health Care Sciences
</t>
    </r>
    <r>
      <rPr>
        <b/>
        <sz val="11"/>
        <color theme="1"/>
        <rFont val="Calibri"/>
        <family val="2"/>
        <scheme val="minor"/>
      </rPr>
      <t>15</t>
    </r>
    <r>
      <rPr>
        <sz val="11"/>
        <color theme="1"/>
        <rFont val="Calibri"/>
        <family val="2"/>
        <scheme val="minor"/>
      </rPr>
      <t xml:space="preserve"> - Public, Protective, and Government Service
</t>
    </r>
    <r>
      <rPr>
        <b/>
        <sz val="11"/>
        <color theme="1"/>
        <rFont val="Calibri"/>
        <family val="2"/>
        <scheme val="minor"/>
      </rPr>
      <t>16</t>
    </r>
    <r>
      <rPr>
        <sz val="11"/>
        <color theme="1"/>
        <rFont val="Calibri"/>
        <family val="2"/>
        <scheme val="minor"/>
      </rPr>
      <t xml:space="preserve"> - Hospitality and Tourism
</t>
    </r>
    <r>
      <rPr>
        <b/>
        <sz val="11"/>
        <color theme="1"/>
        <rFont val="Calibri"/>
        <family val="2"/>
        <scheme val="minor"/>
      </rPr>
      <t>17</t>
    </r>
    <r>
      <rPr>
        <sz val="11"/>
        <color theme="1"/>
        <rFont val="Calibri"/>
        <family val="2"/>
        <scheme val="minor"/>
      </rPr>
      <t xml:space="preserve"> - Architecture and Construction
</t>
    </r>
    <r>
      <rPr>
        <b/>
        <sz val="11"/>
        <color theme="1"/>
        <rFont val="Calibri"/>
        <family val="2"/>
        <scheme val="minor"/>
      </rPr>
      <t>18</t>
    </r>
    <r>
      <rPr>
        <sz val="11"/>
        <color theme="1"/>
        <rFont val="Calibri"/>
        <family val="2"/>
        <scheme val="minor"/>
      </rPr>
      <t xml:space="preserve"> - Agriculture, Food, and Natural Resources
</t>
    </r>
    <r>
      <rPr>
        <b/>
        <sz val="11"/>
        <color theme="1"/>
        <rFont val="Calibri"/>
        <family val="2"/>
        <scheme val="minor"/>
      </rPr>
      <t>19</t>
    </r>
    <r>
      <rPr>
        <sz val="11"/>
        <color theme="1"/>
        <rFont val="Calibri"/>
        <family val="2"/>
        <scheme val="minor"/>
      </rPr>
      <t xml:space="preserve"> - Human Services
</t>
    </r>
    <r>
      <rPr>
        <b/>
        <sz val="11"/>
        <color theme="1"/>
        <rFont val="Calibri"/>
        <family val="2"/>
        <scheme val="minor"/>
      </rPr>
      <t>20</t>
    </r>
    <r>
      <rPr>
        <sz val="11"/>
        <color theme="1"/>
        <rFont val="Calibri"/>
        <family val="2"/>
        <scheme val="minor"/>
      </rPr>
      <t xml:space="preserve"> - Transportation, Distribution and Logistics
</t>
    </r>
    <r>
      <rPr>
        <b/>
        <sz val="11"/>
        <color theme="1"/>
        <rFont val="Calibri"/>
        <family val="2"/>
        <scheme val="minor"/>
      </rPr>
      <t>21</t>
    </r>
    <r>
      <rPr>
        <sz val="11"/>
        <color theme="1"/>
        <rFont val="Calibri"/>
        <family val="2"/>
        <scheme val="minor"/>
      </rPr>
      <t xml:space="preserve"> - Engineering and Technology
</t>
    </r>
    <r>
      <rPr>
        <b/>
        <sz val="11"/>
        <color theme="1"/>
        <rFont val="Calibri"/>
        <family val="2"/>
        <scheme val="minor"/>
      </rPr>
      <t>22</t>
    </r>
    <r>
      <rPr>
        <sz val="11"/>
        <color theme="1"/>
        <rFont val="Calibri"/>
        <family val="2"/>
        <scheme val="minor"/>
      </rPr>
      <t xml:space="preserve"> - Miscellaneous
</t>
    </r>
  </si>
  <si>
    <r>
      <t>03066</t>
    </r>
    <r>
      <rPr>
        <sz val="11"/>
        <color theme="1"/>
        <rFont val="Calibri"/>
        <family val="2"/>
        <scheme val="minor"/>
      </rPr>
      <t xml:space="preserve"> - Alcohol-related
</t>
    </r>
    <r>
      <rPr>
        <b/>
        <sz val="11"/>
        <color theme="1"/>
        <rFont val="Calibri"/>
        <family val="2"/>
        <scheme val="minor"/>
      </rPr>
      <t>03067</t>
    </r>
    <r>
      <rPr>
        <sz val="11"/>
        <color theme="1"/>
        <rFont val="Calibri"/>
        <family val="2"/>
        <scheme val="minor"/>
      </rPr>
      <t xml:space="preserve"> - Drug-related
</t>
    </r>
    <r>
      <rPr>
        <b/>
        <sz val="11"/>
        <color theme="1"/>
        <rFont val="Calibri"/>
        <family val="2"/>
        <scheme val="minor"/>
      </rPr>
      <t>03068</t>
    </r>
    <r>
      <rPr>
        <sz val="11"/>
        <color theme="1"/>
        <rFont val="Calibri"/>
        <family val="2"/>
        <scheme val="minor"/>
      </rPr>
      <t xml:space="preserve"> - Gang-related
</t>
    </r>
    <r>
      <rPr>
        <b/>
        <sz val="11"/>
        <color theme="1"/>
        <rFont val="Calibri"/>
        <family val="2"/>
        <scheme val="minor"/>
      </rPr>
      <t>13778</t>
    </r>
    <r>
      <rPr>
        <sz val="11"/>
        <color theme="1"/>
        <rFont val="Calibri"/>
        <family val="2"/>
        <scheme val="minor"/>
      </rPr>
      <t xml:space="preserve"> - Hate-related (Disability)
</t>
    </r>
    <r>
      <rPr>
        <b/>
        <sz val="11"/>
        <color theme="1"/>
        <rFont val="Calibri"/>
        <family val="2"/>
        <scheme val="minor"/>
      </rPr>
      <t>13777</t>
    </r>
    <r>
      <rPr>
        <sz val="11"/>
        <color theme="1"/>
        <rFont val="Calibri"/>
        <family val="2"/>
        <scheme val="minor"/>
      </rPr>
      <t xml:space="preserve"> - Hate-related (Other)
</t>
    </r>
    <r>
      <rPr>
        <b/>
        <sz val="11"/>
        <color theme="1"/>
        <rFont val="Calibri"/>
        <family val="2"/>
        <scheme val="minor"/>
      </rPr>
      <t>13779</t>
    </r>
    <r>
      <rPr>
        <sz val="11"/>
        <color theme="1"/>
        <rFont val="Calibri"/>
        <family val="2"/>
        <scheme val="minor"/>
      </rPr>
      <t xml:space="preserve"> - Hate-related (Race, Color, or National Origin)
</t>
    </r>
    <r>
      <rPr>
        <b/>
        <sz val="11"/>
        <color theme="1"/>
        <rFont val="Calibri"/>
        <family val="2"/>
        <scheme val="minor"/>
      </rPr>
      <t>13780</t>
    </r>
    <r>
      <rPr>
        <sz val="11"/>
        <color theme="1"/>
        <rFont val="Calibri"/>
        <family val="2"/>
        <scheme val="minor"/>
      </rPr>
      <t xml:space="preserve"> - Hate-related (Sex)
</t>
    </r>
    <r>
      <rPr>
        <b/>
        <sz val="11"/>
        <color theme="1"/>
        <rFont val="Calibri"/>
        <family val="2"/>
        <scheme val="minor"/>
      </rPr>
      <t>03070</t>
    </r>
    <r>
      <rPr>
        <sz val="11"/>
        <color theme="1"/>
        <rFont val="Calibri"/>
        <family val="2"/>
        <scheme val="minor"/>
      </rPr>
      <t xml:space="preserve"> - Weapon-related
</t>
    </r>
  </si>
  <si>
    <r>
      <t>FullDayFullYear</t>
    </r>
    <r>
      <rPr>
        <sz val="11"/>
        <color theme="1"/>
        <rFont val="Calibri"/>
        <family val="2"/>
        <scheme val="minor"/>
      </rPr>
      <t xml:space="preserve"> - Full-day/full-year
</t>
    </r>
    <r>
      <rPr>
        <b/>
        <sz val="11"/>
        <color theme="1"/>
        <rFont val="Calibri"/>
        <family val="2"/>
        <scheme val="minor"/>
      </rPr>
      <t>FullDayPartYear</t>
    </r>
    <r>
      <rPr>
        <sz val="11"/>
        <color theme="1"/>
        <rFont val="Calibri"/>
        <family val="2"/>
        <scheme val="minor"/>
      </rPr>
      <t xml:space="preserve"> - Full-day/part-year
</t>
    </r>
    <r>
      <rPr>
        <b/>
        <sz val="11"/>
        <color theme="1"/>
        <rFont val="Calibri"/>
        <family val="2"/>
        <scheme val="minor"/>
      </rPr>
      <t>PartDayFullYear</t>
    </r>
    <r>
      <rPr>
        <sz val="11"/>
        <color theme="1"/>
        <rFont val="Calibri"/>
        <family val="2"/>
        <scheme val="minor"/>
      </rPr>
      <t xml:space="preserve"> - Part-day/full-year
</t>
    </r>
    <r>
      <rPr>
        <b/>
        <sz val="11"/>
        <color theme="1"/>
        <rFont val="Calibri"/>
        <family val="2"/>
        <scheme val="minor"/>
      </rPr>
      <t>PartDayPartYear</t>
    </r>
    <r>
      <rPr>
        <sz val="11"/>
        <color theme="1"/>
        <rFont val="Calibri"/>
        <family val="2"/>
        <scheme val="minor"/>
      </rPr>
      <t xml:space="preserve"> - Part-day/part-year
</t>
    </r>
    <r>
      <rPr>
        <b/>
        <sz val="11"/>
        <color theme="1"/>
        <rFont val="Calibri"/>
        <family val="2"/>
        <scheme val="minor"/>
      </rPr>
      <t>HomeBased</t>
    </r>
    <r>
      <rPr>
        <sz val="11"/>
        <color theme="1"/>
        <rFont val="Calibri"/>
        <family val="2"/>
        <scheme val="minor"/>
      </rPr>
      <t xml:space="preserve"> - Home based
</t>
    </r>
    <r>
      <rPr>
        <b/>
        <sz val="11"/>
        <color theme="1"/>
        <rFont val="Calibri"/>
        <family val="2"/>
        <scheme val="minor"/>
      </rPr>
      <t>NA</t>
    </r>
    <r>
      <rPr>
        <sz val="11"/>
        <color theme="1"/>
        <rFont val="Calibri"/>
        <family val="2"/>
        <scheme val="minor"/>
      </rPr>
      <t xml:space="preserve"> - Not applicable
</t>
    </r>
  </si>
  <si>
    <r>
      <t>FullSchoolYear</t>
    </r>
    <r>
      <rPr>
        <sz val="11"/>
        <color theme="1"/>
        <rFont val="Calibri"/>
        <family val="2"/>
        <scheme val="minor"/>
      </rPr>
      <t xml:space="preserve"> - Full School Year
</t>
    </r>
    <r>
      <rPr>
        <b/>
        <sz val="11"/>
        <color theme="1"/>
        <rFont val="Calibri"/>
        <family val="2"/>
        <scheme val="minor"/>
      </rPr>
      <t>Intersession</t>
    </r>
    <r>
      <rPr>
        <sz val="11"/>
        <color theme="1"/>
        <rFont val="Calibri"/>
        <family val="2"/>
        <scheme val="minor"/>
      </rPr>
      <t xml:space="preserve"> - Intersession
</t>
    </r>
    <r>
      <rPr>
        <b/>
        <sz val="11"/>
        <color theme="1"/>
        <rFont val="Calibri"/>
        <family val="2"/>
        <scheme val="minor"/>
      </rPr>
      <t>LongSession</t>
    </r>
    <r>
      <rPr>
        <sz val="11"/>
        <color theme="1"/>
        <rFont val="Calibri"/>
        <family val="2"/>
        <scheme val="minor"/>
      </rPr>
      <t xml:space="preserve"> - Long Session
</t>
    </r>
    <r>
      <rPr>
        <b/>
        <sz val="11"/>
        <color theme="1"/>
        <rFont val="Calibri"/>
        <family val="2"/>
        <scheme val="minor"/>
      </rPr>
      <t>MiniTerm</t>
    </r>
    <r>
      <rPr>
        <sz val="11"/>
        <color theme="1"/>
        <rFont val="Calibri"/>
        <family val="2"/>
        <scheme val="minor"/>
      </rPr>
      <t xml:space="preserve"> - Mini Term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Quinmester</t>
    </r>
    <r>
      <rPr>
        <sz val="11"/>
        <color theme="1"/>
        <rFont val="Calibri"/>
        <family val="2"/>
        <scheme val="minor"/>
      </rPr>
      <t xml:space="preserve"> - Quinmester
</t>
    </r>
    <r>
      <rPr>
        <b/>
        <sz val="11"/>
        <color theme="1"/>
        <rFont val="Calibri"/>
        <family val="2"/>
        <scheme val="minor"/>
      </rPr>
      <t>Semester</t>
    </r>
    <r>
      <rPr>
        <sz val="11"/>
        <color theme="1"/>
        <rFont val="Calibri"/>
        <family val="2"/>
        <scheme val="minor"/>
      </rPr>
      <t xml:space="preserve"> - Semester
</t>
    </r>
    <r>
      <rPr>
        <b/>
        <sz val="11"/>
        <color theme="1"/>
        <rFont val="Calibri"/>
        <family val="2"/>
        <scheme val="minor"/>
      </rPr>
      <t>SummerTerm</t>
    </r>
    <r>
      <rPr>
        <sz val="11"/>
        <color theme="1"/>
        <rFont val="Calibri"/>
        <family val="2"/>
        <scheme val="minor"/>
      </rPr>
      <t xml:space="preserve"> - Summer Term
</t>
    </r>
    <r>
      <rPr>
        <b/>
        <sz val="11"/>
        <color theme="1"/>
        <rFont val="Calibri"/>
        <family val="2"/>
        <scheme val="minor"/>
      </rPr>
      <t>Trimester</t>
    </r>
    <r>
      <rPr>
        <sz val="11"/>
        <color theme="1"/>
        <rFont val="Calibri"/>
        <family val="2"/>
        <scheme val="minor"/>
      </rPr>
      <t xml:space="preserve"> - Trimester
</t>
    </r>
    <r>
      <rPr>
        <b/>
        <sz val="11"/>
        <color theme="1"/>
        <rFont val="Calibri"/>
        <family val="2"/>
        <scheme val="minor"/>
      </rPr>
      <t>TwelveMonth</t>
    </r>
    <r>
      <rPr>
        <sz val="11"/>
        <color theme="1"/>
        <rFont val="Calibri"/>
        <family val="2"/>
        <scheme val="minor"/>
      </rPr>
      <t xml:space="preserve"> - Twelve Month
</t>
    </r>
    <r>
      <rPr>
        <b/>
        <sz val="11"/>
        <color theme="1"/>
        <rFont val="Calibri"/>
        <family val="2"/>
        <scheme val="minor"/>
      </rPr>
      <t>Other</t>
    </r>
    <r>
      <rPr>
        <sz val="11"/>
        <color theme="1"/>
        <rFont val="Calibri"/>
        <family val="2"/>
        <scheme val="minor"/>
      </rPr>
      <t xml:space="preserve"> - Other
</t>
    </r>
  </si>
  <si>
    <r>
      <t>Male</t>
    </r>
    <r>
      <rPr>
        <sz val="11"/>
        <color theme="1"/>
        <rFont val="Calibri"/>
        <family val="2"/>
        <scheme val="minor"/>
      </rPr>
      <t xml:space="preserve"> - Male
</t>
    </r>
    <r>
      <rPr>
        <b/>
        <sz val="11"/>
        <color theme="1"/>
        <rFont val="Calibri"/>
        <family val="2"/>
        <scheme val="minor"/>
      </rPr>
      <t>Female</t>
    </r>
    <r>
      <rPr>
        <sz val="11"/>
        <color theme="1"/>
        <rFont val="Calibri"/>
        <family val="2"/>
        <scheme val="minor"/>
      </rPr>
      <t xml:space="preserve"> - Female
</t>
    </r>
    <r>
      <rPr>
        <b/>
        <sz val="11"/>
        <color theme="1"/>
        <rFont val="Calibri"/>
        <family val="2"/>
        <scheme val="minor"/>
      </rPr>
      <t>NotSelected</t>
    </r>
    <r>
      <rPr>
        <sz val="11"/>
        <color theme="1"/>
        <rFont val="Calibri"/>
        <family val="2"/>
        <scheme val="minor"/>
      </rPr>
      <t xml:space="preserve"> - Not selected
</t>
    </r>
  </si>
  <si>
    <r>
      <t>Wages</t>
    </r>
    <r>
      <rPr>
        <sz val="11"/>
        <color theme="1"/>
        <rFont val="Calibri"/>
        <family val="2"/>
        <scheme val="minor"/>
      </rPr>
      <t xml:space="preserve"> - Wages
</t>
    </r>
    <r>
      <rPr>
        <b/>
        <sz val="11"/>
        <color theme="1"/>
        <rFont val="Calibri"/>
        <family val="2"/>
        <scheme val="minor"/>
      </rPr>
      <t>Alimony</t>
    </r>
    <r>
      <rPr>
        <sz val="11"/>
        <color theme="1"/>
        <rFont val="Calibri"/>
        <family val="2"/>
        <scheme val="minor"/>
      </rPr>
      <t xml:space="preserve"> - Alimony
</t>
    </r>
    <r>
      <rPr>
        <b/>
        <sz val="11"/>
        <color theme="1"/>
        <rFont val="Calibri"/>
        <family val="2"/>
        <scheme val="minor"/>
      </rPr>
      <t>ChildSupport</t>
    </r>
    <r>
      <rPr>
        <sz val="11"/>
        <color theme="1"/>
        <rFont val="Calibri"/>
        <family val="2"/>
        <scheme val="minor"/>
      </rPr>
      <t xml:space="preserve"> - Child support
</t>
    </r>
    <r>
      <rPr>
        <b/>
        <sz val="11"/>
        <color theme="1"/>
        <rFont val="Calibri"/>
        <family val="2"/>
        <scheme val="minor"/>
      </rPr>
      <t>WorkersComp</t>
    </r>
    <r>
      <rPr>
        <sz val="11"/>
        <color theme="1"/>
        <rFont val="Calibri"/>
        <family val="2"/>
        <scheme val="minor"/>
      </rPr>
      <t xml:space="preserve"> - Worker's compensation
</t>
    </r>
    <r>
      <rPr>
        <b/>
        <sz val="11"/>
        <color theme="1"/>
        <rFont val="Calibri"/>
        <family val="2"/>
        <scheme val="minor"/>
      </rPr>
      <t>Unemployment</t>
    </r>
    <r>
      <rPr>
        <sz val="11"/>
        <color theme="1"/>
        <rFont val="Calibri"/>
        <family val="2"/>
        <scheme val="minor"/>
      </rPr>
      <t xml:space="preserve"> - Unemployment
</t>
    </r>
    <r>
      <rPr>
        <b/>
        <sz val="11"/>
        <color theme="1"/>
        <rFont val="Calibri"/>
        <family val="2"/>
        <scheme val="minor"/>
      </rPr>
      <t>SSI</t>
    </r>
    <r>
      <rPr>
        <sz val="11"/>
        <color theme="1"/>
        <rFont val="Calibri"/>
        <family val="2"/>
        <scheme val="minor"/>
      </rPr>
      <t xml:space="preserve"> - Supplemental security income
</t>
    </r>
    <r>
      <rPr>
        <b/>
        <sz val="11"/>
        <color theme="1"/>
        <rFont val="Calibri"/>
        <family val="2"/>
        <scheme val="minor"/>
      </rPr>
      <t>TANF</t>
    </r>
    <r>
      <rPr>
        <sz val="11"/>
        <color theme="1"/>
        <rFont val="Calibri"/>
        <family val="2"/>
        <scheme val="minor"/>
      </rPr>
      <t xml:space="preserve"> - Temporary assistance for needy families
</t>
    </r>
    <r>
      <rPr>
        <b/>
        <sz val="11"/>
        <color theme="1"/>
        <rFont val="Calibri"/>
        <family val="2"/>
        <scheme val="minor"/>
      </rPr>
      <t>Agricultural</t>
    </r>
    <r>
      <rPr>
        <sz val="11"/>
        <color theme="1"/>
        <rFont val="Calibri"/>
        <family val="2"/>
        <scheme val="minor"/>
      </rPr>
      <t xml:space="preserve"> - Agricultural
</t>
    </r>
    <r>
      <rPr>
        <b/>
        <sz val="11"/>
        <color theme="1"/>
        <rFont val="Calibri"/>
        <family val="2"/>
        <scheme val="minor"/>
      </rPr>
      <t>Other</t>
    </r>
    <r>
      <rPr>
        <sz val="11"/>
        <color theme="1"/>
        <rFont val="Calibri"/>
        <family val="2"/>
        <scheme val="minor"/>
      </rPr>
      <t xml:space="preserve"> - Other
</t>
    </r>
  </si>
  <si>
    <r>
      <t>ELL</t>
    </r>
    <r>
      <rPr>
        <sz val="11"/>
        <color theme="1"/>
        <rFont val="Calibri"/>
        <family val="2"/>
        <scheme val="minor"/>
      </rPr>
      <t xml:space="preserve"> - English language learners
</t>
    </r>
    <r>
      <rPr>
        <b/>
        <sz val="11"/>
        <color theme="1"/>
        <rFont val="Calibri"/>
        <family val="2"/>
        <scheme val="minor"/>
      </rPr>
      <t>CWD</t>
    </r>
    <r>
      <rPr>
        <sz val="11"/>
        <color theme="1"/>
        <rFont val="Calibri"/>
        <family val="2"/>
        <scheme val="minor"/>
      </rPr>
      <t xml:space="preserve"> - Children with disabilities
</t>
    </r>
    <r>
      <rPr>
        <b/>
        <sz val="11"/>
        <color theme="1"/>
        <rFont val="Calibri"/>
        <family val="2"/>
        <scheme val="minor"/>
      </rPr>
      <t>Homeless</t>
    </r>
    <r>
      <rPr>
        <sz val="11"/>
        <color theme="1"/>
        <rFont val="Calibri"/>
        <family val="2"/>
        <scheme val="minor"/>
      </rPr>
      <t xml:space="preserve"> - Homeless
</t>
    </r>
    <r>
      <rPr>
        <b/>
        <sz val="11"/>
        <color theme="1"/>
        <rFont val="Calibri"/>
        <family val="2"/>
        <scheme val="minor"/>
      </rPr>
      <t>MentalHealth</t>
    </r>
    <r>
      <rPr>
        <sz val="11"/>
        <color theme="1"/>
        <rFont val="Calibri"/>
        <family val="2"/>
        <scheme val="minor"/>
      </rPr>
      <t xml:space="preserve"> - Mental health
</t>
    </r>
    <r>
      <rPr>
        <b/>
        <sz val="11"/>
        <color theme="1"/>
        <rFont val="Calibri"/>
        <family val="2"/>
        <scheme val="minor"/>
      </rPr>
      <t>SpecialHealthNeeds</t>
    </r>
    <r>
      <rPr>
        <sz val="11"/>
        <color theme="1"/>
        <rFont val="Calibri"/>
        <family val="2"/>
        <scheme val="minor"/>
      </rPr>
      <t xml:space="preserve"> - Special health needs
</t>
    </r>
    <r>
      <rPr>
        <b/>
        <sz val="11"/>
        <color theme="1"/>
        <rFont val="Calibri"/>
        <family val="2"/>
        <scheme val="minor"/>
      </rPr>
      <t>Foster</t>
    </r>
    <r>
      <rPr>
        <sz val="11"/>
        <color theme="1"/>
        <rFont val="Calibri"/>
        <family val="2"/>
        <scheme val="minor"/>
      </rPr>
      <t xml:space="preserve"> - Foster
</t>
    </r>
    <r>
      <rPr>
        <b/>
        <sz val="11"/>
        <color theme="1"/>
        <rFont val="Calibri"/>
        <family val="2"/>
        <scheme val="minor"/>
      </rPr>
      <t>Other</t>
    </r>
    <r>
      <rPr>
        <sz val="11"/>
        <color theme="1"/>
        <rFont val="Calibri"/>
        <family val="2"/>
        <scheme val="minor"/>
      </rPr>
      <t xml:space="preserve"> - Other
</t>
    </r>
  </si>
  <si>
    <r>
      <t>3TO5</t>
    </r>
    <r>
      <rPr>
        <sz val="11"/>
        <color theme="1"/>
        <rFont val="Calibri"/>
        <family val="2"/>
        <scheme val="minor"/>
      </rPr>
      <t xml:space="preserve"> - 3 through 5
</t>
    </r>
    <r>
      <rPr>
        <b/>
        <sz val="11"/>
        <color theme="1"/>
        <rFont val="Calibri"/>
        <family val="2"/>
        <scheme val="minor"/>
      </rPr>
      <t>6TO21</t>
    </r>
    <r>
      <rPr>
        <sz val="11"/>
        <color theme="1"/>
        <rFont val="Calibri"/>
        <family val="2"/>
        <scheme val="minor"/>
      </rPr>
      <t xml:space="preserve"> - 6 through 21
</t>
    </r>
  </si>
  <si>
    <r>
      <t>HighSchoolDiploma</t>
    </r>
    <r>
      <rPr>
        <sz val="11"/>
        <color theme="1"/>
        <rFont val="Calibri"/>
        <family val="2"/>
        <scheme val="minor"/>
      </rPr>
      <t xml:space="preserve"> - Graduated with regular high school diploma
</t>
    </r>
    <r>
      <rPr>
        <b/>
        <sz val="11"/>
        <color theme="1"/>
        <rFont val="Calibri"/>
        <family val="2"/>
        <scheme val="minor"/>
      </rPr>
      <t>ReceivedCertificate</t>
    </r>
    <r>
      <rPr>
        <sz val="11"/>
        <color theme="1"/>
        <rFont val="Calibri"/>
        <family val="2"/>
        <scheme val="minor"/>
      </rPr>
      <t xml:space="preserve"> - Received a certificate
</t>
    </r>
    <r>
      <rPr>
        <b/>
        <sz val="11"/>
        <color theme="1"/>
        <rFont val="Calibri"/>
        <family val="2"/>
        <scheme val="minor"/>
      </rPr>
      <t>ReachedMaximumAge</t>
    </r>
    <r>
      <rPr>
        <sz val="11"/>
        <color theme="1"/>
        <rFont val="Calibri"/>
        <family val="2"/>
        <scheme val="minor"/>
      </rPr>
      <t xml:space="preserve"> - Reached maximum age
</t>
    </r>
    <r>
      <rPr>
        <b/>
        <sz val="11"/>
        <color theme="1"/>
        <rFont val="Calibri"/>
        <family val="2"/>
        <scheme val="minor"/>
      </rPr>
      <t>Died</t>
    </r>
    <r>
      <rPr>
        <sz val="11"/>
        <color theme="1"/>
        <rFont val="Calibri"/>
        <family val="2"/>
        <scheme val="minor"/>
      </rPr>
      <t xml:space="preserve"> - Died
</t>
    </r>
    <r>
      <rPr>
        <b/>
        <sz val="11"/>
        <color theme="1"/>
        <rFont val="Calibri"/>
        <family val="2"/>
        <scheme val="minor"/>
      </rPr>
      <t>MovedAndContinuing</t>
    </r>
    <r>
      <rPr>
        <sz val="11"/>
        <color theme="1"/>
        <rFont val="Calibri"/>
        <family val="2"/>
        <scheme val="minor"/>
      </rPr>
      <t xml:space="preserve"> - Moved, known to be continuing
</t>
    </r>
    <r>
      <rPr>
        <b/>
        <sz val="11"/>
        <color theme="1"/>
        <rFont val="Calibri"/>
        <family val="2"/>
        <scheme val="minor"/>
      </rPr>
      <t>DroppedOut</t>
    </r>
    <r>
      <rPr>
        <sz val="11"/>
        <color theme="1"/>
        <rFont val="Calibri"/>
        <family val="2"/>
        <scheme val="minor"/>
      </rPr>
      <t xml:space="preserve"> - Dropped out
</t>
    </r>
    <r>
      <rPr>
        <b/>
        <sz val="11"/>
        <color theme="1"/>
        <rFont val="Calibri"/>
        <family val="2"/>
        <scheme val="minor"/>
      </rPr>
      <t>Transferred</t>
    </r>
    <r>
      <rPr>
        <sz val="11"/>
        <color theme="1"/>
        <rFont val="Calibri"/>
        <family val="2"/>
        <scheme val="minor"/>
      </rPr>
      <t xml:space="preserve"> - Transferred to regular education
</t>
    </r>
    <r>
      <rPr>
        <b/>
        <sz val="11"/>
        <color theme="1"/>
        <rFont val="Calibri"/>
        <family val="2"/>
        <scheme val="minor"/>
      </rPr>
      <t>PartCNoLongerEligible</t>
    </r>
    <r>
      <rPr>
        <sz val="11"/>
        <color theme="1"/>
        <rFont val="Calibri"/>
        <family val="2"/>
        <scheme val="minor"/>
      </rPr>
      <t xml:space="preserve"> - No longer eligible for Part C prior to reaching age three.
</t>
    </r>
    <r>
      <rPr>
        <b/>
        <sz val="11"/>
        <color theme="1"/>
        <rFont val="Calibri"/>
        <family val="2"/>
        <scheme val="minor"/>
      </rPr>
      <t>PartBEligibleExitingPartC</t>
    </r>
    <r>
      <rPr>
        <sz val="11"/>
        <color theme="1"/>
        <rFont val="Calibri"/>
        <family val="2"/>
        <scheme val="minor"/>
      </rPr>
      <t xml:space="preserve"> - Part B eligible, exiting Part C.
</t>
    </r>
    <r>
      <rPr>
        <b/>
        <sz val="11"/>
        <color theme="1"/>
        <rFont val="Calibri"/>
        <family val="2"/>
        <scheme val="minor"/>
      </rPr>
      <t>PartBEligibleContinuingPartC</t>
    </r>
    <r>
      <rPr>
        <sz val="11"/>
        <color theme="1"/>
        <rFont val="Calibri"/>
        <family val="2"/>
        <scheme val="minor"/>
      </rPr>
      <t xml:space="preserve"> - Part B eligible, continuing in Part C.
</t>
    </r>
    <r>
      <rPr>
        <b/>
        <sz val="11"/>
        <color theme="1"/>
        <rFont val="Calibri"/>
        <family val="2"/>
        <scheme val="minor"/>
      </rPr>
      <t>NotPartBElgibleExitingPartCWithReferrrals</t>
    </r>
    <r>
      <rPr>
        <sz val="11"/>
        <color theme="1"/>
        <rFont val="Calibri"/>
        <family val="2"/>
        <scheme val="minor"/>
      </rPr>
      <t xml:space="preserve"> - Not eligible for Part B, exit with referrals to other programs.
</t>
    </r>
    <r>
      <rPr>
        <b/>
        <sz val="11"/>
        <color theme="1"/>
        <rFont val="Calibri"/>
        <family val="2"/>
        <scheme val="minor"/>
      </rPr>
      <t>NotPartBElgibleExitingPartCWithoutReferrrals</t>
    </r>
    <r>
      <rPr>
        <sz val="11"/>
        <color theme="1"/>
        <rFont val="Calibri"/>
        <family val="2"/>
        <scheme val="minor"/>
      </rPr>
      <t xml:space="preserve"> - Not eligible for Part B, exit with no referrals.
</t>
    </r>
    <r>
      <rPr>
        <b/>
        <sz val="11"/>
        <color theme="1"/>
        <rFont val="Calibri"/>
        <family val="2"/>
        <scheme val="minor"/>
      </rPr>
      <t>PartBEligibilityNotDeterminedExitingPartC</t>
    </r>
    <r>
      <rPr>
        <sz val="11"/>
        <color theme="1"/>
        <rFont val="Calibri"/>
        <family val="2"/>
        <scheme val="minor"/>
      </rPr>
      <t xml:space="preserve"> - Part B eligibility not determined.
</t>
    </r>
    <r>
      <rPr>
        <b/>
        <sz val="11"/>
        <color theme="1"/>
        <rFont val="Calibri"/>
        <family val="2"/>
        <scheme val="minor"/>
      </rPr>
      <t>WithdrawalByParent</t>
    </r>
    <r>
      <rPr>
        <sz val="11"/>
        <color theme="1"/>
        <rFont val="Calibri"/>
        <family val="2"/>
        <scheme val="minor"/>
      </rPr>
      <t xml:space="preserve"> - Withdrawal by parent (or guardian).
</t>
    </r>
    <r>
      <rPr>
        <b/>
        <sz val="11"/>
        <color theme="1"/>
        <rFont val="Calibri"/>
        <family val="2"/>
        <scheme val="minor"/>
      </rPr>
      <t>MovedOutOfState</t>
    </r>
    <r>
      <rPr>
        <sz val="11"/>
        <color theme="1"/>
        <rFont val="Calibri"/>
        <family val="2"/>
        <scheme val="minor"/>
      </rPr>
      <t xml:space="preserve"> - Moved out of State
</t>
    </r>
    <r>
      <rPr>
        <b/>
        <sz val="11"/>
        <color theme="1"/>
        <rFont val="Calibri"/>
        <family val="2"/>
        <scheme val="minor"/>
      </rPr>
      <t>Unreachable</t>
    </r>
    <r>
      <rPr>
        <sz val="11"/>
        <color theme="1"/>
        <rFont val="Calibri"/>
        <family val="2"/>
        <scheme val="minor"/>
      </rPr>
      <t xml:space="preserve"> - Attempts to contact the parent and/or child were unsuccessful.
</t>
    </r>
  </si>
  <si>
    <r>
      <t>PSYCH</t>
    </r>
    <r>
      <rPr>
        <sz val="11"/>
        <color theme="1"/>
        <rFont val="Calibri"/>
        <family val="2"/>
        <scheme val="minor"/>
      </rPr>
      <t xml:space="preserve"> - Psychologists
</t>
    </r>
    <r>
      <rPr>
        <b/>
        <sz val="11"/>
        <color theme="1"/>
        <rFont val="Calibri"/>
        <family val="2"/>
        <scheme val="minor"/>
      </rPr>
      <t>SOCIALWORK</t>
    </r>
    <r>
      <rPr>
        <sz val="11"/>
        <color theme="1"/>
        <rFont val="Calibri"/>
        <family val="2"/>
        <scheme val="minor"/>
      </rPr>
      <t xml:space="preserve"> - Social Workers
</t>
    </r>
    <r>
      <rPr>
        <b/>
        <sz val="11"/>
        <color theme="1"/>
        <rFont val="Calibri"/>
        <family val="2"/>
        <scheme val="minor"/>
      </rPr>
      <t>OCCTHERAP</t>
    </r>
    <r>
      <rPr>
        <sz val="11"/>
        <color theme="1"/>
        <rFont val="Calibri"/>
        <family val="2"/>
        <scheme val="minor"/>
      </rPr>
      <t xml:space="preserve"> - Occupational Therapists
</t>
    </r>
    <r>
      <rPr>
        <b/>
        <sz val="11"/>
        <color theme="1"/>
        <rFont val="Calibri"/>
        <family val="2"/>
        <scheme val="minor"/>
      </rPr>
      <t>AUDIO</t>
    </r>
    <r>
      <rPr>
        <sz val="11"/>
        <color theme="1"/>
        <rFont val="Calibri"/>
        <family val="2"/>
        <scheme val="minor"/>
      </rPr>
      <t xml:space="preserve"> - Audiologists
</t>
    </r>
    <r>
      <rPr>
        <b/>
        <sz val="11"/>
        <color theme="1"/>
        <rFont val="Calibri"/>
        <family val="2"/>
        <scheme val="minor"/>
      </rPr>
      <t>PEANDREC</t>
    </r>
    <r>
      <rPr>
        <sz val="11"/>
        <color theme="1"/>
        <rFont val="Calibri"/>
        <family val="2"/>
        <scheme val="minor"/>
      </rPr>
      <t xml:space="preserve"> - Physical Education Teachers and Recreation and Therapeutic Recreation Specialists
</t>
    </r>
    <r>
      <rPr>
        <b/>
        <sz val="11"/>
        <color theme="1"/>
        <rFont val="Calibri"/>
        <family val="2"/>
        <scheme val="minor"/>
      </rPr>
      <t>PHYSTHERAP</t>
    </r>
    <r>
      <rPr>
        <sz val="11"/>
        <color theme="1"/>
        <rFont val="Calibri"/>
        <family val="2"/>
        <scheme val="minor"/>
      </rPr>
      <t xml:space="preserve"> - Physical Therapists
</t>
    </r>
    <r>
      <rPr>
        <b/>
        <sz val="11"/>
        <color theme="1"/>
        <rFont val="Calibri"/>
        <family val="2"/>
        <scheme val="minor"/>
      </rPr>
      <t>SPEECHPATH</t>
    </r>
    <r>
      <rPr>
        <sz val="11"/>
        <color theme="1"/>
        <rFont val="Calibri"/>
        <family val="2"/>
        <scheme val="minor"/>
      </rPr>
      <t xml:space="preserve"> - Speech-Language Pathologists
</t>
    </r>
    <r>
      <rPr>
        <b/>
        <sz val="11"/>
        <color theme="1"/>
        <rFont val="Calibri"/>
        <family val="2"/>
        <scheme val="minor"/>
      </rPr>
      <t>INTERPRET</t>
    </r>
    <r>
      <rPr>
        <sz val="11"/>
        <color theme="1"/>
        <rFont val="Calibri"/>
        <family val="2"/>
        <scheme val="minor"/>
      </rPr>
      <t xml:space="preserve"> - Interpreters
</t>
    </r>
    <r>
      <rPr>
        <b/>
        <sz val="11"/>
        <color theme="1"/>
        <rFont val="Calibri"/>
        <family val="2"/>
        <scheme val="minor"/>
      </rPr>
      <t>COUNSELOR</t>
    </r>
    <r>
      <rPr>
        <sz val="11"/>
        <color theme="1"/>
        <rFont val="Calibri"/>
        <family val="2"/>
        <scheme val="minor"/>
      </rPr>
      <t xml:space="preserve"> - Counselors and Rehabilitation Counselors
</t>
    </r>
    <r>
      <rPr>
        <b/>
        <sz val="11"/>
        <color theme="1"/>
        <rFont val="Calibri"/>
        <family val="2"/>
        <scheme val="minor"/>
      </rPr>
      <t>ORIENTMOBIL</t>
    </r>
    <r>
      <rPr>
        <sz val="11"/>
        <color theme="1"/>
        <rFont val="Calibri"/>
        <family val="2"/>
        <scheme val="minor"/>
      </rPr>
      <t xml:space="preserve"> - Orientation and Mobility Specialists
</t>
    </r>
    <r>
      <rPr>
        <b/>
        <sz val="11"/>
        <color theme="1"/>
        <rFont val="Calibri"/>
        <family val="2"/>
        <scheme val="minor"/>
      </rPr>
      <t>MEDNURSE</t>
    </r>
    <r>
      <rPr>
        <sz val="11"/>
        <color theme="1"/>
        <rFont val="Calibri"/>
        <family val="2"/>
        <scheme val="minor"/>
      </rPr>
      <t xml:space="preserve"> - Medical/Nursing Service Staff
</t>
    </r>
  </si>
  <si>
    <r>
      <t>SSN</t>
    </r>
    <r>
      <rPr>
        <sz val="11"/>
        <color theme="1"/>
        <rFont val="Calibri"/>
        <family val="2"/>
        <scheme val="minor"/>
      </rPr>
      <t xml:space="preserve"> - Social Security Administration number
</t>
    </r>
    <r>
      <rPr>
        <b/>
        <sz val="11"/>
        <color theme="1"/>
        <rFont val="Calibri"/>
        <family val="2"/>
        <scheme val="minor"/>
      </rPr>
      <t>USVisa</t>
    </r>
    <r>
      <rPr>
        <sz val="11"/>
        <color theme="1"/>
        <rFont val="Calibri"/>
        <family val="2"/>
        <scheme val="minor"/>
      </rPr>
      <t xml:space="preserve"> - US government Visa number
</t>
    </r>
    <r>
      <rPr>
        <b/>
        <sz val="11"/>
        <color theme="1"/>
        <rFont val="Calibri"/>
        <family val="2"/>
        <scheme val="minor"/>
      </rPr>
      <t>PIN</t>
    </r>
    <r>
      <rPr>
        <sz val="11"/>
        <color theme="1"/>
        <rFont val="Calibri"/>
        <family val="2"/>
        <scheme val="minor"/>
      </rPr>
      <t xml:space="preserve"> - Personal identification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DriversLicense</t>
    </r>
    <r>
      <rPr>
        <sz val="11"/>
        <color theme="1"/>
        <rFont val="Calibri"/>
        <family val="2"/>
        <scheme val="minor"/>
      </rPr>
      <t xml:space="preserve"> - Driver's license number
</t>
    </r>
    <r>
      <rPr>
        <b/>
        <sz val="11"/>
        <color theme="1"/>
        <rFont val="Calibri"/>
        <family val="2"/>
        <scheme val="minor"/>
      </rPr>
      <t>Medicaid</t>
    </r>
    <r>
      <rPr>
        <sz val="11"/>
        <color theme="1"/>
        <rFont val="Calibri"/>
        <family val="2"/>
        <scheme val="minor"/>
      </rPr>
      <t xml:space="preserve"> - Medicaid number
</t>
    </r>
    <r>
      <rPr>
        <b/>
        <sz val="11"/>
        <color theme="1"/>
        <rFont val="Calibri"/>
        <family val="2"/>
        <scheme val="minor"/>
      </rPr>
      <t>HealthRecord</t>
    </r>
    <r>
      <rPr>
        <sz val="11"/>
        <color theme="1"/>
        <rFont val="Calibri"/>
        <family val="2"/>
        <scheme val="minor"/>
      </rPr>
      <t xml:space="preserve"> - Health record number
</t>
    </r>
    <r>
      <rPr>
        <b/>
        <sz val="11"/>
        <color theme="1"/>
        <rFont val="Calibri"/>
        <family val="2"/>
        <scheme val="minor"/>
      </rPr>
      <t>ProfessionalCertificate</t>
    </r>
    <r>
      <rPr>
        <sz val="11"/>
        <color theme="1"/>
        <rFont val="Calibri"/>
        <family val="2"/>
        <scheme val="minor"/>
      </rPr>
      <t xml:space="preserve"> - Professional certificate or license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SelectiveService</t>
    </r>
    <r>
      <rPr>
        <sz val="11"/>
        <color theme="1"/>
        <rFont val="Calibri"/>
        <family val="2"/>
        <scheme val="minor"/>
      </rPr>
      <t xml:space="preserve"> - Selective Service Number
</t>
    </r>
    <r>
      <rPr>
        <b/>
        <sz val="11"/>
        <color theme="1"/>
        <rFont val="Calibri"/>
        <family val="2"/>
        <scheme val="minor"/>
      </rPr>
      <t>CanadianSIN</t>
    </r>
    <r>
      <rPr>
        <sz val="11"/>
        <color theme="1"/>
        <rFont val="Calibri"/>
        <family val="2"/>
        <scheme val="minor"/>
      </rPr>
      <t xml:space="preserve"> - Canadian Social Insurance Number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</si>
  <si>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Alabama
</t>
    </r>
    <r>
      <rPr>
        <b/>
        <sz val="11"/>
        <color theme="1"/>
        <rFont val="Calibri"/>
        <family val="2"/>
        <scheme val="minor"/>
      </rPr>
      <t>02</t>
    </r>
    <r>
      <rPr>
        <sz val="11"/>
        <color theme="1"/>
        <rFont val="Calibri"/>
        <family val="2"/>
        <scheme val="minor"/>
      </rPr>
      <t xml:space="preserve"> - Alaska
</t>
    </r>
    <r>
      <rPr>
        <b/>
        <sz val="11"/>
        <color theme="1"/>
        <rFont val="Calibri"/>
        <family val="2"/>
        <scheme val="minor"/>
      </rPr>
      <t>04</t>
    </r>
    <r>
      <rPr>
        <sz val="11"/>
        <color theme="1"/>
        <rFont val="Calibri"/>
        <family val="2"/>
        <scheme val="minor"/>
      </rPr>
      <t xml:space="preserve"> - Arizona
</t>
    </r>
    <r>
      <rPr>
        <b/>
        <sz val="11"/>
        <color theme="1"/>
        <rFont val="Calibri"/>
        <family val="2"/>
        <scheme val="minor"/>
      </rPr>
      <t>05</t>
    </r>
    <r>
      <rPr>
        <sz val="11"/>
        <color theme="1"/>
        <rFont val="Calibri"/>
        <family val="2"/>
        <scheme val="minor"/>
      </rPr>
      <t xml:space="preserve"> - Arkansas
</t>
    </r>
    <r>
      <rPr>
        <b/>
        <sz val="11"/>
        <color theme="1"/>
        <rFont val="Calibri"/>
        <family val="2"/>
        <scheme val="minor"/>
      </rPr>
      <t>06</t>
    </r>
    <r>
      <rPr>
        <sz val="11"/>
        <color theme="1"/>
        <rFont val="Calibri"/>
        <family val="2"/>
        <scheme val="minor"/>
      </rPr>
      <t xml:space="preserve"> - California
</t>
    </r>
    <r>
      <rPr>
        <b/>
        <sz val="11"/>
        <color theme="1"/>
        <rFont val="Calibri"/>
        <family val="2"/>
        <scheme val="minor"/>
      </rPr>
      <t>08</t>
    </r>
    <r>
      <rPr>
        <sz val="11"/>
        <color theme="1"/>
        <rFont val="Calibri"/>
        <family val="2"/>
        <scheme val="minor"/>
      </rPr>
      <t xml:space="preserve"> - Colorado
</t>
    </r>
    <r>
      <rPr>
        <b/>
        <sz val="11"/>
        <color theme="1"/>
        <rFont val="Calibri"/>
        <family val="2"/>
        <scheme val="minor"/>
      </rPr>
      <t>09</t>
    </r>
    <r>
      <rPr>
        <sz val="11"/>
        <color theme="1"/>
        <rFont val="Calibri"/>
        <family val="2"/>
        <scheme val="minor"/>
      </rPr>
      <t xml:space="preserve"> - Connecticut
</t>
    </r>
    <r>
      <rPr>
        <b/>
        <sz val="11"/>
        <color theme="1"/>
        <rFont val="Calibri"/>
        <family val="2"/>
        <scheme val="minor"/>
      </rPr>
      <t>10</t>
    </r>
    <r>
      <rPr>
        <sz val="11"/>
        <color theme="1"/>
        <rFont val="Calibri"/>
        <family val="2"/>
        <scheme val="minor"/>
      </rPr>
      <t xml:space="preserve"> - Delaware
</t>
    </r>
    <r>
      <rPr>
        <b/>
        <sz val="11"/>
        <color theme="1"/>
        <rFont val="Calibri"/>
        <family val="2"/>
        <scheme val="minor"/>
      </rPr>
      <t>11</t>
    </r>
    <r>
      <rPr>
        <sz val="11"/>
        <color theme="1"/>
        <rFont val="Calibri"/>
        <family val="2"/>
        <scheme val="minor"/>
      </rPr>
      <t xml:space="preserve"> - District of Columbia
</t>
    </r>
    <r>
      <rPr>
        <b/>
        <sz val="11"/>
        <color theme="1"/>
        <rFont val="Calibri"/>
        <family val="2"/>
        <scheme val="minor"/>
      </rPr>
      <t>12</t>
    </r>
    <r>
      <rPr>
        <sz val="11"/>
        <color theme="1"/>
        <rFont val="Calibri"/>
        <family val="2"/>
        <scheme val="minor"/>
      </rPr>
      <t xml:space="preserve"> - Florida
</t>
    </r>
    <r>
      <rPr>
        <b/>
        <sz val="11"/>
        <color theme="1"/>
        <rFont val="Calibri"/>
        <family val="2"/>
        <scheme val="minor"/>
      </rPr>
      <t>13</t>
    </r>
    <r>
      <rPr>
        <sz val="11"/>
        <color theme="1"/>
        <rFont val="Calibri"/>
        <family val="2"/>
        <scheme val="minor"/>
      </rPr>
      <t xml:space="preserve"> - Georgia
</t>
    </r>
    <r>
      <rPr>
        <b/>
        <sz val="11"/>
        <color theme="1"/>
        <rFont val="Calibri"/>
        <family val="2"/>
        <scheme val="minor"/>
      </rPr>
      <t>15</t>
    </r>
    <r>
      <rPr>
        <sz val="11"/>
        <color theme="1"/>
        <rFont val="Calibri"/>
        <family val="2"/>
        <scheme val="minor"/>
      </rPr>
      <t xml:space="preserve"> - Hawaii
</t>
    </r>
    <r>
      <rPr>
        <b/>
        <sz val="11"/>
        <color theme="1"/>
        <rFont val="Calibri"/>
        <family val="2"/>
        <scheme val="minor"/>
      </rPr>
      <t>16</t>
    </r>
    <r>
      <rPr>
        <sz val="11"/>
        <color theme="1"/>
        <rFont val="Calibri"/>
        <family val="2"/>
        <scheme val="minor"/>
      </rPr>
      <t xml:space="preserve"> - Idaho
</t>
    </r>
    <r>
      <rPr>
        <b/>
        <sz val="11"/>
        <color theme="1"/>
        <rFont val="Calibri"/>
        <family val="2"/>
        <scheme val="minor"/>
      </rPr>
      <t>17</t>
    </r>
    <r>
      <rPr>
        <sz val="11"/>
        <color theme="1"/>
        <rFont val="Calibri"/>
        <family val="2"/>
        <scheme val="minor"/>
      </rPr>
      <t xml:space="preserve"> - Illinois
</t>
    </r>
    <r>
      <rPr>
        <b/>
        <sz val="11"/>
        <color theme="1"/>
        <rFont val="Calibri"/>
        <family val="2"/>
        <scheme val="minor"/>
      </rPr>
      <t>18</t>
    </r>
    <r>
      <rPr>
        <sz val="11"/>
        <color theme="1"/>
        <rFont val="Calibri"/>
        <family val="2"/>
        <scheme val="minor"/>
      </rPr>
      <t xml:space="preserve"> - Indiana
</t>
    </r>
    <r>
      <rPr>
        <b/>
        <sz val="11"/>
        <color theme="1"/>
        <rFont val="Calibri"/>
        <family val="2"/>
        <scheme val="minor"/>
      </rPr>
      <t>19</t>
    </r>
    <r>
      <rPr>
        <sz val="11"/>
        <color theme="1"/>
        <rFont val="Calibri"/>
        <family val="2"/>
        <scheme val="minor"/>
      </rPr>
      <t xml:space="preserve"> - Iowa
</t>
    </r>
    <r>
      <rPr>
        <b/>
        <sz val="11"/>
        <color theme="1"/>
        <rFont val="Calibri"/>
        <family val="2"/>
        <scheme val="minor"/>
      </rPr>
      <t>20</t>
    </r>
    <r>
      <rPr>
        <sz val="11"/>
        <color theme="1"/>
        <rFont val="Calibri"/>
        <family val="2"/>
        <scheme val="minor"/>
      </rPr>
      <t xml:space="preserve"> - Kansas 
</t>
    </r>
    <r>
      <rPr>
        <b/>
        <sz val="11"/>
        <color theme="1"/>
        <rFont val="Calibri"/>
        <family val="2"/>
        <scheme val="minor"/>
      </rPr>
      <t>21</t>
    </r>
    <r>
      <rPr>
        <sz val="11"/>
        <color theme="1"/>
        <rFont val="Calibri"/>
        <family val="2"/>
        <scheme val="minor"/>
      </rPr>
      <t xml:space="preserve"> - Kentucky
</t>
    </r>
    <r>
      <rPr>
        <b/>
        <sz val="11"/>
        <color theme="1"/>
        <rFont val="Calibri"/>
        <family val="2"/>
        <scheme val="minor"/>
      </rPr>
      <t>22</t>
    </r>
    <r>
      <rPr>
        <sz val="11"/>
        <color theme="1"/>
        <rFont val="Calibri"/>
        <family val="2"/>
        <scheme val="minor"/>
      </rPr>
      <t xml:space="preserve"> - Louisiana
</t>
    </r>
    <r>
      <rPr>
        <b/>
        <sz val="11"/>
        <color theme="1"/>
        <rFont val="Calibri"/>
        <family val="2"/>
        <scheme val="minor"/>
      </rPr>
      <t>23</t>
    </r>
    <r>
      <rPr>
        <sz val="11"/>
        <color theme="1"/>
        <rFont val="Calibri"/>
        <family val="2"/>
        <scheme val="minor"/>
      </rPr>
      <t xml:space="preserve"> - Maine
</t>
    </r>
    <r>
      <rPr>
        <b/>
        <sz val="11"/>
        <color theme="1"/>
        <rFont val="Calibri"/>
        <family val="2"/>
        <scheme val="minor"/>
      </rPr>
      <t>24</t>
    </r>
    <r>
      <rPr>
        <sz val="11"/>
        <color theme="1"/>
        <rFont val="Calibri"/>
        <family val="2"/>
        <scheme val="minor"/>
      </rPr>
      <t xml:space="preserve"> - Maryland
</t>
    </r>
    <r>
      <rPr>
        <b/>
        <sz val="11"/>
        <color theme="1"/>
        <rFont val="Calibri"/>
        <family val="2"/>
        <scheme val="minor"/>
      </rPr>
      <t>25</t>
    </r>
    <r>
      <rPr>
        <sz val="11"/>
        <color theme="1"/>
        <rFont val="Calibri"/>
        <family val="2"/>
        <scheme val="minor"/>
      </rPr>
      <t xml:space="preserve"> - Massachusetts
</t>
    </r>
    <r>
      <rPr>
        <b/>
        <sz val="11"/>
        <color theme="1"/>
        <rFont val="Calibri"/>
        <family val="2"/>
        <scheme val="minor"/>
      </rPr>
      <t>26</t>
    </r>
    <r>
      <rPr>
        <sz val="11"/>
        <color theme="1"/>
        <rFont val="Calibri"/>
        <family val="2"/>
        <scheme val="minor"/>
      </rPr>
      <t xml:space="preserve"> - Michigan
</t>
    </r>
    <r>
      <rPr>
        <b/>
        <sz val="11"/>
        <color theme="1"/>
        <rFont val="Calibri"/>
        <family val="2"/>
        <scheme val="minor"/>
      </rPr>
      <t>27</t>
    </r>
    <r>
      <rPr>
        <sz val="11"/>
        <color theme="1"/>
        <rFont val="Calibri"/>
        <family val="2"/>
        <scheme val="minor"/>
      </rPr>
      <t xml:space="preserve"> - Minnesota
</t>
    </r>
    <r>
      <rPr>
        <b/>
        <sz val="11"/>
        <color theme="1"/>
        <rFont val="Calibri"/>
        <family val="2"/>
        <scheme val="minor"/>
      </rPr>
      <t>28</t>
    </r>
    <r>
      <rPr>
        <sz val="11"/>
        <color theme="1"/>
        <rFont val="Calibri"/>
        <family val="2"/>
        <scheme val="minor"/>
      </rPr>
      <t xml:space="preserve"> - Mississippi
</t>
    </r>
    <r>
      <rPr>
        <b/>
        <sz val="11"/>
        <color theme="1"/>
        <rFont val="Calibri"/>
        <family val="2"/>
        <scheme val="minor"/>
      </rPr>
      <t>29</t>
    </r>
    <r>
      <rPr>
        <sz val="11"/>
        <color theme="1"/>
        <rFont val="Calibri"/>
        <family val="2"/>
        <scheme val="minor"/>
      </rPr>
      <t xml:space="preserve"> - Missouri
</t>
    </r>
    <r>
      <rPr>
        <b/>
        <sz val="11"/>
        <color theme="1"/>
        <rFont val="Calibri"/>
        <family val="2"/>
        <scheme val="minor"/>
      </rPr>
      <t>30</t>
    </r>
    <r>
      <rPr>
        <sz val="11"/>
        <color theme="1"/>
        <rFont val="Calibri"/>
        <family val="2"/>
        <scheme val="minor"/>
      </rPr>
      <t xml:space="preserve"> - Montana
</t>
    </r>
    <r>
      <rPr>
        <b/>
        <sz val="11"/>
        <color theme="1"/>
        <rFont val="Calibri"/>
        <family val="2"/>
        <scheme val="minor"/>
      </rPr>
      <t>31</t>
    </r>
    <r>
      <rPr>
        <sz val="11"/>
        <color theme="1"/>
        <rFont val="Calibri"/>
        <family val="2"/>
        <scheme val="minor"/>
      </rPr>
      <t xml:space="preserve"> - Nebraska
</t>
    </r>
    <r>
      <rPr>
        <b/>
        <sz val="11"/>
        <color theme="1"/>
        <rFont val="Calibri"/>
        <family val="2"/>
        <scheme val="minor"/>
      </rPr>
      <t>32</t>
    </r>
    <r>
      <rPr>
        <sz val="11"/>
        <color theme="1"/>
        <rFont val="Calibri"/>
        <family val="2"/>
        <scheme val="minor"/>
      </rPr>
      <t xml:space="preserve"> - Nevada
</t>
    </r>
    <r>
      <rPr>
        <b/>
        <sz val="11"/>
        <color theme="1"/>
        <rFont val="Calibri"/>
        <family val="2"/>
        <scheme val="minor"/>
      </rPr>
      <t>33</t>
    </r>
    <r>
      <rPr>
        <sz val="11"/>
        <color theme="1"/>
        <rFont val="Calibri"/>
        <family val="2"/>
        <scheme val="minor"/>
      </rPr>
      <t xml:space="preserve"> - New Hampshire
</t>
    </r>
    <r>
      <rPr>
        <b/>
        <sz val="11"/>
        <color theme="1"/>
        <rFont val="Calibri"/>
        <family val="2"/>
        <scheme val="minor"/>
      </rPr>
      <t>34</t>
    </r>
    <r>
      <rPr>
        <sz val="11"/>
        <color theme="1"/>
        <rFont val="Calibri"/>
        <family val="2"/>
        <scheme val="minor"/>
      </rPr>
      <t xml:space="preserve"> - New Jersey
</t>
    </r>
    <r>
      <rPr>
        <b/>
        <sz val="11"/>
        <color theme="1"/>
        <rFont val="Calibri"/>
        <family val="2"/>
        <scheme val="minor"/>
      </rPr>
      <t>35</t>
    </r>
    <r>
      <rPr>
        <sz val="11"/>
        <color theme="1"/>
        <rFont val="Calibri"/>
        <family val="2"/>
        <scheme val="minor"/>
      </rPr>
      <t xml:space="preserve"> - New Mexico
</t>
    </r>
    <r>
      <rPr>
        <b/>
        <sz val="11"/>
        <color theme="1"/>
        <rFont val="Calibri"/>
        <family val="2"/>
        <scheme val="minor"/>
      </rPr>
      <t>36</t>
    </r>
    <r>
      <rPr>
        <sz val="11"/>
        <color theme="1"/>
        <rFont val="Calibri"/>
        <family val="2"/>
        <scheme val="minor"/>
      </rPr>
      <t xml:space="preserve"> - New York
</t>
    </r>
    <r>
      <rPr>
        <b/>
        <sz val="11"/>
        <color theme="1"/>
        <rFont val="Calibri"/>
        <family val="2"/>
        <scheme val="minor"/>
      </rPr>
      <t>37</t>
    </r>
    <r>
      <rPr>
        <sz val="11"/>
        <color theme="1"/>
        <rFont val="Calibri"/>
        <family val="2"/>
        <scheme val="minor"/>
      </rPr>
      <t xml:space="preserve"> - North Carolina
</t>
    </r>
    <r>
      <rPr>
        <b/>
        <sz val="11"/>
        <color theme="1"/>
        <rFont val="Calibri"/>
        <family val="2"/>
        <scheme val="minor"/>
      </rPr>
      <t>38</t>
    </r>
    <r>
      <rPr>
        <sz val="11"/>
        <color theme="1"/>
        <rFont val="Calibri"/>
        <family val="2"/>
        <scheme val="minor"/>
      </rPr>
      <t xml:space="preserve"> - North Dakota
</t>
    </r>
    <r>
      <rPr>
        <b/>
        <sz val="11"/>
        <color theme="1"/>
        <rFont val="Calibri"/>
        <family val="2"/>
        <scheme val="minor"/>
      </rPr>
      <t>39</t>
    </r>
    <r>
      <rPr>
        <sz val="11"/>
        <color theme="1"/>
        <rFont val="Calibri"/>
        <family val="2"/>
        <scheme val="minor"/>
      </rPr>
      <t xml:space="preserve"> - Ohio
</t>
    </r>
    <r>
      <rPr>
        <b/>
        <sz val="11"/>
        <color theme="1"/>
        <rFont val="Calibri"/>
        <family val="2"/>
        <scheme val="minor"/>
      </rPr>
      <t>40</t>
    </r>
    <r>
      <rPr>
        <sz val="11"/>
        <color theme="1"/>
        <rFont val="Calibri"/>
        <family val="2"/>
        <scheme val="minor"/>
      </rPr>
      <t xml:space="preserve"> - Oklahoma
</t>
    </r>
    <r>
      <rPr>
        <b/>
        <sz val="11"/>
        <color theme="1"/>
        <rFont val="Calibri"/>
        <family val="2"/>
        <scheme val="minor"/>
      </rPr>
      <t>41</t>
    </r>
    <r>
      <rPr>
        <sz val="11"/>
        <color theme="1"/>
        <rFont val="Calibri"/>
        <family val="2"/>
        <scheme val="minor"/>
      </rPr>
      <t xml:space="preserve"> - Oregon
</t>
    </r>
    <r>
      <rPr>
        <b/>
        <sz val="11"/>
        <color theme="1"/>
        <rFont val="Calibri"/>
        <family val="2"/>
        <scheme val="minor"/>
      </rPr>
      <t>42</t>
    </r>
    <r>
      <rPr>
        <sz val="11"/>
        <color theme="1"/>
        <rFont val="Calibri"/>
        <family val="2"/>
        <scheme val="minor"/>
      </rPr>
      <t xml:space="preserve"> - Pennsylvania
</t>
    </r>
    <r>
      <rPr>
        <b/>
        <sz val="11"/>
        <color theme="1"/>
        <rFont val="Calibri"/>
        <family val="2"/>
        <scheme val="minor"/>
      </rPr>
      <t>44</t>
    </r>
    <r>
      <rPr>
        <sz val="11"/>
        <color theme="1"/>
        <rFont val="Calibri"/>
        <family val="2"/>
        <scheme val="minor"/>
      </rPr>
      <t xml:space="preserve"> - Rhode Island
</t>
    </r>
    <r>
      <rPr>
        <b/>
        <sz val="11"/>
        <color theme="1"/>
        <rFont val="Calibri"/>
        <family val="2"/>
        <scheme val="minor"/>
      </rPr>
      <t>45</t>
    </r>
    <r>
      <rPr>
        <sz val="11"/>
        <color theme="1"/>
        <rFont val="Calibri"/>
        <family val="2"/>
        <scheme val="minor"/>
      </rPr>
      <t xml:space="preserve"> - South Carolina
</t>
    </r>
    <r>
      <rPr>
        <b/>
        <sz val="11"/>
        <color theme="1"/>
        <rFont val="Calibri"/>
        <family val="2"/>
        <scheme val="minor"/>
      </rPr>
      <t>46</t>
    </r>
    <r>
      <rPr>
        <sz val="11"/>
        <color theme="1"/>
        <rFont val="Calibri"/>
        <family val="2"/>
        <scheme val="minor"/>
      </rPr>
      <t xml:space="preserve"> - South Dakota
</t>
    </r>
    <r>
      <rPr>
        <b/>
        <sz val="11"/>
        <color theme="1"/>
        <rFont val="Calibri"/>
        <family val="2"/>
        <scheme val="minor"/>
      </rPr>
      <t>47</t>
    </r>
    <r>
      <rPr>
        <sz val="11"/>
        <color theme="1"/>
        <rFont val="Calibri"/>
        <family val="2"/>
        <scheme val="minor"/>
      </rPr>
      <t xml:space="preserve"> - Tennessee
</t>
    </r>
    <r>
      <rPr>
        <b/>
        <sz val="11"/>
        <color theme="1"/>
        <rFont val="Calibri"/>
        <family val="2"/>
        <scheme val="minor"/>
      </rPr>
      <t>48</t>
    </r>
    <r>
      <rPr>
        <sz val="11"/>
        <color theme="1"/>
        <rFont val="Calibri"/>
        <family val="2"/>
        <scheme val="minor"/>
      </rPr>
      <t xml:space="preserve"> - Texas
</t>
    </r>
    <r>
      <rPr>
        <b/>
        <sz val="11"/>
        <color theme="1"/>
        <rFont val="Calibri"/>
        <family val="2"/>
        <scheme val="minor"/>
      </rPr>
      <t>49</t>
    </r>
    <r>
      <rPr>
        <sz val="11"/>
        <color theme="1"/>
        <rFont val="Calibri"/>
        <family val="2"/>
        <scheme val="minor"/>
      </rPr>
      <t xml:space="preserve"> - Utah
</t>
    </r>
    <r>
      <rPr>
        <b/>
        <sz val="11"/>
        <color theme="1"/>
        <rFont val="Calibri"/>
        <family val="2"/>
        <scheme val="minor"/>
      </rPr>
      <t>50</t>
    </r>
    <r>
      <rPr>
        <sz val="11"/>
        <color theme="1"/>
        <rFont val="Calibri"/>
        <family val="2"/>
        <scheme val="minor"/>
      </rPr>
      <t xml:space="preserve"> - Vermont
</t>
    </r>
    <r>
      <rPr>
        <b/>
        <sz val="11"/>
        <color theme="1"/>
        <rFont val="Calibri"/>
        <family val="2"/>
        <scheme val="minor"/>
      </rPr>
      <t>51</t>
    </r>
    <r>
      <rPr>
        <sz val="11"/>
        <color theme="1"/>
        <rFont val="Calibri"/>
        <family val="2"/>
        <scheme val="minor"/>
      </rPr>
      <t xml:space="preserve"> - Virginia
</t>
    </r>
    <r>
      <rPr>
        <b/>
        <sz val="11"/>
        <color theme="1"/>
        <rFont val="Calibri"/>
        <family val="2"/>
        <scheme val="minor"/>
      </rPr>
      <t>53</t>
    </r>
    <r>
      <rPr>
        <sz val="11"/>
        <color theme="1"/>
        <rFont val="Calibri"/>
        <family val="2"/>
        <scheme val="minor"/>
      </rPr>
      <t xml:space="preserve"> - Washington
</t>
    </r>
    <r>
      <rPr>
        <b/>
        <sz val="11"/>
        <color theme="1"/>
        <rFont val="Calibri"/>
        <family val="2"/>
        <scheme val="minor"/>
      </rPr>
      <t>54</t>
    </r>
    <r>
      <rPr>
        <sz val="11"/>
        <color theme="1"/>
        <rFont val="Calibri"/>
        <family val="2"/>
        <scheme val="minor"/>
      </rPr>
      <t xml:space="preserve"> - West Virginia
</t>
    </r>
    <r>
      <rPr>
        <b/>
        <sz val="11"/>
        <color theme="1"/>
        <rFont val="Calibri"/>
        <family val="2"/>
        <scheme val="minor"/>
      </rPr>
      <t>55</t>
    </r>
    <r>
      <rPr>
        <sz val="11"/>
        <color theme="1"/>
        <rFont val="Calibri"/>
        <family val="2"/>
        <scheme val="minor"/>
      </rPr>
      <t xml:space="preserve"> - Wisconsin
</t>
    </r>
    <r>
      <rPr>
        <b/>
        <sz val="11"/>
        <color theme="1"/>
        <rFont val="Calibri"/>
        <family val="2"/>
        <scheme val="minor"/>
      </rPr>
      <t>56</t>
    </r>
    <r>
      <rPr>
        <sz val="11"/>
        <color theme="1"/>
        <rFont val="Calibri"/>
        <family val="2"/>
        <scheme val="minor"/>
      </rPr>
      <t xml:space="preserve"> - Wyoming
</t>
    </r>
    <r>
      <rPr>
        <b/>
        <sz val="11"/>
        <color theme="1"/>
        <rFont val="Calibri"/>
        <family val="2"/>
        <scheme val="minor"/>
      </rPr>
      <t>60</t>
    </r>
    <r>
      <rPr>
        <sz val="11"/>
        <color theme="1"/>
        <rFont val="Calibri"/>
        <family val="2"/>
        <scheme val="minor"/>
      </rPr>
      <t xml:space="preserve"> - American Samoa
</t>
    </r>
    <r>
      <rPr>
        <b/>
        <sz val="11"/>
        <color theme="1"/>
        <rFont val="Calibri"/>
        <family val="2"/>
        <scheme val="minor"/>
      </rPr>
      <t>64</t>
    </r>
    <r>
      <rPr>
        <sz val="11"/>
        <color theme="1"/>
        <rFont val="Calibri"/>
        <family val="2"/>
        <scheme val="minor"/>
      </rPr>
      <t xml:space="preserve"> - Federated States of Micronesia
</t>
    </r>
    <r>
      <rPr>
        <b/>
        <sz val="11"/>
        <color theme="1"/>
        <rFont val="Calibri"/>
        <family val="2"/>
        <scheme val="minor"/>
      </rPr>
      <t>66</t>
    </r>
    <r>
      <rPr>
        <sz val="11"/>
        <color theme="1"/>
        <rFont val="Calibri"/>
        <family val="2"/>
        <scheme val="minor"/>
      </rPr>
      <t xml:space="preserve"> - Guam
</t>
    </r>
    <r>
      <rPr>
        <b/>
        <sz val="11"/>
        <color theme="1"/>
        <rFont val="Calibri"/>
        <family val="2"/>
        <scheme val="minor"/>
      </rPr>
      <t>68</t>
    </r>
    <r>
      <rPr>
        <sz val="11"/>
        <color theme="1"/>
        <rFont val="Calibri"/>
        <family val="2"/>
        <scheme val="minor"/>
      </rPr>
      <t xml:space="preserve"> - Marshall Islands
</t>
    </r>
    <r>
      <rPr>
        <b/>
        <sz val="11"/>
        <color theme="1"/>
        <rFont val="Calibri"/>
        <family val="2"/>
        <scheme val="minor"/>
      </rPr>
      <t>69</t>
    </r>
    <r>
      <rPr>
        <sz val="11"/>
        <color theme="1"/>
        <rFont val="Calibri"/>
        <family val="2"/>
        <scheme val="minor"/>
      </rPr>
      <t xml:space="preserve"> - Northern Mariana Islands
</t>
    </r>
    <r>
      <rPr>
        <b/>
        <sz val="11"/>
        <color theme="1"/>
        <rFont val="Calibri"/>
        <family val="2"/>
        <scheme val="minor"/>
      </rPr>
      <t>70</t>
    </r>
    <r>
      <rPr>
        <sz val="11"/>
        <color theme="1"/>
        <rFont val="Calibri"/>
        <family val="2"/>
        <scheme val="minor"/>
      </rPr>
      <t xml:space="preserve"> - Palau 
</t>
    </r>
    <r>
      <rPr>
        <b/>
        <sz val="11"/>
        <color theme="1"/>
        <rFont val="Calibri"/>
        <family val="2"/>
        <scheme val="minor"/>
      </rPr>
      <t>72</t>
    </r>
    <r>
      <rPr>
        <sz val="11"/>
        <color theme="1"/>
        <rFont val="Calibri"/>
        <family val="2"/>
        <scheme val="minor"/>
      </rPr>
      <t xml:space="preserve"> - Puerto Rico
</t>
    </r>
    <r>
      <rPr>
        <b/>
        <sz val="11"/>
        <color theme="1"/>
        <rFont val="Calibri"/>
        <family val="2"/>
        <scheme val="minor"/>
      </rPr>
      <t>78</t>
    </r>
    <r>
      <rPr>
        <sz val="11"/>
        <color theme="1"/>
        <rFont val="Calibri"/>
        <family val="2"/>
        <scheme val="minor"/>
      </rPr>
      <t xml:space="preserve"> - Virgin Islands of the U.S.
</t>
    </r>
  </si>
  <si>
    <r>
      <t>HighQuartile</t>
    </r>
    <r>
      <rPr>
        <sz val="11"/>
        <color theme="1"/>
        <rFont val="Calibri"/>
        <family val="2"/>
        <scheme val="minor"/>
      </rPr>
      <t xml:space="preserve"> - High poverty quartile school
</t>
    </r>
    <r>
      <rPr>
        <b/>
        <sz val="11"/>
        <color theme="1"/>
        <rFont val="Calibri"/>
        <family val="2"/>
        <scheme val="minor"/>
      </rPr>
      <t>LowQuartile</t>
    </r>
    <r>
      <rPr>
        <sz val="11"/>
        <color theme="1"/>
        <rFont val="Calibri"/>
        <family val="2"/>
        <scheme val="minor"/>
      </rPr>
      <t xml:space="preserve"> - Low poverty quartile school
</t>
    </r>
    <r>
      <rPr>
        <b/>
        <sz val="11"/>
        <color theme="1"/>
        <rFont val="Calibri"/>
        <family val="2"/>
        <scheme val="minor"/>
      </rPr>
      <t>Neither</t>
    </r>
    <r>
      <rPr>
        <sz val="11"/>
        <color theme="1"/>
        <rFont val="Calibri"/>
        <family val="2"/>
        <scheme val="minor"/>
      </rPr>
      <t xml:space="preserve"> - Neither high nor low poverty quartile school
</t>
    </r>
  </si>
  <si>
    <r>
      <t>CanadianSIN</t>
    </r>
    <r>
      <rPr>
        <sz val="11"/>
        <color theme="1"/>
        <rFont val="Calibri"/>
        <family val="2"/>
        <scheme val="minor"/>
      </rPr>
      <t xml:space="preserve"> - Canadian Social Insurance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Family</t>
    </r>
    <r>
      <rPr>
        <sz val="11"/>
        <color theme="1"/>
        <rFont val="Calibri"/>
        <family val="2"/>
        <scheme val="minor"/>
      </rPr>
      <t xml:space="preserve"> - Family unit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NationalMigrant</t>
    </r>
    <r>
      <rPr>
        <sz val="11"/>
        <color theme="1"/>
        <rFont val="Calibri"/>
        <family val="2"/>
        <scheme val="minor"/>
      </rPr>
      <t xml:space="preserve"> - National migrant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SSN</t>
    </r>
    <r>
      <rPr>
        <sz val="11"/>
        <color theme="1"/>
        <rFont val="Calibri"/>
        <family val="2"/>
        <scheme val="minor"/>
      </rPr>
      <t xml:space="preserve"> - Social Security Administration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StateMigrant</t>
    </r>
    <r>
      <rPr>
        <sz val="11"/>
        <color theme="1"/>
        <rFont val="Calibri"/>
        <family val="2"/>
        <scheme val="minor"/>
      </rPr>
      <t xml:space="preserve"> - State migrant number
</t>
    </r>
  </si>
  <si>
    <r>
      <t>00290</t>
    </r>
    <r>
      <rPr>
        <sz val="11"/>
        <color theme="1"/>
        <rFont val="Calibri"/>
        <family val="2"/>
        <scheme val="minor"/>
      </rPr>
      <t xml:space="preserve"> - Adaptive physical education
</t>
    </r>
    <r>
      <rPr>
        <b/>
        <sz val="11"/>
        <color theme="1"/>
        <rFont val="Calibri"/>
        <family val="2"/>
        <scheme val="minor"/>
      </rPr>
      <t>00291</t>
    </r>
    <r>
      <rPr>
        <sz val="11"/>
        <color theme="1"/>
        <rFont val="Calibri"/>
        <family val="2"/>
        <scheme val="minor"/>
      </rPr>
      <t xml:space="preserve"> - Art therapy
</t>
    </r>
    <r>
      <rPr>
        <b/>
        <sz val="11"/>
        <color theme="1"/>
        <rFont val="Calibri"/>
        <family val="2"/>
        <scheme val="minor"/>
      </rPr>
      <t>00292</t>
    </r>
    <r>
      <rPr>
        <sz val="11"/>
        <color theme="1"/>
        <rFont val="Calibri"/>
        <family val="2"/>
        <scheme val="minor"/>
      </rPr>
      <t xml:space="preserve"> - Assistive technology services
</t>
    </r>
    <r>
      <rPr>
        <b/>
        <sz val="11"/>
        <color theme="1"/>
        <rFont val="Calibri"/>
        <family val="2"/>
        <scheme val="minor"/>
      </rPr>
      <t>00293</t>
    </r>
    <r>
      <rPr>
        <sz val="11"/>
        <color theme="1"/>
        <rFont val="Calibri"/>
        <family val="2"/>
        <scheme val="minor"/>
      </rPr>
      <t xml:space="preserve"> - Audiological services
</t>
    </r>
    <r>
      <rPr>
        <b/>
        <sz val="11"/>
        <color theme="1"/>
        <rFont val="Calibri"/>
        <family val="2"/>
        <scheme val="minor"/>
      </rPr>
      <t>73050</t>
    </r>
    <r>
      <rPr>
        <sz val="11"/>
        <color theme="1"/>
        <rFont val="Calibri"/>
        <family val="2"/>
        <scheme val="minor"/>
      </rPr>
      <t xml:space="preserve"> - Augmentative Communication Service
</t>
    </r>
    <r>
      <rPr>
        <b/>
        <sz val="11"/>
        <color theme="1"/>
        <rFont val="Calibri"/>
        <family val="2"/>
        <scheme val="minor"/>
      </rPr>
      <t>73051</t>
    </r>
    <r>
      <rPr>
        <sz val="11"/>
        <color theme="1"/>
        <rFont val="Calibri"/>
        <family val="2"/>
        <scheme val="minor"/>
      </rPr>
      <t xml:space="preserve"> - Autism Spectrum Disorder Service
</t>
    </r>
    <r>
      <rPr>
        <b/>
        <sz val="11"/>
        <color theme="1"/>
        <rFont val="Calibri"/>
        <family val="2"/>
        <scheme val="minor"/>
      </rPr>
      <t>73052</t>
    </r>
    <r>
      <rPr>
        <sz val="11"/>
        <color theme="1"/>
        <rFont val="Calibri"/>
        <family val="2"/>
        <scheme val="minor"/>
      </rPr>
      <t xml:space="preserve"> - Behavior and Behavioral Consultation Service
</t>
    </r>
    <r>
      <rPr>
        <b/>
        <sz val="11"/>
        <color theme="1"/>
        <rFont val="Calibri"/>
        <family val="2"/>
        <scheme val="minor"/>
      </rPr>
      <t>73053</t>
    </r>
    <r>
      <rPr>
        <sz val="11"/>
        <color theme="1"/>
        <rFont val="Calibri"/>
        <family val="2"/>
        <scheme val="minor"/>
      </rPr>
      <t xml:space="preserve"> - Braille Service
</t>
    </r>
    <r>
      <rPr>
        <b/>
        <sz val="11"/>
        <color theme="1"/>
        <rFont val="Calibri"/>
        <family val="2"/>
        <scheme val="minor"/>
      </rPr>
      <t>00878</t>
    </r>
    <r>
      <rPr>
        <sz val="11"/>
        <color theme="1"/>
        <rFont val="Calibri"/>
        <family val="2"/>
        <scheme val="minor"/>
      </rPr>
      <t xml:space="preserve"> - Case management services
</t>
    </r>
    <r>
      <rPr>
        <b/>
        <sz val="11"/>
        <color theme="1"/>
        <rFont val="Calibri"/>
        <family val="2"/>
        <scheme val="minor"/>
      </rPr>
      <t>00295</t>
    </r>
    <r>
      <rPr>
        <sz val="11"/>
        <color theme="1"/>
        <rFont val="Calibri"/>
        <family val="2"/>
        <scheme val="minor"/>
      </rPr>
      <t xml:space="preserve"> - Children's protective services
</t>
    </r>
    <r>
      <rPr>
        <b/>
        <sz val="11"/>
        <color theme="1"/>
        <rFont val="Calibri"/>
        <family val="2"/>
        <scheme val="minor"/>
      </rPr>
      <t>00881</t>
    </r>
    <r>
      <rPr>
        <sz val="11"/>
        <color theme="1"/>
        <rFont val="Calibri"/>
        <family val="2"/>
        <scheme val="minor"/>
      </rPr>
      <t xml:space="preserve"> - Communication services
</t>
    </r>
    <r>
      <rPr>
        <b/>
        <sz val="11"/>
        <color theme="1"/>
        <rFont val="Calibri"/>
        <family val="2"/>
        <scheme val="minor"/>
      </rPr>
      <t>00882</t>
    </r>
    <r>
      <rPr>
        <sz val="11"/>
        <color theme="1"/>
        <rFont val="Calibri"/>
        <family val="2"/>
        <scheme val="minor"/>
      </rPr>
      <t xml:space="preserve"> - Community recreational services
</t>
    </r>
    <r>
      <rPr>
        <b/>
        <sz val="11"/>
        <color theme="1"/>
        <rFont val="Calibri"/>
        <family val="2"/>
        <scheme val="minor"/>
      </rPr>
      <t>73048</t>
    </r>
    <r>
      <rPr>
        <sz val="11"/>
        <color theme="1"/>
        <rFont val="Calibri"/>
        <family val="2"/>
        <scheme val="minor"/>
      </rPr>
      <t xml:space="preserve"> - Curriculum planning
</t>
    </r>
    <r>
      <rPr>
        <b/>
        <sz val="11"/>
        <color theme="1"/>
        <rFont val="Calibri"/>
        <family val="2"/>
        <scheme val="minor"/>
      </rPr>
      <t>00334</t>
    </r>
    <r>
      <rPr>
        <sz val="11"/>
        <color theme="1"/>
        <rFont val="Calibri"/>
        <family val="2"/>
        <scheme val="minor"/>
      </rPr>
      <t xml:space="preserve"> - Developmental childcare program
</t>
    </r>
    <r>
      <rPr>
        <b/>
        <sz val="11"/>
        <color theme="1"/>
        <rFont val="Calibri"/>
        <family val="2"/>
        <scheme val="minor"/>
      </rPr>
      <t>73047</t>
    </r>
    <r>
      <rPr>
        <sz val="11"/>
        <color theme="1"/>
        <rFont val="Calibri"/>
        <family val="2"/>
        <scheme val="minor"/>
      </rPr>
      <t xml:space="preserve"> - Early Intervention / Early Childhood Special Education Special Service
</t>
    </r>
    <r>
      <rPr>
        <b/>
        <sz val="11"/>
        <color theme="1"/>
        <rFont val="Calibri"/>
        <family val="2"/>
        <scheme val="minor"/>
      </rPr>
      <t>00297</t>
    </r>
    <r>
      <rPr>
        <sz val="11"/>
        <color theme="1"/>
        <rFont val="Calibri"/>
        <family val="2"/>
        <scheme val="minor"/>
      </rPr>
      <t xml:space="preserve"> - Early intervention services
</t>
    </r>
    <r>
      <rPr>
        <b/>
        <sz val="11"/>
        <color theme="1"/>
        <rFont val="Calibri"/>
        <family val="2"/>
        <scheme val="minor"/>
      </rPr>
      <t>00298</t>
    </r>
    <r>
      <rPr>
        <sz val="11"/>
        <color theme="1"/>
        <rFont val="Calibri"/>
        <family val="2"/>
        <scheme val="minor"/>
      </rPr>
      <t xml:space="preserve"> - Educational therapy
</t>
    </r>
    <r>
      <rPr>
        <b/>
        <sz val="11"/>
        <color theme="1"/>
        <rFont val="Calibri"/>
        <family val="2"/>
        <scheme val="minor"/>
      </rPr>
      <t>73054</t>
    </r>
    <r>
      <rPr>
        <sz val="11"/>
        <color theme="1"/>
        <rFont val="Calibri"/>
        <family val="2"/>
        <scheme val="minor"/>
      </rPr>
      <t xml:space="preserve"> - ESL/Migrant Service
</t>
    </r>
    <r>
      <rPr>
        <b/>
        <sz val="11"/>
        <color theme="1"/>
        <rFont val="Calibri"/>
        <family val="2"/>
        <scheme val="minor"/>
      </rPr>
      <t>00299</t>
    </r>
    <r>
      <rPr>
        <sz val="11"/>
        <color theme="1"/>
        <rFont val="Calibri"/>
        <family val="2"/>
        <scheme val="minor"/>
      </rPr>
      <t xml:space="preserve"> - Family counseling
</t>
    </r>
    <r>
      <rPr>
        <b/>
        <sz val="11"/>
        <color theme="1"/>
        <rFont val="Calibri"/>
        <family val="2"/>
        <scheme val="minor"/>
      </rPr>
      <t>00333</t>
    </r>
    <r>
      <rPr>
        <sz val="11"/>
        <color theme="1"/>
        <rFont val="Calibri"/>
        <family val="2"/>
        <scheme val="minor"/>
      </rPr>
      <t xml:space="preserve"> - Family training, counseling, and home visits
</t>
    </r>
    <r>
      <rPr>
        <b/>
        <sz val="11"/>
        <color theme="1"/>
        <rFont val="Calibri"/>
        <family val="2"/>
        <scheme val="minor"/>
      </rPr>
      <t>00303</t>
    </r>
    <r>
      <rPr>
        <sz val="11"/>
        <color theme="1"/>
        <rFont val="Calibri"/>
        <family val="2"/>
        <scheme val="minor"/>
      </rPr>
      <t xml:space="preserve"> - Health care
</t>
    </r>
    <r>
      <rPr>
        <b/>
        <sz val="11"/>
        <color theme="1"/>
        <rFont val="Calibri"/>
        <family val="2"/>
        <scheme val="minor"/>
      </rPr>
      <t>00883</t>
    </r>
    <r>
      <rPr>
        <sz val="11"/>
        <color theme="1"/>
        <rFont val="Calibri"/>
        <family val="2"/>
        <scheme val="minor"/>
      </rPr>
      <t xml:space="preserve"> - Independent living
</t>
    </r>
    <r>
      <rPr>
        <b/>
        <sz val="11"/>
        <color theme="1"/>
        <rFont val="Calibri"/>
        <family val="2"/>
        <scheme val="minor"/>
      </rPr>
      <t>73049</t>
    </r>
    <r>
      <rPr>
        <sz val="11"/>
        <color theme="1"/>
        <rFont val="Calibri"/>
        <family val="2"/>
        <scheme val="minor"/>
      </rPr>
      <t xml:space="preserve"> - Instructional Aide/Assistant/Intervener Service
</t>
    </r>
    <r>
      <rPr>
        <b/>
        <sz val="11"/>
        <color theme="1"/>
        <rFont val="Calibri"/>
        <family val="2"/>
        <scheme val="minor"/>
      </rPr>
      <t>00304</t>
    </r>
    <r>
      <rPr>
        <sz val="11"/>
        <color theme="1"/>
        <rFont val="Calibri"/>
        <family val="2"/>
        <scheme val="minor"/>
      </rPr>
      <t xml:space="preserve"> - Interpretation for the hearing impaired
</t>
    </r>
    <r>
      <rPr>
        <b/>
        <sz val="11"/>
        <color theme="1"/>
        <rFont val="Calibri"/>
        <family val="2"/>
        <scheme val="minor"/>
      </rPr>
      <t>00332</t>
    </r>
    <r>
      <rPr>
        <sz val="11"/>
        <color theme="1"/>
        <rFont val="Calibri"/>
        <family val="2"/>
        <scheme val="minor"/>
      </rPr>
      <t xml:space="preserve"> - Medical services only for diagnostic or evaluation purposes
</t>
    </r>
    <r>
      <rPr>
        <b/>
        <sz val="11"/>
        <color theme="1"/>
        <rFont val="Calibri"/>
        <family val="2"/>
        <scheme val="minor"/>
      </rPr>
      <t>00305</t>
    </r>
    <r>
      <rPr>
        <sz val="11"/>
        <color theme="1"/>
        <rFont val="Calibri"/>
        <family val="2"/>
        <scheme val="minor"/>
      </rPr>
      <t xml:space="preserve"> - Mental health counseling
</t>
    </r>
    <r>
      <rPr>
        <b/>
        <sz val="11"/>
        <color theme="1"/>
        <rFont val="Calibri"/>
        <family val="2"/>
        <scheme val="minor"/>
      </rPr>
      <t>00884</t>
    </r>
    <r>
      <rPr>
        <sz val="11"/>
        <color theme="1"/>
        <rFont val="Calibri"/>
        <family val="2"/>
        <scheme val="minor"/>
      </rPr>
      <t xml:space="preserve"> - Mental health services
</t>
    </r>
    <r>
      <rPr>
        <b/>
        <sz val="11"/>
        <color theme="1"/>
        <rFont val="Calibri"/>
        <family val="2"/>
        <scheme val="minor"/>
      </rPr>
      <t>00306</t>
    </r>
    <r>
      <rPr>
        <sz val="11"/>
        <color theme="1"/>
        <rFont val="Calibri"/>
        <family val="2"/>
        <scheme val="minor"/>
      </rPr>
      <t xml:space="preserve"> - Music therapy
</t>
    </r>
    <r>
      <rPr>
        <b/>
        <sz val="11"/>
        <color theme="1"/>
        <rFont val="Calibri"/>
        <family val="2"/>
        <scheme val="minor"/>
      </rPr>
      <t>00300</t>
    </r>
    <r>
      <rPr>
        <sz val="11"/>
        <color theme="1"/>
        <rFont val="Calibri"/>
        <family val="2"/>
        <scheme val="minor"/>
      </rPr>
      <t xml:space="preserve"> - National School Nutrition programs
</t>
    </r>
    <r>
      <rPr>
        <b/>
        <sz val="11"/>
        <color theme="1"/>
        <rFont val="Calibri"/>
        <family val="2"/>
        <scheme val="minor"/>
      </rPr>
      <t>00308</t>
    </r>
    <r>
      <rPr>
        <sz val="11"/>
        <color theme="1"/>
        <rFont val="Calibri"/>
        <family val="2"/>
        <scheme val="minor"/>
      </rPr>
      <t xml:space="preserve"> - Note-taking assistance
</t>
    </r>
    <r>
      <rPr>
        <b/>
        <sz val="11"/>
        <color theme="1"/>
        <rFont val="Calibri"/>
        <family val="2"/>
        <scheme val="minor"/>
      </rPr>
      <t>00335</t>
    </r>
    <r>
      <rPr>
        <sz val="11"/>
        <color theme="1"/>
        <rFont val="Calibri"/>
        <family val="2"/>
        <scheme val="minor"/>
      </rPr>
      <t xml:space="preserve"> - Nursing service
</t>
    </r>
    <r>
      <rPr>
        <b/>
        <sz val="11"/>
        <color theme="1"/>
        <rFont val="Calibri"/>
        <family val="2"/>
        <scheme val="minor"/>
      </rPr>
      <t>00336</t>
    </r>
    <r>
      <rPr>
        <sz val="11"/>
        <color theme="1"/>
        <rFont val="Calibri"/>
        <family val="2"/>
        <scheme val="minor"/>
      </rPr>
      <t xml:space="preserve"> - Nutrition services
</t>
    </r>
    <r>
      <rPr>
        <b/>
        <sz val="11"/>
        <color theme="1"/>
        <rFont val="Calibri"/>
        <family val="2"/>
        <scheme val="minor"/>
      </rPr>
      <t>00309</t>
    </r>
    <r>
      <rPr>
        <sz val="11"/>
        <color theme="1"/>
        <rFont val="Calibri"/>
        <family val="2"/>
        <scheme val="minor"/>
      </rPr>
      <t xml:space="preserve"> - Occupational therapy
</t>
    </r>
    <r>
      <rPr>
        <b/>
        <sz val="11"/>
        <color theme="1"/>
        <rFont val="Calibri"/>
        <family val="2"/>
        <scheme val="minor"/>
      </rPr>
      <t>00310</t>
    </r>
    <r>
      <rPr>
        <sz val="11"/>
        <color theme="1"/>
        <rFont val="Calibri"/>
        <family val="2"/>
        <scheme val="minor"/>
      </rPr>
      <t xml:space="preserve"> - Orientation and mobility services
</t>
    </r>
    <r>
      <rPr>
        <b/>
        <sz val="11"/>
        <color theme="1"/>
        <rFont val="Calibri"/>
        <family val="2"/>
        <scheme val="minor"/>
      </rPr>
      <t>00311</t>
    </r>
    <r>
      <rPr>
        <sz val="11"/>
        <color theme="1"/>
        <rFont val="Calibri"/>
        <family val="2"/>
        <scheme val="minor"/>
      </rPr>
      <t xml:space="preserve"> - Parenting skills assistance
</t>
    </r>
    <r>
      <rPr>
        <b/>
        <sz val="11"/>
        <color theme="1"/>
        <rFont val="Calibri"/>
        <family val="2"/>
        <scheme val="minor"/>
      </rPr>
      <t>00312</t>
    </r>
    <r>
      <rPr>
        <sz val="11"/>
        <color theme="1"/>
        <rFont val="Calibri"/>
        <family val="2"/>
        <scheme val="minor"/>
      </rPr>
      <t xml:space="preserve"> - Peer services
</t>
    </r>
    <r>
      <rPr>
        <b/>
        <sz val="11"/>
        <color theme="1"/>
        <rFont val="Calibri"/>
        <family val="2"/>
        <scheme val="minor"/>
      </rPr>
      <t>00313</t>
    </r>
    <r>
      <rPr>
        <sz val="11"/>
        <color theme="1"/>
        <rFont val="Calibri"/>
        <family val="2"/>
        <scheme val="minor"/>
      </rPr>
      <t xml:space="preserve"> - Physical therapy
</t>
    </r>
    <r>
      <rPr>
        <b/>
        <sz val="11"/>
        <color theme="1"/>
        <rFont val="Calibri"/>
        <family val="2"/>
        <scheme val="minor"/>
      </rPr>
      <t>00331</t>
    </r>
    <r>
      <rPr>
        <sz val="11"/>
        <color theme="1"/>
        <rFont val="Calibri"/>
        <family val="2"/>
        <scheme val="minor"/>
      </rPr>
      <t xml:space="preserve"> - Psychological services
</t>
    </r>
    <r>
      <rPr>
        <b/>
        <sz val="11"/>
        <color theme="1"/>
        <rFont val="Calibri"/>
        <family val="2"/>
        <scheme val="minor"/>
      </rPr>
      <t>00314</t>
    </r>
    <r>
      <rPr>
        <sz val="11"/>
        <color theme="1"/>
        <rFont val="Calibri"/>
        <family val="2"/>
        <scheme val="minor"/>
      </rPr>
      <t xml:space="preserve"> - Reader service
</t>
    </r>
    <r>
      <rPr>
        <b/>
        <sz val="11"/>
        <color theme="1"/>
        <rFont val="Calibri"/>
        <family val="2"/>
        <scheme val="minor"/>
      </rPr>
      <t>00315</t>
    </r>
    <r>
      <rPr>
        <sz val="11"/>
        <color theme="1"/>
        <rFont val="Calibri"/>
        <family val="2"/>
        <scheme val="minor"/>
      </rPr>
      <t xml:space="preserve"> - Recreation service
</t>
    </r>
    <r>
      <rPr>
        <b/>
        <sz val="11"/>
        <color theme="1"/>
        <rFont val="Calibri"/>
        <family val="2"/>
        <scheme val="minor"/>
      </rPr>
      <t>00318</t>
    </r>
    <r>
      <rPr>
        <sz val="11"/>
        <color theme="1"/>
        <rFont val="Calibri"/>
        <family val="2"/>
        <scheme val="minor"/>
      </rPr>
      <t xml:space="preserve"> - Rehabilitation counseling services
</t>
    </r>
    <r>
      <rPr>
        <b/>
        <sz val="11"/>
        <color theme="1"/>
        <rFont val="Calibri"/>
        <family val="2"/>
        <scheme val="minor"/>
      </rPr>
      <t>00885</t>
    </r>
    <r>
      <rPr>
        <sz val="11"/>
        <color theme="1"/>
        <rFont val="Calibri"/>
        <family val="2"/>
        <scheme val="minor"/>
      </rPr>
      <t xml:space="preserve"> - Residential services
</t>
    </r>
    <r>
      <rPr>
        <b/>
        <sz val="11"/>
        <color theme="1"/>
        <rFont val="Calibri"/>
        <family val="2"/>
        <scheme val="minor"/>
      </rPr>
      <t>73046</t>
    </r>
    <r>
      <rPr>
        <sz val="11"/>
        <color theme="1"/>
        <rFont val="Calibri"/>
        <family val="2"/>
        <scheme val="minor"/>
      </rPr>
      <t xml:space="preserve"> - Respite Care
</t>
    </r>
    <r>
      <rPr>
        <b/>
        <sz val="11"/>
        <color theme="1"/>
        <rFont val="Calibri"/>
        <family val="2"/>
        <scheme val="minor"/>
      </rPr>
      <t>00319</t>
    </r>
    <r>
      <rPr>
        <sz val="11"/>
        <color theme="1"/>
        <rFont val="Calibri"/>
        <family val="2"/>
        <scheme val="minor"/>
      </rPr>
      <t xml:space="preserve"> - School clothing
</t>
    </r>
    <r>
      <rPr>
        <b/>
        <sz val="11"/>
        <color theme="1"/>
        <rFont val="Calibri"/>
        <family val="2"/>
        <scheme val="minor"/>
      </rPr>
      <t>00302</t>
    </r>
    <r>
      <rPr>
        <sz val="11"/>
        <color theme="1"/>
        <rFont val="Calibri"/>
        <family val="2"/>
        <scheme val="minor"/>
      </rPr>
      <t xml:space="preserve"> - School counseling
</t>
    </r>
    <r>
      <rPr>
        <b/>
        <sz val="11"/>
        <color theme="1"/>
        <rFont val="Calibri"/>
        <family val="2"/>
        <scheme val="minor"/>
      </rPr>
      <t>00320</t>
    </r>
    <r>
      <rPr>
        <sz val="11"/>
        <color theme="1"/>
        <rFont val="Calibri"/>
        <family val="2"/>
        <scheme val="minor"/>
      </rPr>
      <t xml:space="preserve"> - School health nursing services
</t>
    </r>
    <r>
      <rPr>
        <b/>
        <sz val="11"/>
        <color theme="1"/>
        <rFont val="Calibri"/>
        <family val="2"/>
        <scheme val="minor"/>
      </rPr>
      <t>00294</t>
    </r>
    <r>
      <rPr>
        <sz val="11"/>
        <color theme="1"/>
        <rFont val="Calibri"/>
        <family val="2"/>
        <scheme val="minor"/>
      </rPr>
      <t xml:space="preserve"> - Service coordination (case management services)
</t>
    </r>
    <r>
      <rPr>
        <b/>
        <sz val="11"/>
        <color theme="1"/>
        <rFont val="Calibri"/>
        <family val="2"/>
        <scheme val="minor"/>
      </rPr>
      <t>00337</t>
    </r>
    <r>
      <rPr>
        <sz val="11"/>
        <color theme="1"/>
        <rFont val="Calibri"/>
        <family val="2"/>
        <scheme val="minor"/>
      </rPr>
      <t xml:space="preserve"> - Social work services
</t>
    </r>
    <r>
      <rPr>
        <b/>
        <sz val="11"/>
        <color theme="1"/>
        <rFont val="Calibri"/>
        <family val="2"/>
        <scheme val="minor"/>
      </rPr>
      <t>00321</t>
    </r>
    <r>
      <rPr>
        <sz val="11"/>
        <color theme="1"/>
        <rFont val="Calibri"/>
        <family val="2"/>
        <scheme val="minor"/>
      </rPr>
      <t xml:space="preserve"> - Special transportation
</t>
    </r>
    <r>
      <rPr>
        <b/>
        <sz val="11"/>
        <color theme="1"/>
        <rFont val="Calibri"/>
        <family val="2"/>
        <scheme val="minor"/>
      </rPr>
      <t>00322</t>
    </r>
    <r>
      <rPr>
        <sz val="11"/>
        <color theme="1"/>
        <rFont val="Calibri"/>
        <family val="2"/>
        <scheme val="minor"/>
      </rPr>
      <t xml:space="preserve"> - Speech-language therapy
</t>
    </r>
    <r>
      <rPr>
        <b/>
        <sz val="11"/>
        <color theme="1"/>
        <rFont val="Calibri"/>
        <family val="2"/>
        <scheme val="minor"/>
      </rPr>
      <t>00323</t>
    </r>
    <r>
      <rPr>
        <sz val="11"/>
        <color theme="1"/>
        <rFont val="Calibri"/>
        <family val="2"/>
        <scheme val="minor"/>
      </rPr>
      <t xml:space="preserve"> - Study skills assistance
</t>
    </r>
    <r>
      <rPr>
        <b/>
        <sz val="11"/>
        <color theme="1"/>
        <rFont val="Calibri"/>
        <family val="2"/>
        <scheme val="minor"/>
      </rPr>
      <t>00324</t>
    </r>
    <r>
      <rPr>
        <sz val="11"/>
        <color theme="1"/>
        <rFont val="Calibri"/>
        <family val="2"/>
        <scheme val="minor"/>
      </rPr>
      <t xml:space="preserve"> - Substance abuse education/prevention
</t>
    </r>
    <r>
      <rPr>
        <b/>
        <sz val="11"/>
        <color theme="1"/>
        <rFont val="Calibri"/>
        <family val="2"/>
        <scheme val="minor"/>
      </rPr>
      <t>00886</t>
    </r>
    <r>
      <rPr>
        <sz val="11"/>
        <color theme="1"/>
        <rFont val="Calibri"/>
        <family val="2"/>
        <scheme val="minor"/>
      </rPr>
      <t xml:space="preserve"> - Supported employment services
</t>
    </r>
    <r>
      <rPr>
        <b/>
        <sz val="11"/>
        <color theme="1"/>
        <rFont val="Calibri"/>
        <family val="2"/>
        <scheme val="minor"/>
      </rPr>
      <t>00887</t>
    </r>
    <r>
      <rPr>
        <sz val="11"/>
        <color theme="1"/>
        <rFont val="Calibri"/>
        <family val="2"/>
        <scheme val="minor"/>
      </rPr>
      <t xml:space="preserve"> - Technological aids
</t>
    </r>
    <r>
      <rPr>
        <b/>
        <sz val="11"/>
        <color theme="1"/>
        <rFont val="Calibri"/>
        <family val="2"/>
        <scheme val="minor"/>
      </rPr>
      <t>00325</t>
    </r>
    <r>
      <rPr>
        <sz val="11"/>
        <color theme="1"/>
        <rFont val="Calibri"/>
        <family val="2"/>
        <scheme val="minor"/>
      </rPr>
      <t xml:space="preserve"> - Teen/adolescent family planning
</t>
    </r>
    <r>
      <rPr>
        <b/>
        <sz val="11"/>
        <color theme="1"/>
        <rFont val="Calibri"/>
        <family val="2"/>
        <scheme val="minor"/>
      </rPr>
      <t>00326</t>
    </r>
    <r>
      <rPr>
        <sz val="11"/>
        <color theme="1"/>
        <rFont val="Calibri"/>
        <family val="2"/>
        <scheme val="minor"/>
      </rPr>
      <t xml:space="preserve"> - Test assistance
</t>
    </r>
    <r>
      <rPr>
        <b/>
        <sz val="11"/>
        <color theme="1"/>
        <rFont val="Calibri"/>
        <family val="2"/>
        <scheme val="minor"/>
      </rPr>
      <t>00327</t>
    </r>
    <r>
      <rPr>
        <sz val="11"/>
        <color theme="1"/>
        <rFont val="Calibri"/>
        <family val="2"/>
        <scheme val="minor"/>
      </rPr>
      <t xml:space="preserve"> - Translation/interpreter services
</t>
    </r>
    <r>
      <rPr>
        <b/>
        <sz val="11"/>
        <color theme="1"/>
        <rFont val="Calibri"/>
        <family val="2"/>
        <scheme val="minor"/>
      </rPr>
      <t>00888</t>
    </r>
    <r>
      <rPr>
        <sz val="11"/>
        <color theme="1"/>
        <rFont val="Calibri"/>
        <family val="2"/>
        <scheme val="minor"/>
      </rPr>
      <t xml:space="preserve"> - Transportation services
</t>
    </r>
    <r>
      <rPr>
        <b/>
        <sz val="11"/>
        <color theme="1"/>
        <rFont val="Calibri"/>
        <family val="2"/>
        <scheme val="minor"/>
      </rPr>
      <t>00329</t>
    </r>
    <r>
      <rPr>
        <sz val="11"/>
        <color theme="1"/>
        <rFont val="Calibri"/>
        <family val="2"/>
        <scheme val="minor"/>
      </rPr>
      <t xml:space="preserve"> - Tutoring services
</t>
    </r>
    <r>
      <rPr>
        <b/>
        <sz val="11"/>
        <color theme="1"/>
        <rFont val="Calibri"/>
        <family val="2"/>
        <scheme val="minor"/>
      </rPr>
      <t>00330</t>
    </r>
    <r>
      <rPr>
        <sz val="11"/>
        <color theme="1"/>
        <rFont val="Calibri"/>
        <family val="2"/>
        <scheme val="minor"/>
      </rPr>
      <t xml:space="preserve"> - Vision services
</t>
    </r>
    <r>
      <rPr>
        <b/>
        <sz val="11"/>
        <color theme="1"/>
        <rFont val="Calibri"/>
        <family val="2"/>
        <scheme val="minor"/>
      </rPr>
      <t>00889</t>
    </r>
    <r>
      <rPr>
        <sz val="11"/>
        <color theme="1"/>
        <rFont val="Calibri"/>
        <family val="2"/>
        <scheme val="minor"/>
      </rPr>
      <t xml:space="preserve"> - Career and technical education rehabilitation training and job placement
</t>
    </r>
    <r>
      <rPr>
        <b/>
        <sz val="11"/>
        <color theme="1"/>
        <rFont val="Calibri"/>
        <family val="2"/>
        <scheme val="minor"/>
      </rPr>
      <t>09999</t>
    </r>
    <r>
      <rPr>
        <sz val="11"/>
        <color theme="1"/>
        <rFont val="Calibri"/>
        <family val="2"/>
        <scheme val="minor"/>
      </rPr>
      <t xml:space="preserve"> - Other
</t>
    </r>
  </si>
  <si>
    <r>
      <t>PraxisI</t>
    </r>
    <r>
      <rPr>
        <sz val="11"/>
        <color theme="1"/>
        <rFont val="Calibri"/>
        <family val="2"/>
        <scheme val="minor"/>
      </rPr>
      <t xml:space="preserve"> - Praxis I
</t>
    </r>
    <r>
      <rPr>
        <b/>
        <sz val="11"/>
        <color theme="1"/>
        <rFont val="Calibri"/>
        <family val="2"/>
        <scheme val="minor"/>
      </rPr>
      <t>PraxisII</t>
    </r>
    <r>
      <rPr>
        <sz val="11"/>
        <color theme="1"/>
        <rFont val="Calibri"/>
        <family val="2"/>
        <scheme val="minor"/>
      </rPr>
      <t xml:space="preserve"> - Praxis II
</t>
    </r>
    <r>
      <rPr>
        <b/>
        <sz val="11"/>
        <color theme="1"/>
        <rFont val="Calibri"/>
        <family val="2"/>
        <scheme val="minor"/>
      </rPr>
      <t>ACTFL</t>
    </r>
    <r>
      <rPr>
        <sz val="11"/>
        <color theme="1"/>
        <rFont val="Calibri"/>
        <family val="2"/>
        <scheme val="minor"/>
      </rPr>
      <t xml:space="preserve"> - ACTFL
</t>
    </r>
    <r>
      <rPr>
        <b/>
        <sz val="11"/>
        <color theme="1"/>
        <rFont val="Calibri"/>
        <family val="2"/>
        <scheme val="minor"/>
      </rPr>
      <t>StateExam</t>
    </r>
    <r>
      <rPr>
        <sz val="11"/>
        <color theme="1"/>
        <rFont val="Calibri"/>
        <family val="2"/>
        <scheme val="minor"/>
      </rPr>
      <t xml:space="preserve"> - State Exam
</t>
    </r>
    <r>
      <rPr>
        <b/>
        <sz val="11"/>
        <color theme="1"/>
        <rFont val="Calibri"/>
        <family val="2"/>
        <scheme val="minor"/>
      </rPr>
      <t>Other</t>
    </r>
    <r>
      <rPr>
        <sz val="11"/>
        <color theme="1"/>
        <rFont val="Calibri"/>
        <family val="2"/>
        <scheme val="minor"/>
      </rPr>
      <t xml:space="preserve"> - Other
</t>
    </r>
  </si>
  <si>
    <r>
      <t>1</t>
    </r>
    <r>
      <rPr>
        <sz val="11"/>
        <color theme="1"/>
        <rFont val="Calibri"/>
        <family val="2"/>
        <scheme val="minor"/>
      </rPr>
      <t xml:space="preserve"> - Educational Testing Service (ETS)
</t>
    </r>
    <r>
      <rPr>
        <b/>
        <sz val="11"/>
        <color theme="1"/>
        <rFont val="Calibri"/>
        <family val="2"/>
        <scheme val="minor"/>
      </rPr>
      <t>2</t>
    </r>
    <r>
      <rPr>
        <sz val="11"/>
        <color theme="1"/>
        <rFont val="Calibri"/>
        <family val="2"/>
        <scheme val="minor"/>
      </rPr>
      <t xml:space="preserve"> - Evaluation Systems Group of Pearson
</t>
    </r>
    <r>
      <rPr>
        <b/>
        <sz val="11"/>
        <color theme="1"/>
        <rFont val="Calibri"/>
        <family val="2"/>
        <scheme val="minor"/>
      </rPr>
      <t>3</t>
    </r>
    <r>
      <rPr>
        <sz val="11"/>
        <color theme="1"/>
        <rFont val="Calibri"/>
        <family val="2"/>
        <scheme val="minor"/>
      </rPr>
      <t xml:space="preserve"> - College Board
</t>
    </r>
    <r>
      <rPr>
        <b/>
        <sz val="11"/>
        <color theme="1"/>
        <rFont val="Calibri"/>
        <family val="2"/>
        <scheme val="minor"/>
      </rPr>
      <t>4</t>
    </r>
    <r>
      <rPr>
        <sz val="11"/>
        <color theme="1"/>
        <rFont val="Calibri"/>
        <family val="2"/>
        <scheme val="minor"/>
      </rPr>
      <t xml:space="preserve"> - American Board for Certification of Teacher Excellence (ABCTE)
</t>
    </r>
    <r>
      <rPr>
        <b/>
        <sz val="11"/>
        <color theme="1"/>
        <rFont val="Calibri"/>
        <family val="2"/>
        <scheme val="minor"/>
      </rPr>
      <t>5</t>
    </r>
    <r>
      <rPr>
        <sz val="11"/>
        <color theme="1"/>
        <rFont val="Calibri"/>
        <family val="2"/>
        <scheme val="minor"/>
      </rPr>
      <t xml:space="preserve"> - American Council on the Teaching of Foreign Languages (ACTFL)
</t>
    </r>
    <r>
      <rPr>
        <b/>
        <sz val="11"/>
        <color theme="1"/>
        <rFont val="Calibri"/>
        <family val="2"/>
        <scheme val="minor"/>
      </rPr>
      <t>98</t>
    </r>
    <r>
      <rPr>
        <sz val="11"/>
        <color theme="1"/>
        <rFont val="Calibri"/>
        <family val="2"/>
        <scheme val="minor"/>
      </rPr>
      <t xml:space="preserve"> - State
</t>
    </r>
    <r>
      <rPr>
        <b/>
        <sz val="11"/>
        <color theme="1"/>
        <rFont val="Calibri"/>
        <family val="2"/>
        <scheme val="minor"/>
      </rPr>
      <t>99</t>
    </r>
    <r>
      <rPr>
        <sz val="11"/>
        <color theme="1"/>
        <rFont val="Calibri"/>
        <family val="2"/>
        <scheme val="minor"/>
      </rPr>
      <t xml:space="preserve"> - Other
</t>
    </r>
  </si>
  <si>
    <r>
      <t>No</t>
    </r>
    <r>
      <rPr>
        <sz val="11"/>
        <color theme="1"/>
        <rFont val="Calibri"/>
        <family val="2"/>
        <scheme val="minor"/>
      </rPr>
      <t xml:space="preserve"> - No
</t>
    </r>
    <r>
      <rPr>
        <b/>
        <sz val="11"/>
        <color theme="1"/>
        <rFont val="Calibri"/>
        <family val="2"/>
        <scheme val="minor"/>
      </rPr>
      <t>SeekingCandidacy</t>
    </r>
    <r>
      <rPr>
        <sz val="11"/>
        <color theme="1"/>
        <rFont val="Calibri"/>
        <family val="2"/>
        <scheme val="minor"/>
      </rPr>
      <t xml:space="preserve"> - Seeking Candidacy
</t>
    </r>
    <r>
      <rPr>
        <b/>
        <sz val="11"/>
        <color theme="1"/>
        <rFont val="Calibri"/>
        <family val="2"/>
        <scheme val="minor"/>
      </rPr>
      <t>Enrolled</t>
    </r>
    <r>
      <rPr>
        <sz val="11"/>
        <color theme="1"/>
        <rFont val="Calibri"/>
        <family val="2"/>
        <scheme val="minor"/>
      </rPr>
      <t xml:space="preserve"> - Enrolled
</t>
    </r>
  </si>
  <si>
    <r>
      <t>LeadTeacher</t>
    </r>
    <r>
      <rPr>
        <sz val="11"/>
        <color theme="1"/>
        <rFont val="Calibri"/>
        <family val="2"/>
        <scheme val="minor"/>
      </rPr>
      <t xml:space="preserve"> - Lead Teacher
</t>
    </r>
    <r>
      <rPr>
        <b/>
        <sz val="11"/>
        <color theme="1"/>
        <rFont val="Calibri"/>
        <family val="2"/>
        <scheme val="minor"/>
      </rPr>
      <t>TeamTeacher</t>
    </r>
    <r>
      <rPr>
        <sz val="11"/>
        <color theme="1"/>
        <rFont val="Calibri"/>
        <family val="2"/>
        <scheme val="minor"/>
      </rPr>
      <t xml:space="preserve"> - Team Teacher
</t>
    </r>
    <r>
      <rPr>
        <b/>
        <sz val="11"/>
        <color theme="1"/>
        <rFont val="Calibri"/>
        <family val="2"/>
        <scheme val="minor"/>
      </rPr>
      <t>ContributingProfessional</t>
    </r>
    <r>
      <rPr>
        <sz val="11"/>
        <color theme="1"/>
        <rFont val="Calibri"/>
        <family val="2"/>
        <scheme val="minor"/>
      </rPr>
      <t xml:space="preserve"> - Contributing Professional
</t>
    </r>
  </si>
  <si>
    <r>
      <t>01050</t>
    </r>
    <r>
      <rPr>
        <sz val="11"/>
        <color theme="1"/>
        <rFont val="Calibri"/>
        <family val="2"/>
        <scheme val="minor"/>
      </rPr>
      <t xml:space="preserve"> - Associate's degree (two years or more) 
</t>
    </r>
    <r>
      <rPr>
        <b/>
        <sz val="11"/>
        <color theme="1"/>
        <rFont val="Calibri"/>
        <family val="2"/>
        <scheme val="minor"/>
      </rPr>
      <t>01235</t>
    </r>
    <r>
      <rPr>
        <sz val="11"/>
        <color theme="1"/>
        <rFont val="Calibri"/>
        <family val="2"/>
        <scheme val="minor"/>
      </rPr>
      <t xml:space="preserve"> - 4-year bachelor's degree
</t>
    </r>
    <r>
      <rPr>
        <b/>
        <sz val="11"/>
        <color theme="1"/>
        <rFont val="Calibri"/>
        <family val="2"/>
        <scheme val="minor"/>
      </rPr>
      <t>01236</t>
    </r>
    <r>
      <rPr>
        <sz val="11"/>
        <color theme="1"/>
        <rFont val="Calibri"/>
        <family val="2"/>
        <scheme val="minor"/>
      </rPr>
      <t xml:space="preserve"> - 5-year bachelor's degree
</t>
    </r>
    <r>
      <rPr>
        <b/>
        <sz val="11"/>
        <color theme="1"/>
        <rFont val="Calibri"/>
        <family val="2"/>
        <scheme val="minor"/>
      </rPr>
      <t>73205</t>
    </r>
    <r>
      <rPr>
        <sz val="11"/>
        <color theme="1"/>
        <rFont val="Calibri"/>
        <family val="2"/>
        <scheme val="minor"/>
      </rPr>
      <t xml:space="preserve"> - Post-baccalaureate certificate
</t>
    </r>
    <r>
      <rPr>
        <b/>
        <sz val="11"/>
        <color theme="1"/>
        <rFont val="Calibri"/>
        <family val="2"/>
        <scheme val="minor"/>
      </rPr>
      <t>01237</t>
    </r>
    <r>
      <rPr>
        <sz val="11"/>
        <color theme="1"/>
        <rFont val="Calibri"/>
        <family val="2"/>
        <scheme val="minor"/>
      </rPr>
      <t xml:space="preserve"> - Master's degree
</t>
    </r>
    <r>
      <rPr>
        <b/>
        <sz val="11"/>
        <color theme="1"/>
        <rFont val="Calibri"/>
        <family val="2"/>
        <scheme val="minor"/>
      </rPr>
      <t>73081</t>
    </r>
    <r>
      <rPr>
        <sz val="11"/>
        <color theme="1"/>
        <rFont val="Calibri"/>
        <family val="2"/>
        <scheme val="minor"/>
      </rPr>
      <t xml:space="preserve"> - Post-master’s certificate
</t>
    </r>
    <r>
      <rPr>
        <b/>
        <sz val="11"/>
        <color theme="1"/>
        <rFont val="Calibri"/>
        <family val="2"/>
        <scheme val="minor"/>
      </rPr>
      <t>01238</t>
    </r>
    <r>
      <rPr>
        <sz val="11"/>
        <color theme="1"/>
        <rFont val="Calibri"/>
        <family val="2"/>
        <scheme val="minor"/>
      </rPr>
      <t xml:space="preserve"> - Doctoral degree
</t>
    </r>
    <r>
      <rPr>
        <b/>
        <sz val="11"/>
        <color theme="1"/>
        <rFont val="Calibri"/>
        <family val="2"/>
        <scheme val="minor"/>
      </rPr>
      <t>73206</t>
    </r>
    <r>
      <rPr>
        <sz val="11"/>
        <color theme="1"/>
        <rFont val="Calibri"/>
        <family val="2"/>
        <scheme val="minor"/>
      </rPr>
      <t xml:space="preserve"> - Post-doctoral certificate
</t>
    </r>
    <r>
      <rPr>
        <b/>
        <sz val="11"/>
        <color theme="1"/>
        <rFont val="Calibri"/>
        <family val="2"/>
        <scheme val="minor"/>
      </rPr>
      <t>01239</t>
    </r>
    <r>
      <rPr>
        <sz val="11"/>
        <color theme="1"/>
        <rFont val="Calibri"/>
        <family val="2"/>
        <scheme val="minor"/>
      </rPr>
      <t xml:space="preserve"> - Met state testing requirement
</t>
    </r>
    <r>
      <rPr>
        <b/>
        <sz val="11"/>
        <color theme="1"/>
        <rFont val="Calibri"/>
        <family val="2"/>
        <scheme val="minor"/>
      </rPr>
      <t>01240</t>
    </r>
    <r>
      <rPr>
        <sz val="11"/>
        <color theme="1"/>
        <rFont val="Calibri"/>
        <family val="2"/>
        <scheme val="minor"/>
      </rPr>
      <t xml:space="preserve"> - Special/alternative program completion
</t>
    </r>
    <r>
      <rPr>
        <b/>
        <sz val="11"/>
        <color theme="1"/>
        <rFont val="Calibri"/>
        <family val="2"/>
        <scheme val="minor"/>
      </rPr>
      <t>01241</t>
    </r>
    <r>
      <rPr>
        <sz val="11"/>
        <color theme="1"/>
        <rFont val="Calibri"/>
        <family val="2"/>
        <scheme val="minor"/>
      </rPr>
      <t xml:space="preserve"> - Relevant experience
</t>
    </r>
    <r>
      <rPr>
        <b/>
        <sz val="11"/>
        <color theme="1"/>
        <rFont val="Calibri"/>
        <family val="2"/>
        <scheme val="minor"/>
      </rPr>
      <t>01242</t>
    </r>
    <r>
      <rPr>
        <sz val="11"/>
        <color theme="1"/>
        <rFont val="Calibri"/>
        <family val="2"/>
        <scheme val="minor"/>
      </rPr>
      <t xml:space="preserve"> - Credentials based on reciprocation with another state
</t>
    </r>
  </si>
  <si>
    <r>
      <t>Emergency</t>
    </r>
    <r>
      <rPr>
        <sz val="11"/>
        <color theme="1"/>
        <rFont val="Calibri"/>
        <family val="2"/>
        <scheme val="minor"/>
      </rPr>
      <t xml:space="preserve"> - Emergency
</t>
    </r>
    <r>
      <rPr>
        <b/>
        <sz val="11"/>
        <color theme="1"/>
        <rFont val="Calibri"/>
        <family val="2"/>
        <scheme val="minor"/>
      </rPr>
      <t>Intern</t>
    </r>
    <r>
      <rPr>
        <sz val="11"/>
        <color theme="1"/>
        <rFont val="Calibri"/>
        <family val="2"/>
        <scheme val="minor"/>
      </rPr>
      <t xml:space="preserve"> - Intern
</t>
    </r>
    <r>
      <rPr>
        <b/>
        <sz val="11"/>
        <color theme="1"/>
        <rFont val="Calibri"/>
        <family val="2"/>
        <scheme val="minor"/>
      </rPr>
      <t>Master</t>
    </r>
    <r>
      <rPr>
        <sz val="11"/>
        <color theme="1"/>
        <rFont val="Calibri"/>
        <family val="2"/>
        <scheme val="minor"/>
      </rPr>
      <t xml:space="preserve"> - Master
</t>
    </r>
    <r>
      <rPr>
        <b/>
        <sz val="11"/>
        <color theme="1"/>
        <rFont val="Calibri"/>
        <family val="2"/>
        <scheme val="minor"/>
      </rPr>
      <t>Nonrenewable</t>
    </r>
    <r>
      <rPr>
        <sz val="11"/>
        <color theme="1"/>
        <rFont val="Calibri"/>
        <family val="2"/>
        <scheme val="minor"/>
      </rPr>
      <t xml:space="preserve"> - Nonrenewable
</t>
    </r>
    <r>
      <rPr>
        <b/>
        <sz val="11"/>
        <color theme="1"/>
        <rFont val="Calibri"/>
        <family val="2"/>
        <scheme val="minor"/>
      </rPr>
      <t>Probationary</t>
    </r>
    <r>
      <rPr>
        <sz val="11"/>
        <color theme="1"/>
        <rFont val="Calibri"/>
        <family val="2"/>
        <scheme val="minor"/>
      </rPr>
      <t xml:space="preserve"> - Probationary/initial
</t>
    </r>
    <r>
      <rPr>
        <b/>
        <sz val="11"/>
        <color theme="1"/>
        <rFont val="Calibri"/>
        <family val="2"/>
        <scheme val="minor"/>
      </rPr>
      <t>Professional</t>
    </r>
    <r>
      <rPr>
        <sz val="11"/>
        <color theme="1"/>
        <rFont val="Calibri"/>
        <family val="2"/>
        <scheme val="minor"/>
      </rPr>
      <t xml:space="preserve"> - Professional
</t>
    </r>
    <r>
      <rPr>
        <b/>
        <sz val="11"/>
        <color theme="1"/>
        <rFont val="Calibri"/>
        <family val="2"/>
        <scheme val="minor"/>
      </rPr>
      <t>Provisional</t>
    </r>
    <r>
      <rPr>
        <sz val="11"/>
        <color theme="1"/>
        <rFont val="Calibri"/>
        <family val="2"/>
        <scheme val="minor"/>
      </rPr>
      <t xml:space="preserve"> - Provisional
</t>
    </r>
    <r>
      <rPr>
        <b/>
        <sz val="11"/>
        <color theme="1"/>
        <rFont val="Calibri"/>
        <family val="2"/>
        <scheme val="minor"/>
      </rPr>
      <t>Regular</t>
    </r>
    <r>
      <rPr>
        <sz val="11"/>
        <color theme="1"/>
        <rFont val="Calibri"/>
        <family val="2"/>
        <scheme val="minor"/>
      </rPr>
      <t xml:space="preserve"> - Regular/standard
</t>
    </r>
    <r>
      <rPr>
        <b/>
        <sz val="11"/>
        <color theme="1"/>
        <rFont val="Calibri"/>
        <family val="2"/>
        <scheme val="minor"/>
      </rPr>
      <t>Retired</t>
    </r>
    <r>
      <rPr>
        <sz val="11"/>
        <color theme="1"/>
        <rFont val="Calibri"/>
        <family val="2"/>
        <scheme val="minor"/>
      </rPr>
      <t xml:space="preserve"> - Retired
</t>
    </r>
    <r>
      <rPr>
        <b/>
        <sz val="11"/>
        <color theme="1"/>
        <rFont val="Calibri"/>
        <family val="2"/>
        <scheme val="minor"/>
      </rPr>
      <t>Specialist</t>
    </r>
    <r>
      <rPr>
        <sz val="11"/>
        <color theme="1"/>
        <rFont val="Calibri"/>
        <family val="2"/>
        <scheme val="minor"/>
      </rPr>
      <t xml:space="preserve"> - Specialist
</t>
    </r>
    <r>
      <rPr>
        <b/>
        <sz val="11"/>
        <color theme="1"/>
        <rFont val="Calibri"/>
        <family val="2"/>
        <scheme val="minor"/>
      </rPr>
      <t>Substitute</t>
    </r>
    <r>
      <rPr>
        <sz val="11"/>
        <color theme="1"/>
        <rFont val="Calibri"/>
        <family val="2"/>
        <scheme val="minor"/>
      </rPr>
      <t xml:space="preserve"> - Substitute
</t>
    </r>
    <r>
      <rPr>
        <b/>
        <sz val="11"/>
        <color theme="1"/>
        <rFont val="Calibri"/>
        <family val="2"/>
        <scheme val="minor"/>
      </rPr>
      <t>TeacherAssistant</t>
    </r>
    <r>
      <rPr>
        <sz val="11"/>
        <color theme="1"/>
        <rFont val="Calibri"/>
        <family val="2"/>
        <scheme val="minor"/>
      </rPr>
      <t xml:space="preserve"> - Teacher assistant
</t>
    </r>
    <r>
      <rPr>
        <b/>
        <sz val="11"/>
        <color theme="1"/>
        <rFont val="Calibri"/>
        <family val="2"/>
        <scheme val="minor"/>
      </rPr>
      <t>Temporary</t>
    </r>
    <r>
      <rPr>
        <sz val="11"/>
        <color theme="1"/>
        <rFont val="Calibri"/>
        <family val="2"/>
        <scheme val="minor"/>
      </rPr>
      <t xml:space="preserve"> - Temporary
</t>
    </r>
    <r>
      <rPr>
        <b/>
        <sz val="11"/>
        <color theme="1"/>
        <rFont val="Calibri"/>
        <family val="2"/>
        <scheme val="minor"/>
      </rPr>
      <t>09999</t>
    </r>
    <r>
      <rPr>
        <sz val="11"/>
        <color theme="1"/>
        <rFont val="Calibri"/>
        <family val="2"/>
        <scheme val="minor"/>
      </rPr>
      <t xml:space="preserve"> - Other
</t>
    </r>
  </si>
  <si>
    <r>
      <t>01</t>
    </r>
    <r>
      <rPr>
        <sz val="11"/>
        <color theme="1"/>
        <rFont val="Calibri"/>
        <family val="2"/>
        <scheme val="minor"/>
      </rPr>
      <t xml:space="preserve"> - Core Knowledge Area
</t>
    </r>
    <r>
      <rPr>
        <b/>
        <sz val="11"/>
        <color theme="1"/>
        <rFont val="Calibri"/>
        <family val="2"/>
        <scheme val="minor"/>
      </rPr>
      <t>02</t>
    </r>
    <r>
      <rPr>
        <sz val="11"/>
        <color theme="1"/>
        <rFont val="Calibri"/>
        <family val="2"/>
        <scheme val="minor"/>
      </rPr>
      <t xml:space="preserve"> - Health Safety Technical Assistance
</t>
    </r>
    <r>
      <rPr>
        <b/>
        <sz val="11"/>
        <color theme="1"/>
        <rFont val="Calibri"/>
        <family val="2"/>
        <scheme val="minor"/>
      </rPr>
      <t>03</t>
    </r>
    <r>
      <rPr>
        <sz val="11"/>
        <color theme="1"/>
        <rFont val="Calibri"/>
        <family val="2"/>
        <scheme val="minor"/>
      </rPr>
      <t xml:space="preserve"> - Inclusion Technical Assistance
</t>
    </r>
    <r>
      <rPr>
        <b/>
        <sz val="11"/>
        <color theme="1"/>
        <rFont val="Calibri"/>
        <family val="2"/>
        <scheme val="minor"/>
      </rPr>
      <t>04</t>
    </r>
    <r>
      <rPr>
        <sz val="11"/>
        <color theme="1"/>
        <rFont val="Calibri"/>
        <family val="2"/>
        <scheme val="minor"/>
      </rPr>
      <t xml:space="preserve"> - Infant Toddler Care Technical Assistance
</t>
    </r>
    <r>
      <rPr>
        <b/>
        <sz val="11"/>
        <color theme="1"/>
        <rFont val="Calibri"/>
        <family val="2"/>
        <scheme val="minor"/>
      </rPr>
      <t>05</t>
    </r>
    <r>
      <rPr>
        <sz val="11"/>
        <color theme="1"/>
        <rFont val="Calibri"/>
        <family val="2"/>
        <scheme val="minor"/>
      </rPr>
      <t xml:space="preserve"> - Mental Health Technical Assistance
</t>
    </r>
    <r>
      <rPr>
        <b/>
        <sz val="11"/>
        <color theme="1"/>
        <rFont val="Calibri"/>
        <family val="2"/>
        <scheme val="minor"/>
      </rPr>
      <t>06</t>
    </r>
    <r>
      <rPr>
        <sz val="11"/>
        <color theme="1"/>
        <rFont val="Calibri"/>
        <family val="2"/>
        <scheme val="minor"/>
      </rPr>
      <t xml:space="preserve"> - Program Administration and Management Practices Technical Assistance
</t>
    </r>
    <r>
      <rPr>
        <b/>
        <sz val="11"/>
        <color theme="1"/>
        <rFont val="Calibri"/>
        <family val="2"/>
        <scheme val="minor"/>
      </rPr>
      <t>07</t>
    </r>
    <r>
      <rPr>
        <sz val="11"/>
        <color theme="1"/>
        <rFont val="Calibri"/>
        <family val="2"/>
        <scheme val="minor"/>
      </rPr>
      <t xml:space="preserve"> - School Age Technical Assistance
</t>
    </r>
    <r>
      <rPr>
        <b/>
        <sz val="11"/>
        <color theme="1"/>
        <rFont val="Calibri"/>
        <family val="2"/>
        <scheme val="minor"/>
      </rPr>
      <t>08</t>
    </r>
    <r>
      <rPr>
        <sz val="11"/>
        <color theme="1"/>
        <rFont val="Calibri"/>
        <family val="2"/>
        <scheme val="minor"/>
      </rPr>
      <t xml:space="preserve"> - Understanding Developmental Screening Technical Assistance
</t>
    </r>
    <r>
      <rPr>
        <b/>
        <sz val="11"/>
        <color theme="1"/>
        <rFont val="Calibri"/>
        <family val="2"/>
        <scheme val="minor"/>
      </rPr>
      <t>09</t>
    </r>
    <r>
      <rPr>
        <sz val="11"/>
        <color theme="1"/>
        <rFont val="Calibri"/>
        <family val="2"/>
        <scheme val="minor"/>
      </rPr>
      <t xml:space="preserve"> - Dual Language Learner Technical Assistance
</t>
    </r>
    <r>
      <rPr>
        <b/>
        <sz val="11"/>
        <color theme="1"/>
        <rFont val="Calibri"/>
        <family val="2"/>
        <scheme val="minor"/>
      </rPr>
      <t>10</t>
    </r>
    <r>
      <rPr>
        <sz val="11"/>
        <color theme="1"/>
        <rFont val="Calibri"/>
        <family val="2"/>
        <scheme val="minor"/>
      </rPr>
      <t xml:space="preserve"> - Language and Literacy Development
</t>
    </r>
    <r>
      <rPr>
        <b/>
        <sz val="11"/>
        <color theme="1"/>
        <rFont val="Calibri"/>
        <family val="2"/>
        <scheme val="minor"/>
      </rPr>
      <t>11</t>
    </r>
    <r>
      <rPr>
        <sz val="11"/>
        <color theme="1"/>
        <rFont val="Calibri"/>
        <family val="2"/>
        <scheme val="minor"/>
      </rPr>
      <t xml:space="preserve"> - Cognition and General Knowledge (including early mathematics and early scientific development)
</t>
    </r>
    <r>
      <rPr>
        <b/>
        <sz val="11"/>
        <color theme="1"/>
        <rFont val="Calibri"/>
        <family val="2"/>
        <scheme val="minor"/>
      </rPr>
      <t>12</t>
    </r>
    <r>
      <rPr>
        <sz val="11"/>
        <color theme="1"/>
        <rFont val="Calibri"/>
        <family val="2"/>
        <scheme val="minor"/>
      </rPr>
      <t xml:space="preserve"> - Approaches Toward Learning
</t>
    </r>
    <r>
      <rPr>
        <b/>
        <sz val="11"/>
        <color theme="1"/>
        <rFont val="Calibri"/>
        <family val="2"/>
        <scheme val="minor"/>
      </rPr>
      <t>13</t>
    </r>
    <r>
      <rPr>
        <sz val="11"/>
        <color theme="1"/>
        <rFont val="Calibri"/>
        <family val="2"/>
        <scheme val="minor"/>
      </rPr>
      <t xml:space="preserve"> - Physical Well-being and Motor Development (including adaptive skills)
</t>
    </r>
    <r>
      <rPr>
        <b/>
        <sz val="11"/>
        <color theme="1"/>
        <rFont val="Calibri"/>
        <family val="2"/>
        <scheme val="minor"/>
      </rPr>
      <t>14</t>
    </r>
    <r>
      <rPr>
        <sz val="11"/>
        <color theme="1"/>
        <rFont val="Calibri"/>
        <family val="2"/>
        <scheme val="minor"/>
      </rPr>
      <t xml:space="preserve"> - Social and Emotional Development
</t>
    </r>
  </si>
  <si>
    <r>
      <t>TechnologyLiterate</t>
    </r>
    <r>
      <rPr>
        <sz val="11"/>
        <color theme="1"/>
        <rFont val="Calibri"/>
        <family val="2"/>
        <scheme val="minor"/>
      </rPr>
      <t xml:space="preserve"> - Technology literate
</t>
    </r>
    <r>
      <rPr>
        <b/>
        <sz val="11"/>
        <color theme="1"/>
        <rFont val="Calibri"/>
        <family val="2"/>
        <scheme val="minor"/>
      </rPr>
      <t>NotTechnologyLiterate</t>
    </r>
    <r>
      <rPr>
        <sz val="11"/>
        <color theme="1"/>
        <rFont val="Calibri"/>
        <family val="2"/>
        <scheme val="minor"/>
      </rPr>
      <t xml:space="preserve"> - Not technology literate
</t>
    </r>
  </si>
  <si>
    <r>
      <t>Home</t>
    </r>
    <r>
      <rPr>
        <sz val="11"/>
        <color theme="1"/>
        <rFont val="Calibri"/>
        <family val="2"/>
        <scheme val="minor"/>
      </rPr>
      <t xml:space="preserve"> - Home phone number
</t>
    </r>
    <r>
      <rPr>
        <b/>
        <sz val="11"/>
        <color theme="1"/>
        <rFont val="Calibri"/>
        <family val="2"/>
        <scheme val="minor"/>
      </rPr>
      <t>Work</t>
    </r>
    <r>
      <rPr>
        <sz val="11"/>
        <color theme="1"/>
        <rFont val="Calibri"/>
        <family val="2"/>
        <scheme val="minor"/>
      </rPr>
      <t xml:space="preserve"> - Work phone number
</t>
    </r>
    <r>
      <rPr>
        <b/>
        <sz val="11"/>
        <color theme="1"/>
        <rFont val="Calibri"/>
        <family val="2"/>
        <scheme val="minor"/>
      </rPr>
      <t>Mobile</t>
    </r>
    <r>
      <rPr>
        <sz val="11"/>
        <color theme="1"/>
        <rFont val="Calibri"/>
        <family val="2"/>
        <scheme val="minor"/>
      </rPr>
      <t xml:space="preserve"> - Mobile phone number
</t>
    </r>
    <r>
      <rPr>
        <b/>
        <sz val="11"/>
        <color theme="1"/>
        <rFont val="Calibri"/>
        <family val="2"/>
        <scheme val="minor"/>
      </rPr>
      <t>Fax</t>
    </r>
    <r>
      <rPr>
        <sz val="11"/>
        <color theme="1"/>
        <rFont val="Calibri"/>
        <family val="2"/>
        <scheme val="minor"/>
      </rPr>
      <t xml:space="preserve"> - Fax number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</si>
  <si>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Public Targeted Assistance Program
</t>
    </r>
    <r>
      <rPr>
        <b/>
        <sz val="11"/>
        <color theme="1"/>
        <rFont val="Calibri"/>
        <family val="2"/>
        <scheme val="minor"/>
      </rPr>
      <t>02</t>
    </r>
    <r>
      <rPr>
        <sz val="11"/>
        <color theme="1"/>
        <rFont val="Calibri"/>
        <family val="2"/>
        <scheme val="minor"/>
      </rPr>
      <t xml:space="preserve"> - Public Schoolwide Program
</t>
    </r>
    <r>
      <rPr>
        <b/>
        <sz val="11"/>
        <color theme="1"/>
        <rFont val="Calibri"/>
        <family val="2"/>
        <scheme val="minor"/>
      </rPr>
      <t>03</t>
    </r>
    <r>
      <rPr>
        <sz val="11"/>
        <color theme="1"/>
        <rFont val="Calibri"/>
        <family val="2"/>
        <scheme val="minor"/>
      </rPr>
      <t xml:space="preserve"> - Private school students participating
</t>
    </r>
    <r>
      <rPr>
        <b/>
        <sz val="11"/>
        <color theme="1"/>
        <rFont val="Calibri"/>
        <family val="2"/>
        <scheme val="minor"/>
      </rPr>
      <t>04</t>
    </r>
    <r>
      <rPr>
        <sz val="11"/>
        <color theme="1"/>
        <rFont val="Calibri"/>
        <family val="2"/>
        <scheme val="minor"/>
      </rPr>
      <t xml:space="preserve"> - Local Neglected Program
</t>
    </r>
    <r>
      <rPr>
        <b/>
        <sz val="11"/>
        <color theme="1"/>
        <rFont val="Calibri"/>
        <family val="2"/>
        <scheme val="minor"/>
      </rPr>
      <t>05</t>
    </r>
    <r>
      <rPr>
        <sz val="11"/>
        <color theme="1"/>
        <rFont val="Calibri"/>
        <family val="2"/>
        <scheme val="minor"/>
      </rPr>
      <t xml:space="preserve"> - Was not served
</t>
    </r>
  </si>
  <si>
    <r>
      <t>ReadingLanguageArts</t>
    </r>
    <r>
      <rPr>
        <sz val="11"/>
        <color theme="1"/>
        <rFont val="Calibri"/>
        <family val="2"/>
        <scheme val="minor"/>
      </rPr>
      <t xml:space="preserve"> - Reading/Language Arts
</t>
    </r>
    <r>
      <rPr>
        <b/>
        <sz val="11"/>
        <color theme="1"/>
        <rFont val="Calibri"/>
        <family val="2"/>
        <scheme val="minor"/>
      </rPr>
      <t>Mathematics</t>
    </r>
    <r>
      <rPr>
        <sz val="11"/>
        <color theme="1"/>
        <rFont val="Calibri"/>
        <family val="2"/>
        <scheme val="minor"/>
      </rPr>
      <t xml:space="preserve"> - Mathematics
</t>
    </r>
    <r>
      <rPr>
        <b/>
        <sz val="11"/>
        <color theme="1"/>
        <rFont val="Calibri"/>
        <family val="2"/>
        <scheme val="minor"/>
      </rPr>
      <t>Science</t>
    </r>
    <r>
      <rPr>
        <sz val="11"/>
        <color theme="1"/>
        <rFont val="Calibri"/>
        <family val="2"/>
        <scheme val="minor"/>
      </rPr>
      <t xml:space="preserve"> - Science
</t>
    </r>
    <r>
      <rPr>
        <b/>
        <sz val="11"/>
        <color theme="1"/>
        <rFont val="Calibri"/>
        <family val="2"/>
        <scheme val="minor"/>
      </rPr>
      <t>SocialSciences</t>
    </r>
    <r>
      <rPr>
        <sz val="11"/>
        <color theme="1"/>
        <rFont val="Calibri"/>
        <family val="2"/>
        <scheme val="minor"/>
      </rPr>
      <t xml:space="preserve"> - Social Sciences
</t>
    </r>
    <r>
      <rPr>
        <b/>
        <sz val="11"/>
        <color theme="1"/>
        <rFont val="Calibri"/>
        <family val="2"/>
        <scheme val="minor"/>
      </rPr>
      <t>CareerAndTechnical</t>
    </r>
    <r>
      <rPr>
        <sz val="11"/>
        <color theme="1"/>
        <rFont val="Calibri"/>
        <family val="2"/>
        <scheme val="minor"/>
      </rPr>
      <t xml:space="preserve"> - Career and Technical Education
</t>
    </r>
    <r>
      <rPr>
        <b/>
        <sz val="11"/>
        <color theme="1"/>
        <rFont val="Calibri"/>
        <family val="2"/>
        <scheme val="minor"/>
      </rPr>
      <t>Other</t>
    </r>
    <r>
      <rPr>
        <sz val="11"/>
        <color theme="1"/>
        <rFont val="Calibri"/>
        <family val="2"/>
        <scheme val="minor"/>
      </rPr>
      <t xml:space="preserve"> - Other
</t>
    </r>
  </si>
  <si>
    <r>
      <t>TitleITeacher</t>
    </r>
    <r>
      <rPr>
        <sz val="11"/>
        <color theme="1"/>
        <rFont val="Calibri"/>
        <family val="2"/>
        <scheme val="minor"/>
      </rPr>
      <t xml:space="preserve"> - Title I Teachers
</t>
    </r>
    <r>
      <rPr>
        <b/>
        <sz val="11"/>
        <color theme="1"/>
        <rFont val="Calibri"/>
        <family val="2"/>
        <scheme val="minor"/>
      </rPr>
      <t>TitleIParaprofessional</t>
    </r>
    <r>
      <rPr>
        <sz val="11"/>
        <color theme="1"/>
        <rFont val="Calibri"/>
        <family val="2"/>
        <scheme val="minor"/>
      </rPr>
      <t xml:space="preserve"> - Title I Paraprofessionals 
</t>
    </r>
    <r>
      <rPr>
        <b/>
        <sz val="11"/>
        <color theme="1"/>
        <rFont val="Calibri"/>
        <family val="2"/>
        <scheme val="minor"/>
      </rPr>
      <t>TitleISupportStaff</t>
    </r>
    <r>
      <rPr>
        <sz val="11"/>
        <color theme="1"/>
        <rFont val="Calibri"/>
        <family val="2"/>
        <scheme val="minor"/>
      </rPr>
      <t xml:space="preserve"> - Title I Clerical Support Staff
</t>
    </r>
    <r>
      <rPr>
        <b/>
        <sz val="11"/>
        <color theme="1"/>
        <rFont val="Calibri"/>
        <family val="2"/>
        <scheme val="minor"/>
      </rPr>
      <t>TitleIAdministrator</t>
    </r>
    <r>
      <rPr>
        <sz val="11"/>
        <color theme="1"/>
        <rFont val="Calibri"/>
        <family val="2"/>
        <scheme val="minor"/>
      </rPr>
      <t xml:space="preserve"> - Title I Administrators (non-clerical)
</t>
    </r>
    <r>
      <rPr>
        <b/>
        <sz val="11"/>
        <color theme="1"/>
        <rFont val="Calibri"/>
        <family val="2"/>
        <scheme val="minor"/>
      </rPr>
      <t>TitleIOtherParaprofessional</t>
    </r>
    <r>
      <rPr>
        <sz val="11"/>
        <color theme="1"/>
        <rFont val="Calibri"/>
        <family val="2"/>
        <scheme val="minor"/>
      </rPr>
      <t xml:space="preserve"> - Title I Other Paraprofessionals
</t>
    </r>
  </si>
  <si>
    <r>
      <t>TargetedAssistanceProgram</t>
    </r>
    <r>
      <rPr>
        <sz val="11"/>
        <color theme="1"/>
        <rFont val="Calibri"/>
        <family val="2"/>
        <scheme val="minor"/>
      </rPr>
      <t xml:space="preserve"> - Public Targeted Assistance Program
</t>
    </r>
    <r>
      <rPr>
        <b/>
        <sz val="11"/>
        <color theme="1"/>
        <rFont val="Calibri"/>
        <family val="2"/>
        <scheme val="minor"/>
      </rPr>
      <t>SchoolwideProgram</t>
    </r>
    <r>
      <rPr>
        <sz val="11"/>
        <color theme="1"/>
        <rFont val="Calibri"/>
        <family val="2"/>
        <scheme val="minor"/>
      </rPr>
      <t xml:space="preserve"> - Public Schoolwide Program
</t>
    </r>
    <r>
      <rPr>
        <b/>
        <sz val="11"/>
        <color theme="1"/>
        <rFont val="Calibri"/>
        <family val="2"/>
        <scheme val="minor"/>
      </rPr>
      <t>PrivateSchoolStudents</t>
    </r>
    <r>
      <rPr>
        <sz val="11"/>
        <color theme="1"/>
        <rFont val="Calibri"/>
        <family val="2"/>
        <scheme val="minor"/>
      </rPr>
      <t xml:space="preserve"> - Private School Students Participating
</t>
    </r>
    <r>
      <rPr>
        <b/>
        <sz val="11"/>
        <color theme="1"/>
        <rFont val="Calibri"/>
        <family val="2"/>
        <scheme val="minor"/>
      </rPr>
      <t>LocalNeglectedProgram</t>
    </r>
    <r>
      <rPr>
        <sz val="11"/>
        <color theme="1"/>
        <rFont val="Calibri"/>
        <family val="2"/>
        <scheme val="minor"/>
      </rPr>
      <t xml:space="preserve"> - Local Neglected Program
</t>
    </r>
  </si>
  <si>
    <r>
      <t>TGELGBNOPROG</t>
    </r>
    <r>
      <rPr>
        <sz val="11"/>
        <color theme="1"/>
        <rFont val="Calibri"/>
        <family val="2"/>
        <scheme val="minor"/>
      </rPr>
      <t xml:space="preserve"> - Title I Targeted Assistance Eligible School- No Program
</t>
    </r>
    <r>
      <rPr>
        <b/>
        <sz val="11"/>
        <color theme="1"/>
        <rFont val="Calibri"/>
        <family val="2"/>
        <scheme val="minor"/>
      </rPr>
      <t>TGELGBTGPROG</t>
    </r>
    <r>
      <rPr>
        <sz val="11"/>
        <color theme="1"/>
        <rFont val="Calibri"/>
        <family val="2"/>
        <scheme val="minor"/>
      </rPr>
      <t xml:space="preserve"> - Title I Targeted Assistance School
</t>
    </r>
    <r>
      <rPr>
        <b/>
        <sz val="11"/>
        <color theme="1"/>
        <rFont val="Calibri"/>
        <family val="2"/>
        <scheme val="minor"/>
      </rPr>
      <t>SWELIGTGPROG</t>
    </r>
    <r>
      <rPr>
        <sz val="11"/>
        <color theme="1"/>
        <rFont val="Calibri"/>
        <family val="2"/>
        <scheme val="minor"/>
      </rPr>
      <t xml:space="preserve"> - Title I, Schoolwide eligible-Title I Targeted Assistance Program
</t>
    </r>
    <r>
      <rPr>
        <b/>
        <sz val="11"/>
        <color theme="1"/>
        <rFont val="Calibri"/>
        <family val="2"/>
        <scheme val="minor"/>
      </rPr>
      <t>SWELIGNOPROG</t>
    </r>
    <r>
      <rPr>
        <sz val="11"/>
        <color theme="1"/>
        <rFont val="Calibri"/>
        <family val="2"/>
        <scheme val="minor"/>
      </rPr>
      <t xml:space="preserve"> - Title I Schoolwide Eligible School - No Program
</t>
    </r>
    <r>
      <rPr>
        <b/>
        <sz val="11"/>
        <color theme="1"/>
        <rFont val="Calibri"/>
        <family val="2"/>
        <scheme val="minor"/>
      </rPr>
      <t>SWELIGSWPROG</t>
    </r>
    <r>
      <rPr>
        <sz val="11"/>
        <color theme="1"/>
        <rFont val="Calibri"/>
        <family val="2"/>
        <scheme val="minor"/>
      </rPr>
      <t xml:space="preserve"> - Title I Schoolwide School
</t>
    </r>
    <r>
      <rPr>
        <b/>
        <sz val="11"/>
        <color theme="1"/>
        <rFont val="Calibri"/>
        <family val="2"/>
        <scheme val="minor"/>
      </rPr>
      <t>NOTTITLE1ELIG</t>
    </r>
    <r>
      <rPr>
        <sz val="11"/>
        <color theme="1"/>
        <rFont val="Calibri"/>
        <family val="2"/>
        <scheme val="minor"/>
      </rPr>
      <t xml:space="preserve"> - Not a Title I School
</t>
    </r>
  </si>
  <si>
    <r>
      <t>HealthDentalEyeCare</t>
    </r>
    <r>
      <rPr>
        <sz val="11"/>
        <color theme="1"/>
        <rFont val="Calibri"/>
        <family val="2"/>
        <scheme val="minor"/>
      </rPr>
      <t xml:space="preserve"> - Health, Dental and Eye Care
</t>
    </r>
    <r>
      <rPr>
        <b/>
        <sz val="11"/>
        <color theme="1"/>
        <rFont val="Calibri"/>
        <family val="2"/>
        <scheme val="minor"/>
      </rPr>
      <t>GuidanceAdvocacy</t>
    </r>
    <r>
      <rPr>
        <sz val="11"/>
        <color theme="1"/>
        <rFont val="Calibri"/>
        <family val="2"/>
        <scheme val="minor"/>
      </rPr>
      <t xml:space="preserve"> - Supporting Guidance/Advocacy
</t>
    </r>
    <r>
      <rPr>
        <b/>
        <sz val="11"/>
        <color theme="1"/>
        <rFont val="Calibri"/>
        <family val="2"/>
        <scheme val="minor"/>
      </rPr>
      <t>Other</t>
    </r>
    <r>
      <rPr>
        <sz val="11"/>
        <color theme="1"/>
        <rFont val="Calibri"/>
        <family val="2"/>
        <scheme val="minor"/>
      </rPr>
      <t xml:space="preserve"> - Other
</t>
    </r>
  </si>
  <si>
    <r>
      <t>PROGRESS</t>
    </r>
    <r>
      <rPr>
        <sz val="11"/>
        <color theme="1"/>
        <rFont val="Calibri"/>
        <family val="2"/>
        <scheme val="minor"/>
      </rPr>
      <t xml:space="preserve"> - Making progress
</t>
    </r>
    <r>
      <rPr>
        <b/>
        <sz val="11"/>
        <color theme="1"/>
        <rFont val="Calibri"/>
        <family val="2"/>
        <scheme val="minor"/>
      </rPr>
      <t>NOPROGRESS</t>
    </r>
    <r>
      <rPr>
        <sz val="11"/>
        <color theme="1"/>
        <rFont val="Calibri"/>
        <family val="2"/>
        <scheme val="minor"/>
      </rPr>
      <t xml:space="preserve"> - Did not make progress
</t>
    </r>
    <r>
      <rPr>
        <b/>
        <sz val="11"/>
        <color theme="1"/>
        <rFont val="Calibri"/>
        <family val="2"/>
        <scheme val="minor"/>
      </rPr>
      <t>PROFICIENT</t>
    </r>
    <r>
      <rPr>
        <sz val="11"/>
        <color theme="1"/>
        <rFont val="Calibri"/>
        <family val="2"/>
        <scheme val="minor"/>
      </rPr>
      <t xml:space="preserve"> - Attained proficiency
</t>
    </r>
  </si>
  <si>
    <r>
      <t>DualLanguage</t>
    </r>
    <r>
      <rPr>
        <sz val="11"/>
        <color theme="1"/>
        <rFont val="Calibri"/>
        <family val="2"/>
        <scheme val="minor"/>
      </rPr>
      <t xml:space="preserve"> - Dual language
</t>
    </r>
    <r>
      <rPr>
        <b/>
        <sz val="11"/>
        <color theme="1"/>
        <rFont val="Calibri"/>
        <family val="2"/>
        <scheme val="minor"/>
      </rPr>
      <t>TwoWayImmersion</t>
    </r>
    <r>
      <rPr>
        <sz val="11"/>
        <color theme="1"/>
        <rFont val="Calibri"/>
        <family val="2"/>
        <scheme val="minor"/>
      </rPr>
      <t xml:space="preserve"> - Two-way immersion
</t>
    </r>
    <r>
      <rPr>
        <b/>
        <sz val="11"/>
        <color theme="1"/>
        <rFont val="Calibri"/>
        <family val="2"/>
        <scheme val="minor"/>
      </rPr>
      <t>TransitionalBilingual</t>
    </r>
    <r>
      <rPr>
        <sz val="11"/>
        <color theme="1"/>
        <rFont val="Calibri"/>
        <family val="2"/>
        <scheme val="minor"/>
      </rPr>
      <t xml:space="preserve"> - Transitional bilingual
</t>
    </r>
    <r>
      <rPr>
        <b/>
        <sz val="11"/>
        <color theme="1"/>
        <rFont val="Calibri"/>
        <family val="2"/>
        <scheme val="minor"/>
      </rPr>
      <t>DevelopmentalBilingual</t>
    </r>
    <r>
      <rPr>
        <sz val="11"/>
        <color theme="1"/>
        <rFont val="Calibri"/>
        <family val="2"/>
        <scheme val="minor"/>
      </rPr>
      <t xml:space="preserve"> - Developmental bilingual
</t>
    </r>
    <r>
      <rPr>
        <b/>
        <sz val="11"/>
        <color theme="1"/>
        <rFont val="Calibri"/>
        <family val="2"/>
        <scheme val="minor"/>
      </rPr>
      <t>HeritageLanguage</t>
    </r>
    <r>
      <rPr>
        <sz val="11"/>
        <color theme="1"/>
        <rFont val="Calibri"/>
        <family val="2"/>
        <scheme val="minor"/>
      </rPr>
      <t xml:space="preserve"> - Heritage language
</t>
    </r>
    <r>
      <rPr>
        <b/>
        <sz val="11"/>
        <color theme="1"/>
        <rFont val="Calibri"/>
        <family val="2"/>
        <scheme val="minor"/>
      </rPr>
      <t>ShelteredEnglishInstruction</t>
    </r>
    <r>
      <rPr>
        <sz val="11"/>
        <color theme="1"/>
        <rFont val="Calibri"/>
        <family val="2"/>
        <scheme val="minor"/>
      </rPr>
      <t xml:space="preserve"> - Sheltered English instruction
</t>
    </r>
    <r>
      <rPr>
        <b/>
        <sz val="11"/>
        <color theme="1"/>
        <rFont val="Calibri"/>
        <family val="2"/>
        <scheme val="minor"/>
      </rPr>
      <t>StructuredEnglishImmersion</t>
    </r>
    <r>
      <rPr>
        <sz val="11"/>
        <color theme="1"/>
        <rFont val="Calibri"/>
        <family val="2"/>
        <scheme val="minor"/>
      </rPr>
      <t xml:space="preserve"> - Structured English immersion
</t>
    </r>
    <r>
      <rPr>
        <b/>
        <sz val="11"/>
        <color theme="1"/>
        <rFont val="Calibri"/>
        <family val="2"/>
        <scheme val="minor"/>
      </rPr>
      <t>SDAIE</t>
    </r>
    <r>
      <rPr>
        <sz val="11"/>
        <color theme="1"/>
        <rFont val="Calibri"/>
        <family val="2"/>
        <scheme val="minor"/>
      </rPr>
      <t xml:space="preserve"> - Specially designed academic instruction delivered in English (SDAIE)
</t>
    </r>
    <r>
      <rPr>
        <b/>
        <sz val="11"/>
        <color theme="1"/>
        <rFont val="Calibri"/>
        <family val="2"/>
        <scheme val="minor"/>
      </rPr>
      <t>ContentBasedESL</t>
    </r>
    <r>
      <rPr>
        <sz val="11"/>
        <color theme="1"/>
        <rFont val="Calibri"/>
        <family val="2"/>
        <scheme val="minor"/>
      </rPr>
      <t xml:space="preserve"> - Content-based ESL
</t>
    </r>
    <r>
      <rPr>
        <b/>
        <sz val="11"/>
        <color theme="1"/>
        <rFont val="Calibri"/>
        <family val="2"/>
        <scheme val="minor"/>
      </rPr>
      <t>PullOutESL</t>
    </r>
    <r>
      <rPr>
        <sz val="11"/>
        <color theme="1"/>
        <rFont val="Calibri"/>
        <family val="2"/>
        <scheme val="minor"/>
      </rPr>
      <t xml:space="preserve"> - Pull-out ESL
</t>
    </r>
    <r>
      <rPr>
        <b/>
        <sz val="11"/>
        <color theme="1"/>
        <rFont val="Calibri"/>
        <family val="2"/>
        <scheme val="minor"/>
      </rPr>
      <t>Other</t>
    </r>
    <r>
      <rPr>
        <sz val="11"/>
        <color theme="1"/>
        <rFont val="Calibri"/>
        <family val="2"/>
        <scheme val="minor"/>
      </rPr>
      <t xml:space="preserve"> - Other
</t>
    </r>
  </si>
  <si>
    <r>
      <t>InstructionalStrategies</t>
    </r>
    <r>
      <rPr>
        <sz val="11"/>
        <color theme="1"/>
        <rFont val="Calibri"/>
        <family val="2"/>
        <scheme val="minor"/>
      </rPr>
      <t xml:space="preserve"> - Instructional strategies
</t>
    </r>
    <r>
      <rPr>
        <b/>
        <sz val="11"/>
        <color theme="1"/>
        <rFont val="Calibri"/>
        <family val="2"/>
        <scheme val="minor"/>
      </rPr>
      <t>Assessment</t>
    </r>
    <r>
      <rPr>
        <sz val="11"/>
        <color theme="1"/>
        <rFont val="Calibri"/>
        <family val="2"/>
        <scheme val="minor"/>
      </rPr>
      <t xml:space="preserve"> - Assessment
</t>
    </r>
    <r>
      <rPr>
        <b/>
        <sz val="11"/>
        <color theme="1"/>
        <rFont val="Calibri"/>
        <family val="2"/>
        <scheme val="minor"/>
      </rPr>
      <t>ELPContentStandards</t>
    </r>
    <r>
      <rPr>
        <sz val="11"/>
        <color theme="1"/>
        <rFont val="Calibri"/>
        <family val="2"/>
        <scheme val="minor"/>
      </rPr>
      <t xml:space="preserve"> - ELP and content standards
</t>
    </r>
    <r>
      <rPr>
        <b/>
        <sz val="11"/>
        <color theme="1"/>
        <rFont val="Calibri"/>
        <family val="2"/>
        <scheme val="minor"/>
      </rPr>
      <t>CurriculumAlignmentELP</t>
    </r>
    <r>
      <rPr>
        <sz val="11"/>
        <color theme="1"/>
        <rFont val="Calibri"/>
        <family val="2"/>
        <scheme val="minor"/>
      </rPr>
      <t xml:space="preserve"> - Curriculum alignment to ELP standards
</t>
    </r>
    <r>
      <rPr>
        <b/>
        <sz val="11"/>
        <color theme="1"/>
        <rFont val="Calibri"/>
        <family val="2"/>
        <scheme val="minor"/>
      </rPr>
      <t>SubjectMatter</t>
    </r>
    <r>
      <rPr>
        <sz val="11"/>
        <color theme="1"/>
        <rFont val="Calibri"/>
        <family val="2"/>
        <scheme val="minor"/>
      </rPr>
      <t xml:space="preserve"> - Subject matter
</t>
    </r>
    <r>
      <rPr>
        <b/>
        <sz val="11"/>
        <color theme="1"/>
        <rFont val="Calibri"/>
        <family val="2"/>
        <scheme val="minor"/>
      </rPr>
      <t>Other</t>
    </r>
    <r>
      <rPr>
        <sz val="11"/>
        <color theme="1"/>
        <rFont val="Calibri"/>
        <family val="2"/>
        <scheme val="minor"/>
      </rPr>
      <t xml:space="preserve"> - Other
</t>
    </r>
  </si>
  <si>
    <r>
      <t>YesStateDefined</t>
    </r>
    <r>
      <rPr>
        <sz val="11"/>
        <color theme="1"/>
        <rFont val="Calibri"/>
        <family val="2"/>
        <scheme val="minor"/>
      </rPr>
      <t xml:space="preserve"> - Yes, state defined
</t>
    </r>
    <r>
      <rPr>
        <b/>
        <sz val="11"/>
        <color theme="1"/>
        <rFont val="Calibri"/>
        <family val="2"/>
        <scheme val="minor"/>
      </rPr>
      <t>YesInstitutionDefined</t>
    </r>
    <r>
      <rPr>
        <sz val="11"/>
        <color theme="1"/>
        <rFont val="Calibri"/>
        <family val="2"/>
        <scheme val="minor"/>
      </rPr>
      <t xml:space="preserve"> - Yes, institution defined
</t>
    </r>
  </si>
  <si>
    <r>
      <t>InDistrict</t>
    </r>
    <r>
      <rPr>
        <sz val="11"/>
        <color theme="1"/>
        <rFont val="Calibri"/>
        <family val="2"/>
        <scheme val="minor"/>
      </rPr>
      <t xml:space="preserve"> - In-district
</t>
    </r>
    <r>
      <rPr>
        <b/>
        <sz val="11"/>
        <color theme="1"/>
        <rFont val="Calibri"/>
        <family val="2"/>
        <scheme val="minor"/>
      </rPr>
      <t>InState</t>
    </r>
    <r>
      <rPr>
        <sz val="11"/>
        <color theme="1"/>
        <rFont val="Calibri"/>
        <family val="2"/>
        <scheme val="minor"/>
      </rPr>
      <t xml:space="preserve"> - In-state
</t>
    </r>
    <r>
      <rPr>
        <b/>
        <sz val="11"/>
        <color theme="1"/>
        <rFont val="Calibri"/>
        <family val="2"/>
        <scheme val="minor"/>
      </rPr>
      <t>OutOfState</t>
    </r>
    <r>
      <rPr>
        <sz val="11"/>
        <color theme="1"/>
        <rFont val="Calibri"/>
        <family val="2"/>
        <scheme val="minor"/>
      </rPr>
      <t xml:space="preserve"> - Out-of-state
</t>
    </r>
    <r>
      <rPr>
        <b/>
        <sz val="11"/>
        <color theme="1"/>
        <rFont val="Calibri"/>
        <family val="2"/>
        <scheme val="minor"/>
      </rPr>
      <t>NoDifferential</t>
    </r>
    <r>
      <rPr>
        <sz val="11"/>
        <color theme="1"/>
        <rFont val="Calibri"/>
        <family val="2"/>
        <scheme val="minor"/>
      </rPr>
      <t xml:space="preserve"> - No differential tuition based on residency
</t>
    </r>
  </si>
  <si>
    <r>
      <t>PerTerm</t>
    </r>
    <r>
      <rPr>
        <sz val="11"/>
        <color theme="1"/>
        <rFont val="Calibri"/>
        <family val="2"/>
        <scheme val="minor"/>
      </rPr>
      <t xml:space="preserve"> - Per Term
</t>
    </r>
    <r>
      <rPr>
        <b/>
        <sz val="11"/>
        <color theme="1"/>
        <rFont val="Calibri"/>
        <family val="2"/>
        <scheme val="minor"/>
      </rPr>
      <t>PerYear</t>
    </r>
    <r>
      <rPr>
        <sz val="11"/>
        <color theme="1"/>
        <rFont val="Calibri"/>
        <family val="2"/>
        <scheme val="minor"/>
      </rPr>
      <t xml:space="preserve"> - Per Year
</t>
    </r>
    <r>
      <rPr>
        <b/>
        <sz val="11"/>
        <color theme="1"/>
        <rFont val="Calibri"/>
        <family val="2"/>
        <scheme val="minor"/>
      </rPr>
      <t>PerProgram</t>
    </r>
    <r>
      <rPr>
        <sz val="11"/>
        <color theme="1"/>
        <rFont val="Calibri"/>
        <family val="2"/>
        <scheme val="minor"/>
      </rPr>
      <t xml:space="preserve"> - Per Program
</t>
    </r>
    <r>
      <rPr>
        <b/>
        <sz val="11"/>
        <color theme="1"/>
        <rFont val="Calibri"/>
        <family val="2"/>
        <scheme val="minor"/>
      </rPr>
      <t>PerCourse</t>
    </r>
    <r>
      <rPr>
        <sz val="11"/>
        <color theme="1"/>
        <rFont val="Calibri"/>
        <family val="2"/>
        <scheme val="minor"/>
      </rPr>
      <t xml:space="preserve"> - Per Course
</t>
    </r>
    <r>
      <rPr>
        <b/>
        <sz val="11"/>
        <color theme="1"/>
        <rFont val="Calibri"/>
        <family val="2"/>
        <scheme val="minor"/>
      </rPr>
      <t>PerCredit</t>
    </r>
    <r>
      <rPr>
        <sz val="11"/>
        <color theme="1"/>
        <rFont val="Calibri"/>
        <family val="2"/>
        <scheme val="minor"/>
      </rPr>
      <t xml:space="preserve"> - Per Credit
</t>
    </r>
  </si>
  <si>
    <r>
      <t>01</t>
    </r>
    <r>
      <rPr>
        <sz val="11"/>
        <color theme="1"/>
        <rFont val="Calibri"/>
        <family val="2"/>
        <scheme val="minor"/>
      </rPr>
      <t xml:space="preserve"> - Teacher recruitment and retention
</t>
    </r>
    <r>
      <rPr>
        <b/>
        <sz val="11"/>
        <color theme="1"/>
        <rFont val="Calibri"/>
        <family val="2"/>
        <scheme val="minor"/>
      </rPr>
      <t>02</t>
    </r>
    <r>
      <rPr>
        <sz val="11"/>
        <color theme="1"/>
        <rFont val="Calibri"/>
        <family val="2"/>
        <scheme val="minor"/>
      </rPr>
      <t xml:space="preserve"> - Teacher professional development
</t>
    </r>
    <r>
      <rPr>
        <b/>
        <sz val="11"/>
        <color theme="1"/>
        <rFont val="Calibri"/>
        <family val="2"/>
        <scheme val="minor"/>
      </rPr>
      <t>03</t>
    </r>
    <r>
      <rPr>
        <sz val="11"/>
        <color theme="1"/>
        <rFont val="Calibri"/>
        <family val="2"/>
        <scheme val="minor"/>
      </rPr>
      <t xml:space="preserve"> - Educational technology
</t>
    </r>
    <r>
      <rPr>
        <b/>
        <sz val="11"/>
        <color theme="1"/>
        <rFont val="Calibri"/>
        <family val="2"/>
        <scheme val="minor"/>
      </rPr>
      <t>04</t>
    </r>
    <r>
      <rPr>
        <sz val="11"/>
        <color theme="1"/>
        <rFont val="Calibri"/>
        <family val="2"/>
        <scheme val="minor"/>
      </rPr>
      <t xml:space="preserve"> - Parental involvement activities
</t>
    </r>
    <r>
      <rPr>
        <b/>
        <sz val="11"/>
        <color theme="1"/>
        <rFont val="Calibri"/>
        <family val="2"/>
        <scheme val="minor"/>
      </rPr>
      <t>05</t>
    </r>
    <r>
      <rPr>
        <sz val="11"/>
        <color theme="1"/>
        <rFont val="Calibri"/>
        <family val="2"/>
        <scheme val="minor"/>
      </rPr>
      <t xml:space="preserve"> - Activities authorized under the Safe and Drug-Free Schools Program (Title IV, Part A)
</t>
    </r>
    <r>
      <rPr>
        <b/>
        <sz val="11"/>
        <color theme="1"/>
        <rFont val="Calibri"/>
        <family val="2"/>
        <scheme val="minor"/>
      </rPr>
      <t>06</t>
    </r>
    <r>
      <rPr>
        <sz val="11"/>
        <color theme="1"/>
        <rFont val="Calibri"/>
        <family val="2"/>
        <scheme val="minor"/>
      </rPr>
      <t xml:space="preserve"> - Activities authorized under Title I, Part A
</t>
    </r>
    <r>
      <rPr>
        <b/>
        <sz val="11"/>
        <color theme="1"/>
        <rFont val="Calibri"/>
        <family val="2"/>
        <scheme val="minor"/>
      </rPr>
      <t>07</t>
    </r>
    <r>
      <rPr>
        <sz val="11"/>
        <color theme="1"/>
        <rFont val="Calibri"/>
        <family val="2"/>
        <scheme val="minor"/>
      </rPr>
      <t xml:space="preserve"> - Activities authorized under Title III (Language instruction for LEP and immigrant students)
</t>
    </r>
  </si>
  <si>
    <r>
      <t>USCitizen</t>
    </r>
    <r>
      <rPr>
        <sz val="11"/>
        <color theme="1"/>
        <rFont val="Calibri"/>
        <family val="2"/>
        <scheme val="minor"/>
      </rPr>
      <t xml:space="preserve"> - US Citizen
</t>
    </r>
    <r>
      <rPr>
        <b/>
        <sz val="11"/>
        <color theme="1"/>
        <rFont val="Calibri"/>
        <family val="2"/>
        <scheme val="minor"/>
      </rPr>
      <t>PermanentResident</t>
    </r>
    <r>
      <rPr>
        <sz val="11"/>
        <color theme="1"/>
        <rFont val="Calibri"/>
        <family val="2"/>
        <scheme val="minor"/>
      </rPr>
      <t xml:space="preserve"> - Permanent resident
</t>
    </r>
    <r>
      <rPr>
        <b/>
        <sz val="11"/>
        <color theme="1"/>
        <rFont val="Calibri"/>
        <family val="2"/>
        <scheme val="minor"/>
      </rPr>
      <t>ResidentAlien</t>
    </r>
    <r>
      <rPr>
        <sz val="11"/>
        <color theme="1"/>
        <rFont val="Calibri"/>
        <family val="2"/>
        <scheme val="minor"/>
      </rPr>
      <t xml:space="preserve"> - Resident alien
</t>
    </r>
    <r>
      <rPr>
        <b/>
        <sz val="11"/>
        <color theme="1"/>
        <rFont val="Calibri"/>
        <family val="2"/>
        <scheme val="minor"/>
      </rPr>
      <t>NonResidentAlien</t>
    </r>
    <r>
      <rPr>
        <sz val="11"/>
        <color theme="1"/>
        <rFont val="Calibri"/>
        <family val="2"/>
        <scheme val="minor"/>
      </rPr>
      <t xml:space="preserve"> - Non-resident alien
</t>
    </r>
    <r>
      <rPr>
        <b/>
        <sz val="11"/>
        <color theme="1"/>
        <rFont val="Calibri"/>
        <family val="2"/>
        <scheme val="minor"/>
      </rPr>
      <t>Refugee</t>
    </r>
    <r>
      <rPr>
        <sz val="11"/>
        <color theme="1"/>
        <rFont val="Calibri"/>
        <family val="2"/>
        <scheme val="minor"/>
      </rPr>
      <t xml:space="preserve"> - Refugee
</t>
    </r>
  </si>
  <si>
    <r>
      <t>01</t>
    </r>
    <r>
      <rPr>
        <sz val="11"/>
        <color theme="1"/>
        <rFont val="Calibri"/>
        <family val="2"/>
        <scheme val="minor"/>
      </rPr>
      <t xml:space="preserve"> - Administering assessments required by section 1111(b)
</t>
    </r>
    <r>
      <rPr>
        <b/>
        <sz val="11"/>
        <color theme="1"/>
        <rFont val="Calibri"/>
        <family val="2"/>
        <scheme val="minor"/>
      </rPr>
      <t>02</t>
    </r>
    <r>
      <rPr>
        <sz val="11"/>
        <color theme="1"/>
        <rFont val="Calibri"/>
        <family val="2"/>
        <scheme val="minor"/>
      </rPr>
      <t xml:space="preserve"> - Developing challenging State academic content and student academic achievement standards
</t>
    </r>
    <r>
      <rPr>
        <b/>
        <sz val="11"/>
        <color theme="1"/>
        <rFont val="Calibri"/>
        <family val="2"/>
        <scheme val="minor"/>
      </rPr>
      <t>03</t>
    </r>
    <r>
      <rPr>
        <sz val="11"/>
        <color theme="1"/>
        <rFont val="Calibri"/>
        <family val="2"/>
        <scheme val="minor"/>
      </rPr>
      <t xml:space="preserve"> - Developing or improving assessments of English language proficiency
</t>
    </r>
    <r>
      <rPr>
        <b/>
        <sz val="11"/>
        <color theme="1"/>
        <rFont val="Calibri"/>
        <family val="2"/>
        <scheme val="minor"/>
      </rPr>
      <t>04</t>
    </r>
    <r>
      <rPr>
        <sz val="11"/>
        <color theme="1"/>
        <rFont val="Calibri"/>
        <family val="2"/>
        <scheme val="minor"/>
      </rPr>
      <t xml:space="preserve"> - Ensuring the continued validity and reliability of State assessments
</t>
    </r>
    <r>
      <rPr>
        <b/>
        <sz val="11"/>
        <color theme="1"/>
        <rFont val="Calibri"/>
        <family val="2"/>
        <scheme val="minor"/>
      </rPr>
      <t>05</t>
    </r>
    <r>
      <rPr>
        <sz val="11"/>
        <color theme="1"/>
        <rFont val="Calibri"/>
        <family val="2"/>
        <scheme val="minor"/>
      </rPr>
      <t xml:space="preserve"> - Developing multiple measures to increase the reliability and validity of State assessment systems
</t>
    </r>
    <r>
      <rPr>
        <b/>
        <sz val="11"/>
        <color theme="1"/>
        <rFont val="Calibri"/>
        <family val="2"/>
        <scheme val="minor"/>
      </rPr>
      <t>06</t>
    </r>
    <r>
      <rPr>
        <sz val="11"/>
        <color theme="1"/>
        <rFont val="Calibri"/>
        <family val="2"/>
        <scheme val="minor"/>
      </rPr>
      <t xml:space="preserve"> - Strengthening the capacity of local educational agencies and schools
</t>
    </r>
    <r>
      <rPr>
        <b/>
        <sz val="11"/>
        <color theme="1"/>
        <rFont val="Calibri"/>
        <family val="2"/>
        <scheme val="minor"/>
      </rPr>
      <t>07</t>
    </r>
    <r>
      <rPr>
        <sz val="11"/>
        <color theme="1"/>
        <rFont val="Calibri"/>
        <family val="2"/>
        <scheme val="minor"/>
      </rPr>
      <t xml:space="preserve"> - Expanding range of accommodations to students with LEP and students with disabilities (IDEA)
</t>
    </r>
    <r>
      <rPr>
        <b/>
        <sz val="11"/>
        <color theme="1"/>
        <rFont val="Calibri"/>
        <family val="2"/>
        <scheme val="minor"/>
      </rPr>
      <t>08</t>
    </r>
    <r>
      <rPr>
        <sz val="11"/>
        <color theme="1"/>
        <rFont val="Calibri"/>
        <family val="2"/>
        <scheme val="minor"/>
      </rPr>
      <t xml:space="preserve"> - Improving the dissemination of information on student achievement and school performance
</t>
    </r>
    <r>
      <rPr>
        <b/>
        <sz val="11"/>
        <color theme="1"/>
        <rFont val="Calibri"/>
        <family val="2"/>
        <scheme val="minor"/>
      </rPr>
      <t>09</t>
    </r>
    <r>
      <rPr>
        <sz val="11"/>
        <color theme="1"/>
        <rFont val="Calibri"/>
        <family val="2"/>
        <scheme val="minor"/>
      </rPr>
      <t xml:space="preserve"> - Other
</t>
    </r>
  </si>
  <si>
    <r>
      <t>F1</t>
    </r>
    <r>
      <rPr>
        <sz val="11"/>
        <color theme="1"/>
        <rFont val="Calibri"/>
        <family val="2"/>
        <scheme val="minor"/>
      </rPr>
      <t xml:space="preserve"> - Foreign Student Visa
</t>
    </r>
    <r>
      <rPr>
        <b/>
        <sz val="11"/>
        <color theme="1"/>
        <rFont val="Calibri"/>
        <family val="2"/>
        <scheme val="minor"/>
      </rPr>
      <t>M1</t>
    </r>
    <r>
      <rPr>
        <sz val="11"/>
        <color theme="1"/>
        <rFont val="Calibri"/>
        <family val="2"/>
        <scheme val="minor"/>
      </rPr>
      <t xml:space="preserve"> - Foreign Student pursuing vocational or non-academic studies Visa
</t>
    </r>
    <r>
      <rPr>
        <b/>
        <sz val="11"/>
        <color theme="1"/>
        <rFont val="Calibri"/>
        <family val="2"/>
        <scheme val="minor"/>
      </rPr>
      <t>H1</t>
    </r>
    <r>
      <rPr>
        <sz val="11"/>
        <color theme="1"/>
        <rFont val="Calibri"/>
        <family val="2"/>
        <scheme val="minor"/>
      </rPr>
      <t xml:space="preserve"> - Employment Visa
</t>
    </r>
    <r>
      <rPr>
        <b/>
        <sz val="11"/>
        <color theme="1"/>
        <rFont val="Calibri"/>
        <family val="2"/>
        <scheme val="minor"/>
      </rPr>
      <t>B1</t>
    </r>
    <r>
      <rPr>
        <sz val="11"/>
        <color theme="1"/>
        <rFont val="Calibri"/>
        <family val="2"/>
        <scheme val="minor"/>
      </rPr>
      <t xml:space="preserve"> - Business Visa
</t>
    </r>
    <r>
      <rPr>
        <b/>
        <sz val="11"/>
        <color theme="1"/>
        <rFont val="Calibri"/>
        <family val="2"/>
        <scheme val="minor"/>
      </rPr>
      <t>B2</t>
    </r>
    <r>
      <rPr>
        <sz val="11"/>
        <color theme="1"/>
        <rFont val="Calibri"/>
        <family val="2"/>
        <scheme val="minor"/>
      </rPr>
      <t xml:space="preserve"> - Tourist Visa
</t>
    </r>
    <r>
      <rPr>
        <b/>
        <sz val="11"/>
        <color theme="1"/>
        <rFont val="Calibri"/>
        <family val="2"/>
        <scheme val="minor"/>
      </rPr>
      <t>J1</t>
    </r>
    <r>
      <rPr>
        <sz val="11"/>
        <color theme="1"/>
        <rFont val="Calibri"/>
        <family val="2"/>
        <scheme val="minor"/>
      </rPr>
      <t xml:space="preserve"> - Exchange Scholar Visa
</t>
    </r>
    <r>
      <rPr>
        <b/>
        <sz val="11"/>
        <color theme="1"/>
        <rFont val="Calibri"/>
        <family val="2"/>
        <scheme val="minor"/>
      </rPr>
      <t>OV</t>
    </r>
    <r>
      <rPr>
        <sz val="11"/>
        <color theme="1"/>
        <rFont val="Calibri"/>
        <family val="2"/>
        <scheme val="minor"/>
      </rPr>
      <t xml:space="preserve"> - Other Visa
</t>
    </r>
  </si>
  <si>
    <r>
      <t>01</t>
    </r>
    <r>
      <rPr>
        <sz val="11"/>
        <color theme="1"/>
        <rFont val="Calibri"/>
        <family val="2"/>
        <scheme val="minor"/>
      </rPr>
      <t xml:space="preserve"> - Collected as an hourly wage amount
</t>
    </r>
    <r>
      <rPr>
        <b/>
        <sz val="11"/>
        <color theme="1"/>
        <rFont val="Calibri"/>
        <family val="2"/>
        <scheme val="minor"/>
      </rPr>
      <t>02</t>
    </r>
    <r>
      <rPr>
        <sz val="11"/>
        <color theme="1"/>
        <rFont val="Calibri"/>
        <family val="2"/>
        <scheme val="minor"/>
      </rPr>
      <t xml:space="preserve"> - Collected as salary and converted to an hourly wage amount
</t>
    </r>
    <r>
      <rPr>
        <b/>
        <sz val="11"/>
        <color theme="1"/>
        <rFont val="Calibri"/>
        <family val="2"/>
        <scheme val="minor"/>
      </rPr>
      <t>03</t>
    </r>
    <r>
      <rPr>
        <sz val="11"/>
        <color theme="1"/>
        <rFont val="Calibri"/>
        <family val="2"/>
        <scheme val="minor"/>
      </rPr>
      <t xml:space="preserve"> - Collected in both methods but method not tracked on an individual record
</t>
    </r>
    <r>
      <rPr>
        <b/>
        <sz val="11"/>
        <color theme="1"/>
        <rFont val="Calibri"/>
        <family val="2"/>
        <scheme val="minor"/>
      </rPr>
      <t>99</t>
    </r>
    <r>
      <rPr>
        <sz val="11"/>
        <color theme="1"/>
        <rFont val="Calibri"/>
        <family val="2"/>
        <scheme val="minor"/>
      </rPr>
      <t xml:space="preserve"> - Wage data not present
</t>
    </r>
  </si>
  <si>
    <r>
      <t>01</t>
    </r>
    <r>
      <rPr>
        <sz val="11"/>
        <color theme="1"/>
        <rFont val="Calibri"/>
        <family val="2"/>
        <scheme val="minor"/>
      </rPr>
      <t xml:space="preserve"> - Verified
</t>
    </r>
    <r>
      <rPr>
        <b/>
        <sz val="11"/>
        <color theme="1"/>
        <rFont val="Calibri"/>
        <family val="2"/>
        <scheme val="minor"/>
      </rPr>
      <t>02</t>
    </r>
    <r>
      <rPr>
        <sz val="11"/>
        <color theme="1"/>
        <rFont val="Calibri"/>
        <family val="2"/>
        <scheme val="minor"/>
      </rPr>
      <t xml:space="preserve"> - Not verified
</t>
    </r>
    <r>
      <rPr>
        <b/>
        <sz val="11"/>
        <color theme="1"/>
        <rFont val="Calibri"/>
        <family val="2"/>
        <scheme val="minor"/>
      </rPr>
      <t>03</t>
    </r>
    <r>
      <rPr>
        <sz val="11"/>
        <color theme="1"/>
        <rFont val="Calibri"/>
        <family val="2"/>
        <scheme val="minor"/>
      </rPr>
      <t xml:space="preserve"> - Wage data not present
</t>
    </r>
  </si>
  <si>
    <r>
      <t>Firearm</t>
    </r>
    <r>
      <rPr>
        <sz val="11"/>
        <color theme="1"/>
        <rFont val="Calibri"/>
        <family val="2"/>
        <scheme val="minor"/>
      </rPr>
      <t xml:space="preserve"> - Firearm
</t>
    </r>
    <r>
      <rPr>
        <b/>
        <sz val="11"/>
        <color theme="1"/>
        <rFont val="Calibri"/>
        <family val="2"/>
        <scheme val="minor"/>
      </rPr>
      <t>Handgun</t>
    </r>
    <r>
      <rPr>
        <sz val="11"/>
        <color theme="1"/>
        <rFont val="Calibri"/>
        <family val="2"/>
        <scheme val="minor"/>
      </rPr>
      <t xml:space="preserve"> - Handgun
</t>
    </r>
    <r>
      <rPr>
        <b/>
        <sz val="11"/>
        <color theme="1"/>
        <rFont val="Calibri"/>
        <family val="2"/>
        <scheme val="minor"/>
      </rPr>
      <t>Shotgun</t>
    </r>
    <r>
      <rPr>
        <sz val="11"/>
        <color theme="1"/>
        <rFont val="Calibri"/>
        <family val="2"/>
        <scheme val="minor"/>
      </rPr>
      <t xml:space="preserve"> - Shotgun
</t>
    </r>
    <r>
      <rPr>
        <b/>
        <sz val="11"/>
        <color theme="1"/>
        <rFont val="Calibri"/>
        <family val="2"/>
        <scheme val="minor"/>
      </rPr>
      <t>Rifle</t>
    </r>
    <r>
      <rPr>
        <sz val="11"/>
        <color theme="1"/>
        <rFont val="Calibri"/>
        <family val="2"/>
        <scheme val="minor"/>
      </rPr>
      <t xml:space="preserve"> - Rifle
</t>
    </r>
    <r>
      <rPr>
        <b/>
        <sz val="11"/>
        <color theme="1"/>
        <rFont val="Calibri"/>
        <family val="2"/>
        <scheme val="minor"/>
      </rPr>
      <t>OtherFirearm</t>
    </r>
    <r>
      <rPr>
        <sz val="11"/>
        <color theme="1"/>
        <rFont val="Calibri"/>
        <family val="2"/>
        <scheme val="minor"/>
      </rPr>
      <t xml:space="preserve"> - Other Firearm
</t>
    </r>
    <r>
      <rPr>
        <b/>
        <sz val="11"/>
        <color theme="1"/>
        <rFont val="Calibri"/>
        <family val="2"/>
        <scheme val="minor"/>
      </rPr>
      <t>Knife</t>
    </r>
    <r>
      <rPr>
        <sz val="11"/>
        <color theme="1"/>
        <rFont val="Calibri"/>
        <family val="2"/>
        <scheme val="minor"/>
      </rPr>
      <t xml:space="preserve"> - Knife
</t>
    </r>
    <r>
      <rPr>
        <b/>
        <sz val="11"/>
        <color theme="1"/>
        <rFont val="Calibri"/>
        <family val="2"/>
        <scheme val="minor"/>
      </rPr>
      <t>KnifeLessThanTwoPointFiveInches</t>
    </r>
    <r>
      <rPr>
        <sz val="11"/>
        <color theme="1"/>
        <rFont val="Calibri"/>
        <family val="2"/>
        <scheme val="minor"/>
      </rPr>
      <t xml:space="preserve"> - Knife Less Than 2.5 Inches
</t>
    </r>
    <r>
      <rPr>
        <b/>
        <sz val="11"/>
        <color theme="1"/>
        <rFont val="Calibri"/>
        <family val="2"/>
        <scheme val="minor"/>
      </rPr>
      <t>KnifeLessThanThreeInches</t>
    </r>
    <r>
      <rPr>
        <sz val="11"/>
        <color theme="1"/>
        <rFont val="Calibri"/>
        <family val="2"/>
        <scheme val="minor"/>
      </rPr>
      <t xml:space="preserve"> - Knife Less Than Three Inches
</t>
    </r>
    <r>
      <rPr>
        <b/>
        <sz val="11"/>
        <color theme="1"/>
        <rFont val="Calibri"/>
        <family val="2"/>
        <scheme val="minor"/>
      </rPr>
      <t>KnifeGreaterThanThreeInches</t>
    </r>
    <r>
      <rPr>
        <sz val="11"/>
        <color theme="1"/>
        <rFont val="Calibri"/>
        <family val="2"/>
        <scheme val="minor"/>
      </rPr>
      <t xml:space="preserve"> - Knife Greater Than Three Inches
</t>
    </r>
    <r>
      <rPr>
        <b/>
        <sz val="11"/>
        <color theme="1"/>
        <rFont val="Calibri"/>
        <family val="2"/>
        <scheme val="minor"/>
      </rPr>
      <t>OtherSharpObject</t>
    </r>
    <r>
      <rPr>
        <sz val="11"/>
        <color theme="1"/>
        <rFont val="Calibri"/>
        <family val="2"/>
        <scheme val="minor"/>
      </rPr>
      <t xml:space="preserve"> - Other sharp object
</t>
    </r>
    <r>
      <rPr>
        <b/>
        <sz val="11"/>
        <color theme="1"/>
        <rFont val="Calibri"/>
        <family val="2"/>
        <scheme val="minor"/>
      </rPr>
      <t>OtherObject</t>
    </r>
    <r>
      <rPr>
        <sz val="11"/>
        <color theme="1"/>
        <rFont val="Calibri"/>
        <family val="2"/>
        <scheme val="minor"/>
      </rPr>
      <t xml:space="preserve"> - Other object
</t>
    </r>
    <r>
      <rPr>
        <b/>
        <sz val="11"/>
        <color theme="1"/>
        <rFont val="Calibri"/>
        <family val="2"/>
        <scheme val="minor"/>
      </rPr>
      <t>Substance</t>
    </r>
    <r>
      <rPr>
        <sz val="11"/>
        <color theme="1"/>
        <rFont val="Calibri"/>
        <family val="2"/>
        <scheme val="minor"/>
      </rPr>
      <t xml:space="preserve"> - Substance used as weapon
</t>
    </r>
    <r>
      <rPr>
        <b/>
        <sz val="11"/>
        <color theme="1"/>
        <rFont val="Calibri"/>
        <family val="2"/>
        <scheme val="minor"/>
      </rPr>
      <t>OtherWeapon</t>
    </r>
    <r>
      <rPr>
        <sz val="11"/>
        <color theme="1"/>
        <rFont val="Calibri"/>
        <family val="2"/>
        <scheme val="minor"/>
      </rPr>
      <t xml:space="preserve"> - Other weapon
</t>
    </r>
    <r>
      <rPr>
        <b/>
        <sz val="11"/>
        <color theme="1"/>
        <rFont val="Calibri"/>
        <family val="2"/>
        <scheme val="minor"/>
      </rPr>
      <t>None</t>
    </r>
    <r>
      <rPr>
        <sz val="11"/>
        <color theme="1"/>
        <rFont val="Calibri"/>
        <family val="2"/>
        <scheme val="minor"/>
      </rPr>
      <t xml:space="preserve"> - None
</t>
    </r>
    <r>
      <rPr>
        <b/>
        <sz val="11"/>
        <color theme="1"/>
        <rFont val="Calibri"/>
        <family val="2"/>
        <scheme val="minor"/>
      </rPr>
      <t>Unknown</t>
    </r>
    <r>
      <rPr>
        <sz val="11"/>
        <color theme="1"/>
        <rFont val="Calibri"/>
        <family val="2"/>
        <scheme val="minor"/>
      </rPr>
      <t xml:space="preserve"> - Unknown weapon
</t>
    </r>
  </si>
  <si>
    <r>
      <t>Apprenticeship</t>
    </r>
    <r>
      <rPr>
        <sz val="11"/>
        <color theme="1"/>
        <rFont val="Calibri"/>
        <family val="2"/>
        <scheme val="minor"/>
      </rPr>
      <t xml:space="preserve"> - Apprenticeship
</t>
    </r>
    <r>
      <rPr>
        <b/>
        <sz val="11"/>
        <color theme="1"/>
        <rFont val="Calibri"/>
        <family val="2"/>
        <scheme val="minor"/>
      </rPr>
      <t>ClinicalWork</t>
    </r>
    <r>
      <rPr>
        <sz val="11"/>
        <color theme="1"/>
        <rFont val="Calibri"/>
        <family val="2"/>
        <scheme val="minor"/>
      </rPr>
      <t xml:space="preserve"> - Clinical work experience
</t>
    </r>
    <r>
      <rPr>
        <b/>
        <sz val="11"/>
        <color theme="1"/>
        <rFont val="Calibri"/>
        <family val="2"/>
        <scheme val="minor"/>
      </rPr>
      <t>CooperativeEducation</t>
    </r>
    <r>
      <rPr>
        <sz val="11"/>
        <color theme="1"/>
        <rFont val="Calibri"/>
        <family val="2"/>
        <scheme val="minor"/>
      </rPr>
      <t xml:space="preserve"> - Cooperative education
</t>
    </r>
    <r>
      <rPr>
        <b/>
        <sz val="11"/>
        <color theme="1"/>
        <rFont val="Calibri"/>
        <family val="2"/>
        <scheme val="minor"/>
      </rPr>
      <t>JobShadowing</t>
    </r>
    <r>
      <rPr>
        <sz val="11"/>
        <color theme="1"/>
        <rFont val="Calibri"/>
        <family val="2"/>
        <scheme val="minor"/>
      </rPr>
      <t xml:space="preserve"> - Job shadowing
</t>
    </r>
    <r>
      <rPr>
        <b/>
        <sz val="11"/>
        <color theme="1"/>
        <rFont val="Calibri"/>
        <family val="2"/>
        <scheme val="minor"/>
      </rPr>
      <t>Mentorship</t>
    </r>
    <r>
      <rPr>
        <sz val="11"/>
        <color theme="1"/>
        <rFont val="Calibri"/>
        <family val="2"/>
        <scheme val="minor"/>
      </rPr>
      <t xml:space="preserve"> - Mentorship
</t>
    </r>
    <r>
      <rPr>
        <b/>
        <sz val="11"/>
        <color theme="1"/>
        <rFont val="Calibri"/>
        <family val="2"/>
        <scheme val="minor"/>
      </rPr>
      <t>NonPaidInternship</t>
    </r>
    <r>
      <rPr>
        <sz val="11"/>
        <color theme="1"/>
        <rFont val="Calibri"/>
        <family val="2"/>
        <scheme val="minor"/>
      </rPr>
      <t xml:space="preserve"> - Non-Paid Internship
</t>
    </r>
    <r>
      <rPr>
        <b/>
        <sz val="11"/>
        <color theme="1"/>
        <rFont val="Calibri"/>
        <family val="2"/>
        <scheme val="minor"/>
      </rPr>
      <t>OnTheJob</t>
    </r>
    <r>
      <rPr>
        <sz val="11"/>
        <color theme="1"/>
        <rFont val="Calibri"/>
        <family val="2"/>
        <scheme val="minor"/>
      </rPr>
      <t xml:space="preserve"> - On-the-Job
</t>
    </r>
    <r>
      <rPr>
        <b/>
        <sz val="11"/>
        <color theme="1"/>
        <rFont val="Calibri"/>
        <family val="2"/>
        <scheme val="minor"/>
      </rPr>
      <t>PaidInternship</t>
    </r>
    <r>
      <rPr>
        <sz val="11"/>
        <color theme="1"/>
        <rFont val="Calibri"/>
        <family val="2"/>
        <scheme val="minor"/>
      </rPr>
      <t xml:space="preserve"> - Paid internship
</t>
    </r>
    <r>
      <rPr>
        <b/>
        <sz val="11"/>
        <color theme="1"/>
        <rFont val="Calibri"/>
        <family val="2"/>
        <scheme val="minor"/>
      </rPr>
      <t>ServiceLearning</t>
    </r>
    <r>
      <rPr>
        <sz val="11"/>
        <color theme="1"/>
        <rFont val="Calibri"/>
        <family val="2"/>
        <scheme val="minor"/>
      </rPr>
      <t xml:space="preserve"> - Service learning
</t>
    </r>
    <r>
      <rPr>
        <b/>
        <sz val="11"/>
        <color theme="1"/>
        <rFont val="Calibri"/>
        <family val="2"/>
        <scheme val="minor"/>
      </rPr>
      <t>SupervisedAgricultural</t>
    </r>
    <r>
      <rPr>
        <sz val="11"/>
        <color theme="1"/>
        <rFont val="Calibri"/>
        <family val="2"/>
        <scheme val="minor"/>
      </rPr>
      <t xml:space="preserve"> - Supervised agricultural experience
</t>
    </r>
    <r>
      <rPr>
        <b/>
        <sz val="11"/>
        <color theme="1"/>
        <rFont val="Calibri"/>
        <family val="2"/>
        <scheme val="minor"/>
      </rPr>
      <t>UnpaidInternship</t>
    </r>
    <r>
      <rPr>
        <sz val="11"/>
        <color theme="1"/>
        <rFont val="Calibri"/>
        <family val="2"/>
        <scheme val="minor"/>
      </rPr>
      <t xml:space="preserve"> - Unpaid internship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</si>
  <si>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Labor Exchange Services
</t>
    </r>
    <r>
      <rPr>
        <b/>
        <sz val="11"/>
        <color theme="1"/>
        <rFont val="Calibri"/>
        <family val="2"/>
        <scheme val="minor"/>
      </rPr>
      <t>02</t>
    </r>
    <r>
      <rPr>
        <sz val="11"/>
        <color theme="1"/>
        <rFont val="Calibri"/>
        <family val="2"/>
        <scheme val="minor"/>
      </rPr>
      <t xml:space="preserve"> - Adult Workforce Investment Act Program
</t>
    </r>
    <r>
      <rPr>
        <b/>
        <sz val="11"/>
        <color theme="1"/>
        <rFont val="Calibri"/>
        <family val="2"/>
        <scheme val="minor"/>
      </rPr>
      <t>03</t>
    </r>
    <r>
      <rPr>
        <sz val="11"/>
        <color theme="1"/>
        <rFont val="Calibri"/>
        <family val="2"/>
        <scheme val="minor"/>
      </rPr>
      <t xml:space="preserve"> - Dislocated Worker Workforce Investment Act Program
</t>
    </r>
    <r>
      <rPr>
        <b/>
        <sz val="11"/>
        <color theme="1"/>
        <rFont val="Calibri"/>
        <family val="2"/>
        <scheme val="minor"/>
      </rPr>
      <t>04</t>
    </r>
    <r>
      <rPr>
        <sz val="11"/>
        <color theme="1"/>
        <rFont val="Calibri"/>
        <family val="2"/>
        <scheme val="minor"/>
      </rPr>
      <t xml:space="preserve"> - Youth Workforce Investment Act Program
</t>
    </r>
    <r>
      <rPr>
        <b/>
        <sz val="11"/>
        <color theme="1"/>
        <rFont val="Calibri"/>
        <family val="2"/>
        <scheme val="minor"/>
      </rPr>
      <t>05</t>
    </r>
    <r>
      <rPr>
        <sz val="11"/>
        <color theme="1"/>
        <rFont val="Calibri"/>
        <family val="2"/>
        <scheme val="minor"/>
      </rPr>
      <t xml:space="preserve"> - Job Corps
</t>
    </r>
    <r>
      <rPr>
        <b/>
        <sz val="11"/>
        <color theme="1"/>
        <rFont val="Calibri"/>
        <family val="2"/>
        <scheme val="minor"/>
      </rPr>
      <t>06</t>
    </r>
    <r>
      <rPr>
        <sz val="11"/>
        <color theme="1"/>
        <rFont val="Calibri"/>
        <family val="2"/>
        <scheme val="minor"/>
      </rPr>
      <t xml:space="preserve"> - Adult Education and Literacy
</t>
    </r>
    <r>
      <rPr>
        <b/>
        <sz val="11"/>
        <color theme="1"/>
        <rFont val="Calibri"/>
        <family val="2"/>
        <scheme val="minor"/>
      </rPr>
      <t>07</t>
    </r>
    <r>
      <rPr>
        <sz val="11"/>
        <color theme="1"/>
        <rFont val="Calibri"/>
        <family val="2"/>
        <scheme val="minor"/>
      </rPr>
      <t xml:space="preserve"> - National Farmworker Jobs Program
</t>
    </r>
    <r>
      <rPr>
        <b/>
        <sz val="11"/>
        <color theme="1"/>
        <rFont val="Calibri"/>
        <family val="2"/>
        <scheme val="minor"/>
      </rPr>
      <t>08</t>
    </r>
    <r>
      <rPr>
        <sz val="11"/>
        <color theme="1"/>
        <rFont val="Calibri"/>
        <family val="2"/>
        <scheme val="minor"/>
      </rPr>
      <t xml:space="preserve"> - Indian and Native American Programs
</t>
    </r>
    <r>
      <rPr>
        <b/>
        <sz val="11"/>
        <color theme="1"/>
        <rFont val="Calibri"/>
        <family val="2"/>
        <scheme val="minor"/>
      </rPr>
      <t>09</t>
    </r>
    <r>
      <rPr>
        <sz val="11"/>
        <color theme="1"/>
        <rFont val="Calibri"/>
        <family val="2"/>
        <scheme val="minor"/>
      </rPr>
      <t xml:space="preserve"> - Veteran's Programs
</t>
    </r>
    <r>
      <rPr>
        <b/>
        <sz val="11"/>
        <color theme="1"/>
        <rFont val="Calibri"/>
        <family val="2"/>
        <scheme val="minor"/>
      </rPr>
      <t>10</t>
    </r>
    <r>
      <rPr>
        <sz val="11"/>
        <color theme="1"/>
        <rFont val="Calibri"/>
        <family val="2"/>
        <scheme val="minor"/>
      </rPr>
      <t xml:space="preserve"> - Trade Adjustment Assistance Program
</t>
    </r>
    <r>
      <rPr>
        <b/>
        <sz val="11"/>
        <color theme="1"/>
        <rFont val="Calibri"/>
        <family val="2"/>
        <scheme val="minor"/>
      </rPr>
      <t>11</t>
    </r>
    <r>
      <rPr>
        <sz val="11"/>
        <color theme="1"/>
        <rFont val="Calibri"/>
        <family val="2"/>
        <scheme val="minor"/>
      </rPr>
      <t xml:space="preserve"> - YouthBuild Program
</t>
    </r>
    <r>
      <rPr>
        <b/>
        <sz val="11"/>
        <color theme="1"/>
        <rFont val="Calibri"/>
        <family val="2"/>
        <scheme val="minor"/>
      </rPr>
      <t>12</t>
    </r>
    <r>
      <rPr>
        <sz val="11"/>
        <color theme="1"/>
        <rFont val="Calibri"/>
        <family val="2"/>
        <scheme val="minor"/>
      </rPr>
      <t xml:space="preserve"> - Title V Older Worker Program
</t>
    </r>
    <r>
      <rPr>
        <b/>
        <sz val="11"/>
        <color theme="1"/>
        <rFont val="Calibri"/>
        <family val="2"/>
        <scheme val="minor"/>
      </rPr>
      <t>13</t>
    </r>
    <r>
      <rPr>
        <sz val="11"/>
        <color theme="1"/>
        <rFont val="Calibri"/>
        <family val="2"/>
        <scheme val="minor"/>
      </rPr>
      <t xml:space="preserve"> - Registered Apprenticeship
</t>
    </r>
    <r>
      <rPr>
        <b/>
        <sz val="11"/>
        <color theme="1"/>
        <rFont val="Calibri"/>
        <family val="2"/>
        <scheme val="minor"/>
      </rPr>
      <t>14</t>
    </r>
    <r>
      <rPr>
        <sz val="11"/>
        <color theme="1"/>
        <rFont val="Calibri"/>
        <family val="2"/>
        <scheme val="minor"/>
      </rPr>
      <t xml:space="preserve"> - Non-traditional Apprenticeship
</t>
    </r>
    <r>
      <rPr>
        <b/>
        <sz val="11"/>
        <color theme="1"/>
        <rFont val="Calibri"/>
        <family val="2"/>
        <scheme val="minor"/>
      </rPr>
      <t>15</t>
    </r>
    <r>
      <rPr>
        <sz val="11"/>
        <color theme="1"/>
        <rFont val="Calibri"/>
        <family val="2"/>
        <scheme val="minor"/>
      </rPr>
      <t xml:space="preserve"> - Vocational Rehabilitation
</t>
    </r>
    <r>
      <rPr>
        <b/>
        <sz val="11"/>
        <color theme="1"/>
        <rFont val="Calibri"/>
        <family val="2"/>
        <scheme val="minor"/>
      </rPr>
      <t>16</t>
    </r>
    <r>
      <rPr>
        <sz val="11"/>
        <color theme="1"/>
        <rFont val="Calibri"/>
        <family val="2"/>
        <scheme val="minor"/>
      </rPr>
      <t xml:space="preserve"> - Food Stamp Employment and Training Program
</t>
    </r>
    <r>
      <rPr>
        <b/>
        <sz val="11"/>
        <color theme="1"/>
        <rFont val="Calibri"/>
        <family val="2"/>
        <scheme val="minor"/>
      </rPr>
      <t>17</t>
    </r>
    <r>
      <rPr>
        <sz val="11"/>
        <color theme="1"/>
        <rFont val="Calibri"/>
        <family val="2"/>
        <scheme val="minor"/>
      </rPr>
      <t xml:space="preserve"> - TANF Employment and Training Program
</t>
    </r>
    <r>
      <rPr>
        <b/>
        <sz val="11"/>
        <color theme="1"/>
        <rFont val="Calibri"/>
        <family val="2"/>
        <scheme val="minor"/>
      </rPr>
      <t>18</t>
    </r>
    <r>
      <rPr>
        <sz val="11"/>
        <color theme="1"/>
        <rFont val="Calibri"/>
        <family val="2"/>
        <scheme val="minor"/>
      </rPr>
      <t xml:space="preserve"> - Other On-The-Job training Program
</t>
    </r>
    <r>
      <rPr>
        <b/>
        <sz val="11"/>
        <color theme="1"/>
        <rFont val="Calibri"/>
        <family val="2"/>
        <scheme val="minor"/>
      </rPr>
      <t>19</t>
    </r>
    <r>
      <rPr>
        <sz val="11"/>
        <color theme="1"/>
        <rFont val="Calibri"/>
        <family val="2"/>
        <scheme val="minor"/>
      </rPr>
      <t xml:space="preserve"> - Other Workforce Related Employment and Training Program
</t>
    </r>
    <r>
      <rPr>
        <b/>
        <sz val="11"/>
        <color theme="1"/>
        <rFont val="Calibri"/>
        <family val="2"/>
        <scheme val="minor"/>
      </rPr>
      <t>99</t>
    </r>
    <r>
      <rPr>
        <sz val="11"/>
        <color theme="1"/>
        <rFont val="Calibri"/>
        <family val="2"/>
        <scheme val="minor"/>
      </rPr>
      <t xml:space="preserve"> - No identified services
</t>
    </r>
  </si>
  <si>
    <t>Element Name</t>
  </si>
  <si>
    <t>Definition</t>
  </si>
  <si>
    <t>Option Set</t>
  </si>
  <si>
    <t>Domain -&gt; Entity -&gt; Category</t>
  </si>
  <si>
    <t>Status</t>
  </si>
  <si>
    <t>Format</t>
  </si>
  <si>
    <t>Change Notes</t>
  </si>
  <si>
    <t>Usage Notes</t>
  </si>
  <si>
    <t>Global ID</t>
  </si>
  <si>
    <t>Alternate Name</t>
  </si>
  <si>
    <t>Technical Name</t>
  </si>
  <si>
    <t>URL</t>
  </si>
  <si>
    <t>Submit a Comment</t>
  </si>
  <si>
    <t>Use Case(s)</t>
  </si>
  <si>
    <t>Domain</t>
  </si>
  <si>
    <t>Entity</t>
  </si>
  <si>
    <t>Category</t>
  </si>
  <si>
    <t>Submit Comment</t>
  </si>
  <si>
    <t>Early Learning</t>
  </si>
  <si>
    <t>EL Child</t>
  </si>
  <si>
    <t>Identity-&gt;Name</t>
  </si>
  <si>
    <t>Identity-&gt;Other Name</t>
  </si>
  <si>
    <t>Identity-&gt;Identification</t>
  </si>
  <si>
    <t>Contact-&gt;Address</t>
  </si>
  <si>
    <t>Contact-&gt;Telephone</t>
  </si>
  <si>
    <t>Demographic</t>
  </si>
  <si>
    <t>Referral</t>
  </si>
  <si>
    <t>EL Health Information</t>
  </si>
  <si>
    <t>EL Health Information-&gt;Immunization</t>
  </si>
  <si>
    <t>EL Health Information-&gt;Vision</t>
  </si>
  <si>
    <t>EL Health Information-&gt;Hearing</t>
  </si>
  <si>
    <t>EL Health Information-&gt;Dental</t>
  </si>
  <si>
    <t>EL Health Information-&gt;Insurance</t>
  </si>
  <si>
    <t>EL Health Information-&gt;Birth</t>
  </si>
  <si>
    <t>Developmental Assessments</t>
  </si>
  <si>
    <t>Eligibility</t>
  </si>
  <si>
    <t>Language</t>
  </si>
  <si>
    <t>IDEA</t>
  </si>
  <si>
    <t>EL Educational Experiences</t>
  </si>
  <si>
    <t>EL Educational Experiences-&gt;Special Education</t>
  </si>
  <si>
    <t>Finance</t>
  </si>
  <si>
    <t>Services</t>
  </si>
  <si>
    <t>Individualized Program</t>
  </si>
  <si>
    <t>Child Outcome Summary</t>
  </si>
  <si>
    <t>Parent/Guardian</t>
  </si>
  <si>
    <t>Contact-&gt;Email</t>
  </si>
  <si>
    <t>Education</t>
  </si>
  <si>
    <t>EL Family</t>
  </si>
  <si>
    <t>Identifier</t>
  </si>
  <si>
    <t>Family/Household Information</t>
  </si>
  <si>
    <t>EL Organization</t>
  </si>
  <si>
    <t>Name</t>
  </si>
  <si>
    <t>Address</t>
  </si>
  <si>
    <t>Telephone</t>
  </si>
  <si>
    <t>Licensing</t>
  </si>
  <si>
    <t>Organization Characteristics</t>
  </si>
  <si>
    <t>QRIS Rating</t>
  </si>
  <si>
    <t>Facility</t>
  </si>
  <si>
    <t>Monitoring</t>
  </si>
  <si>
    <t>Accreditation</t>
  </si>
  <si>
    <t>Policies</t>
  </si>
  <si>
    <t>Cultural and Linguistic Diversity</t>
  </si>
  <si>
    <t>Health Promotion</t>
  </si>
  <si>
    <t>Inclusion</t>
  </si>
  <si>
    <t>Organization Information</t>
  </si>
  <si>
    <t>Parental/Family Involvement</t>
  </si>
  <si>
    <t>Compensation</t>
  </si>
  <si>
    <t>Professional Development</t>
  </si>
  <si>
    <t>Site Level Characteristics</t>
  </si>
  <si>
    <t>Program Characteristics</t>
  </si>
  <si>
    <t>Quality</t>
  </si>
  <si>
    <t>EL Staff</t>
  </si>
  <si>
    <t>Identity-&gt;Identifier</t>
  </si>
  <si>
    <t>Employment</t>
  </si>
  <si>
    <t>Credential</t>
  </si>
  <si>
    <t>License</t>
  </si>
  <si>
    <t>Professional Development-&gt;Instructor</t>
  </si>
  <si>
    <t>Professional Development Event</t>
  </si>
  <si>
    <t>Professional Development Activity</t>
  </si>
  <si>
    <t>Professional Development Activity-&gt;Session</t>
  </si>
  <si>
    <t>Professional Development Activity-&gt;Session - Location</t>
  </si>
  <si>
    <t>Early Learning Program</t>
  </si>
  <si>
    <t>EL Class/Group</t>
  </si>
  <si>
    <t>Identification</t>
  </si>
  <si>
    <t>Structure</t>
  </si>
  <si>
    <t>Population</t>
  </si>
  <si>
    <t>Curriculum</t>
  </si>
  <si>
    <t>Assessments</t>
  </si>
  <si>
    <t>Assessment Design</t>
  </si>
  <si>
    <t>Assessment Administration</t>
  </si>
  <si>
    <t>Assessment Result</t>
  </si>
  <si>
    <t>K12</t>
  </si>
  <si>
    <t>K12 School</t>
  </si>
  <si>
    <t>Directory</t>
  </si>
  <si>
    <t>Institution Characteristics</t>
  </si>
  <si>
    <t>Accountability</t>
  </si>
  <si>
    <t>Federal Funds</t>
  </si>
  <si>
    <t>Session</t>
  </si>
  <si>
    <t>Technical Assistance</t>
  </si>
  <si>
    <t>LEA</t>
  </si>
  <si>
    <t>Program Specific Federal Reporting</t>
  </si>
  <si>
    <t>Safe and Drug Free Program</t>
  </si>
  <si>
    <t>Programs and Services</t>
  </si>
  <si>
    <t>SEA</t>
  </si>
  <si>
    <t>Contact</t>
  </si>
  <si>
    <t>Contact-&gt;Name</t>
  </si>
  <si>
    <t>Contact-&gt;Other Name</t>
  </si>
  <si>
    <t>K12 Student</t>
  </si>
  <si>
    <t>Enrollment</t>
  </si>
  <si>
    <t>Academic Record</t>
  </si>
  <si>
    <t>Attendance</t>
  </si>
  <si>
    <t>CTE</t>
  </si>
  <si>
    <t>Disability</t>
  </si>
  <si>
    <t>Discipline</t>
  </si>
  <si>
    <t>Economically Disadvantaged</t>
  </si>
  <si>
    <t>Homeless</t>
  </si>
  <si>
    <t>Immigrant</t>
  </si>
  <si>
    <t>Limited English Proficiency</t>
  </si>
  <si>
    <t>Migrant</t>
  </si>
  <si>
    <t>Neglected or Delinquent</t>
  </si>
  <si>
    <t>Program</t>
  </si>
  <si>
    <t>Title I</t>
  </si>
  <si>
    <t>Health</t>
  </si>
  <si>
    <t>Relationship</t>
  </si>
  <si>
    <t>K12 Staff</t>
  </si>
  <si>
    <t>Assignment</t>
  </si>
  <si>
    <t>K12 Course</t>
  </si>
  <si>
    <t>Course Section</t>
  </si>
  <si>
    <t>Course</t>
  </si>
  <si>
    <t>Enrollment-&gt;Student Class Section Mark</t>
  </si>
  <si>
    <t>Staff</t>
  </si>
  <si>
    <t>Teacher Student Data Link Exclusion</t>
  </si>
  <si>
    <t>Organization</t>
  </si>
  <si>
    <t>Assessment</t>
  </si>
  <si>
    <t>Assessment Family</t>
  </si>
  <si>
    <t>Assessment Form</t>
  </si>
  <si>
    <t>Assessment Form-&gt;Assessment Form Section</t>
  </si>
  <si>
    <t>Assessment Form-&gt;Assessment Form Subtest Assessment Item</t>
  </si>
  <si>
    <t>Assessment Session</t>
  </si>
  <si>
    <t>Assessment Item</t>
  </si>
  <si>
    <t>Assessment Item-&gt;Assessment Item Possible Response</t>
  </si>
  <si>
    <t>Assessment Item-&gt;Assessment Item Response</t>
  </si>
  <si>
    <t>Assessment Item-&gt;Assessment Item Response Theory</t>
  </si>
  <si>
    <t>Assessment Item-&gt;Assessment Item Body Custom Interaction</t>
  </si>
  <si>
    <t>Assessment Item-&gt;Assessment Item Characteristic</t>
  </si>
  <si>
    <t>Assessment Item-&gt;Assessment Item APIP</t>
  </si>
  <si>
    <t>Assessment Item-&gt;Assessment Item APIP Interaction</t>
  </si>
  <si>
    <t>Assessment Asset</t>
  </si>
  <si>
    <t>Assessment Subtest</t>
  </si>
  <si>
    <t>Assessment Subtest Result</t>
  </si>
  <si>
    <t>Assessment Registration</t>
  </si>
  <si>
    <t>Assessment Personal Needs Profile</t>
  </si>
  <si>
    <t>Assessment Personal Needs Profile-&gt;Assessment Need Profile Content</t>
  </si>
  <si>
    <t>Assessment Personal Needs Profile-&gt;Assessment Need Profile Control</t>
  </si>
  <si>
    <t>Assessment Personal Needs Profile-&gt;Assessment Need Profile Display</t>
  </si>
  <si>
    <t>Assessment Personal Needs Profile-&gt;Assessment Need Screen Enhancement</t>
  </si>
  <si>
    <t>Assessment Participant Session</t>
  </si>
  <si>
    <t>Achievement</t>
  </si>
  <si>
    <t>Learning Goal</t>
  </si>
  <si>
    <t>Learning Standard Item</t>
  </si>
  <si>
    <t>Learner Action</t>
  </si>
  <si>
    <t>Learner Activity</t>
  </si>
  <si>
    <t>Assessment Performance Level</t>
  </si>
  <si>
    <t>Rubric</t>
  </si>
  <si>
    <t>Incident</t>
  </si>
  <si>
    <t>Calendar</t>
  </si>
  <si>
    <t>Period</t>
  </si>
  <si>
    <t>Crisis</t>
  </si>
  <si>
    <t>Event</t>
  </si>
  <si>
    <t>Learning Resource</t>
  </si>
  <si>
    <t>Peer Rating</t>
  </si>
  <si>
    <t>Peer Rating System</t>
  </si>
  <si>
    <t>Postsecondary</t>
  </si>
  <si>
    <t>PS Institution</t>
  </si>
  <si>
    <t>IPEDS Reporting</t>
  </si>
  <si>
    <t>PS Student</t>
  </si>
  <si>
    <t>Application</t>
  </si>
  <si>
    <t>Financial Aid</t>
  </si>
  <si>
    <t>Graduate Student</t>
  </si>
  <si>
    <t>Graduate Student-&gt;Thesis/Dissertation Advisor</t>
  </si>
  <si>
    <t>Teacher Education/Preparation</t>
  </si>
  <si>
    <t>K12 Transcript</t>
  </si>
  <si>
    <t>PS Section</t>
  </si>
  <si>
    <t>Enrollment-&gt;Student Course Section Mark</t>
  </si>
  <si>
    <t>Instructor</t>
  </si>
  <si>
    <t>PS Staff</t>
  </si>
  <si>
    <t>PS Applicant</t>
  </si>
  <si>
    <t>Career and Technical</t>
  </si>
  <si>
    <t>CTE Student</t>
  </si>
  <si>
    <t>Program Participation</t>
  </si>
  <si>
    <t>Career Education Plan</t>
  </si>
  <si>
    <t>CTE Staff</t>
  </si>
  <si>
    <t>Adult Education</t>
  </si>
  <si>
    <t>AE Student</t>
  </si>
  <si>
    <t>AE Staff</t>
  </si>
  <si>
    <t>Certification</t>
  </si>
  <si>
    <t>Experience</t>
  </si>
  <si>
    <t>AE Provider</t>
  </si>
  <si>
    <t>Workforce</t>
  </si>
  <si>
    <t>Workforce Program Participant</t>
  </si>
  <si>
    <t>Quarterly Employment Record</t>
  </si>
  <si>
    <t>Assessment Form Section</t>
  </si>
  <si>
    <t>Assessment Form Subtest Assessment Item</t>
  </si>
  <si>
    <t>Assessment Item Possible Response</t>
  </si>
  <si>
    <t>Assessment Item Response</t>
  </si>
  <si>
    <t>Assessment Item Response Theory</t>
  </si>
  <si>
    <t>Assessment Item Body Custom Interaction</t>
  </si>
  <si>
    <t>Assessment Item Characteristic</t>
  </si>
  <si>
    <t>Assessment Item APIP</t>
  </si>
  <si>
    <t>Assessment Item APIP Interaction</t>
  </si>
  <si>
    <t>Assessment Need Profile Content</t>
  </si>
  <si>
    <t>Assessment Need Profile Control</t>
  </si>
  <si>
    <t>Assessment Need Profile Display</t>
  </si>
  <si>
    <t>Assessment Need Screen Enhancement</t>
  </si>
  <si>
    <t>Learning Standards</t>
  </si>
  <si>
    <t>Learning Standard Document</t>
  </si>
  <si>
    <t>Learning Resource Competency Alignment</t>
  </si>
  <si>
    <t>Learning Standard Item-&gt;Learning Standard Item Association</t>
  </si>
  <si>
    <t>Competency Set</t>
  </si>
  <si>
    <t>Learning Standard Item Association</t>
  </si>
  <si>
    <t>Learning Resources</t>
  </si>
  <si>
    <t>Authentication and Authorization</t>
  </si>
  <si>
    <t>Authentication Identity Provider</t>
  </si>
  <si>
    <t>Authorization Application</t>
  </si>
  <si>
    <t>NCES Handbooks</t>
  </si>
  <si>
    <t>Accountability Focus</t>
  </si>
  <si>
    <t>A description of the educational unit under evaluation for accountability.</t>
  </si>
  <si>
    <t>0010</t>
  </si>
  <si>
    <t>AN</t>
  </si>
  <si>
    <t>60</t>
  </si>
  <si>
    <t>No Options
   00996 - No option list available</t>
  </si>
  <si>
    <t>Accountability Interventions</t>
  </si>
  <si>
    <t>A description of the interventions as a result of the accountability results.</t>
  </si>
  <si>
    <t>0011</t>
  </si>
  <si>
    <t>ID</t>
  </si>
  <si>
    <t>5</t>
  </si>
  <si>
    <t>Accountability Interventions
   00396 - Improvement planning
   00398 - Professional development
   00401 - Provide additional assistance to schools (e.g., Title I)
   00402 - Provide additional financial resources to low performing units
   00397 - Strategic planning
   09999 - Other</t>
  </si>
  <si>
    <t>Accountability Report Producing Organization</t>
  </si>
  <si>
    <t>The name of the organization that produced the accountability report.</t>
  </si>
  <si>
    <t>0012</t>
  </si>
  <si>
    <t>Accountability Report Producing Organization Type</t>
  </si>
  <si>
    <t>The type of organization that produced the accountability report.</t>
  </si>
  <si>
    <t>0842</t>
  </si>
  <si>
    <t>Accountability Report Producing Organization Type
   00797 - Federal government
   00860 - State agency
   00214 - Regional or intermediate educational agency
   00862 - Local (e.g., school board, city council, municipal board)
   00675 - School
   00864 - Private/Religious</t>
  </si>
  <si>
    <t>Accountability Rewards</t>
  </si>
  <si>
    <t>A description of the rewards as a result of the accountability results.</t>
  </si>
  <si>
    <t>0014</t>
  </si>
  <si>
    <t>Accountability Rewards
   02362 - Non-monetary awards to staff
   00404 - Monetary awards
   00405 - Exemption from regulations
   00406 - Accreditation
   00407 - Direct monetary awards to staff members
   00408 - Staff salary increases
   09999 - Other</t>
  </si>
  <si>
    <t>Accountability Sanctions</t>
  </si>
  <si>
    <t>A description of the sanctions as a result of the accountability results.</t>
  </si>
  <si>
    <t>0015</t>
  </si>
  <si>
    <t>Accountability Sanctions
   00897 - Warning
   00898 - Probation or watch lists
   00899 - Monetary penalties to units
   00900 - Management change
   00901 - Accreditation change
   00903 - Dissolving the educational unit
   00904 - Staff dismissal
   00905 - Staff monetary penalties
   00908 - Loss of charter
   09999 - Other</t>
  </si>
  <si>
    <t>Accreditation Status</t>
  </si>
  <si>
    <t>An indication as to whether the organization has been accredited by an outside accrediting agency. The accreditation process generally includes a review of an organization's educational program and staff for quality, and concludes with certification (or not) that the organization meets a minimal set of standards.</t>
  </si>
  <si>
    <t>1121</t>
  </si>
  <si>
    <t>Yes/No
   00002 - Yes
   00232 - No</t>
  </si>
  <si>
    <t>Acquisition Date</t>
  </si>
  <si>
    <t>The date the property/facility was acquired.</t>
  </si>
  <si>
    <t>1876</t>
  </si>
  <si>
    <t>DT</t>
  </si>
  <si>
    <t>8</t>
  </si>
  <si>
    <t>Activity Curriculum Type</t>
  </si>
  <si>
    <t>An indication of the degree that an activity is related to a student''s curriculum.</t>
  </si>
  <si>
    <t>0024</t>
  </si>
  <si>
    <t>Activity Type
   00750 - Co-curricular activity
   00751 - Extra-curricular Activity</t>
  </si>
  <si>
    <t>Activity Description</t>
  </si>
  <si>
    <t>The description of a particular co-curricular or extra-curricular activity in which the individual is involved.</t>
  </si>
  <si>
    <t>0020</t>
  </si>
  <si>
    <t>80</t>
  </si>
  <si>
    <t>Activity Level</t>
  </si>
  <si>
    <t>A description of the separation of level in the activity.</t>
  </si>
  <si>
    <t>0021</t>
  </si>
  <si>
    <t>35</t>
  </si>
  <si>
    <t>Activity Level
   08681 - Varsity
   08682 - Junior Varsity
   08683 - Freshman
   08684 - Sophomore
   08685 - Junior
   08686 - Senior
   08687 - Intramural 
   08688 - Honors
   09999 - Other</t>
  </si>
  <si>
    <t>Activity Time</t>
  </si>
  <si>
    <t>An indication of the time of day the activity takes place.</t>
  </si>
  <si>
    <t>0022</t>
  </si>
  <si>
    <t>Activity Time
   00736 - Before school hours
   00934 - After school hours
   00935 - During school hours</t>
  </si>
  <si>
    <t>Activity Type</t>
  </si>
  <si>
    <t>The type of co-curricular or extra-curricular activity.</t>
  </si>
  <si>
    <t>0679</t>
  </si>
  <si>
    <t>Activity List
   00628 - Archery
   00629 - Badminton
   00630 - Baseball
   00631 - Basketball
   00633 - Bowling
   00634 - Boxing
   00667 - Cheerleading
   00635 - Crew
   00636 - Cross country
   00637 - Diving
   00639 - Fencing
   00638 - Field hockey
   08667 - Flag football
   00640 - Football
   00641 - Golf
   00642 - Gymnastics
   00644 - Ice hockey
   08668 - Judo
   00645 - Lacrosse
   00646 - Martial arts
   00647 - Polo
   08669 - Power lifting
   00648 - Racquetball
   00664 - Rodeo
   00649 - Rugby
   00650 - Sailing
   08670 - School spirit/Pep club
   00665 - Scuba diving
   00651 - Skiing
   00652 - Soccer
   00653 - Softball
   00655 - Squash
   00656 - Swimming
   00657 - Synchronized swimming
   00658 - Team handball
   00659 - Tennis
   00660 - Track and field
   00661 - Volleyball
   00662 - Water polo
   00663 - Wrestling
   00668 - Other sport
   00677 - Band
   00680 - Chorus
   00679 - Jazz ensemble
   00674 - Music - instrumental
   00676 - Music - theory and composition
   00673 - Music - vocal
   00678 - Orchestra
   00681 - Other music
   00684 - Dance
   00685 - Dance team
   00696 - Drama club
   00688 - Drill team
   00682 - Theater/drama
   00734 - Thespian Society
   00689 - Other performing arts
   00721 - 4 H
   00729 - Academic team/knowledge bowl
   00683 - Art and graphic design
   00700 - Art club
   08671 - Astronomy club
   00718 - Boy Scouts
   00691 - Broadcasting
   00713 - Business Professionals of America
   00722 - Chess club
   00701 - Computer club
   00707 - Distributive Education Clubs of America (DECA)
   08672 - Environmental club
   00705 - Family, Career and Community Leaders of America
   00694 - Family consumer science
   00724 - Fraternity
   00702 - Future Business Leaders of America - Phi Beta Lambda (FBLA - PBL)
   00703 - Future Teachers of America
   00719 - Girl Scouts
   00706 - Health Occupations Students of America
   01986 - Honor society
   00690 - Journalism
   00717 - Key Club
   00697 - Language club
   00693 - Literary magazine
   00726 - National Forensic League
   00704 - National Future Farmers of America (FFA)
   08673 - Newspaper
   08674 - Model United Nations
   00714 - Peer counseling
   08675 - Religious/Faith
   08676 - Red Cross
   00699 - Science club
   08677 - Service club
   00723 - Sorority
   00695 - Speech/debate
   08678 - Stock market club
   00716 - Students Against Destructive Decisions (SADD)
   08679 - Student Council/Government
   00708 - Technology Student Association (TSA)
   00715 - Tutoring
   00712 - Vocational Industrial Clubs of America
   00692 - Year book
   08680 - Young Democrats/Republicans/Other political
   09999 - Other</t>
  </si>
  <si>
    <t>Actual Use Date</t>
  </si>
  <si>
    <t>The month, day, and year on which a benefit will be paid off in a lump-sum payment or distributed in installments to an individual.</t>
  </si>
  <si>
    <t>0517</t>
  </si>
  <si>
    <t>Addition Year</t>
  </si>
  <si>
    <t>The year the construction on the addition was completed.</t>
  </si>
  <si>
    <t>1518</t>
  </si>
  <si>
    <t>N</t>
  </si>
  <si>
    <t>4</t>
  </si>
  <si>
    <t>Additional Compensation Type</t>
  </si>
  <si>
    <t>An indication of the category of income, wages, or benefits an individual receives as compensation for service in compliance with the employment agreement.</t>
  </si>
  <si>
    <t>0498</t>
  </si>
  <si>
    <t>Other Compensation Type
   01467 - Supplement pay/compensation
   01468 - Fringe benefit
   01469 - In-kind compensation
   09999 - Other</t>
  </si>
  <si>
    <t>Additional Geographic Designation</t>
  </si>
  <si>
    <t>Any additional relevant description, beyond locale code or geo-coding, for a geographical location.</t>
  </si>
  <si>
    <t>0202</t>
  </si>
  <si>
    <t>Additional Special Health Needs, Information, or Instructions</t>
  </si>
  <si>
    <t>The description or detailed specific instructions (beyond what has already been included) regarding an individual''s medical or dental treatment as directed by the individual or his or her parents/guardian, or health care provider.</t>
  </si>
  <si>
    <t>0351</t>
  </si>
  <si>
    <t>Adequate Yearly Progress Failure Begin Date</t>
  </si>
  <si>
    <t>The month, day, and year on which the education institution fails to meet AYP standards.</t>
  </si>
  <si>
    <t>0026</t>
  </si>
  <si>
    <t>Adequate Yearly Progress Met Date</t>
  </si>
  <si>
    <t>The month, day, and year on which the education institution meets AYP standards.</t>
  </si>
  <si>
    <t>0027</t>
  </si>
  <si>
    <t>Adjusted Income Amount</t>
  </si>
  <si>
    <t>The amount of income and supplemental pay earned after deductions for the specific time period.</t>
  </si>
  <si>
    <t>0524</t>
  </si>
  <si>
    <t>R</t>
  </si>
  <si>
    <t>6.2</t>
  </si>
  <si>
    <t>Administrative Space Type</t>
  </si>
  <si>
    <t>The space designed primarily for conducting administrative and business functions.</t>
  </si>
  <si>
    <t>0937</t>
  </si>
  <si>
    <t>Administrative Space Type
   02986 - Administrative office/room
   02742 - Principal's office
   02743 - Vice-principal/assistant principal's office
   02744 - Clerical areas
   02745 - Mail room
   02746 - Conference room
   02747 - Attendance reception
   02748 - General reception
   02749 - Security/police/probation office
   02750 - Staff lounge
   02751 - Staff work room
   02752 - School store
   02753 - School bank
   02754 - PTO/PTA spaces
   02755 - Site-based council office
   02756 - Records room/vault
   02757 - Storage - textbook
   02758 - Storage - resource materials
   02759 - Storage - instructional equipment
   09999 - Other</t>
  </si>
  <si>
    <t>Admission Date</t>
  </si>
  <si>
    <t>The month, day, and year on which a student is admitted to a school or an educational institution.</t>
  </si>
  <si>
    <t>0616</t>
  </si>
  <si>
    <t>Admission Status</t>
  </si>
  <si>
    <t>The status given to a student when he or she is admitted to a school or an educational institution.</t>
  </si>
  <si>
    <t>0617</t>
  </si>
  <si>
    <t>Admission Status
   01814 - Regular student
   01815 - Probationary student (academic)
   01816 - Probationary student (attendance)
   01817 - Probationary student (behavioral)
   01818 - Probationary student (other)
   01819 - Exchange student
   01820 - Guest student
   09999 - Other</t>
  </si>
  <si>
    <t>Advance Pay</t>
  </si>
  <si>
    <t>The amount paid to an individual prior to services rendered (e.g., deposit).</t>
  </si>
  <si>
    <t>0525</t>
  </si>
  <si>
    <t>Affiliated Institution Type</t>
  </si>
  <si>
    <t>An indication of the type of institution or organization providing the educational experience to the individual.</t>
  </si>
  <si>
    <t>0030</t>
  </si>
  <si>
    <t>Affiliated Institution Type
   00099 - Postsecondary institution
   00209 - Career/technical/vocational institution
   00211 - Public elementary/secondary school
   00212 - Private elementary/secondary school
   00066 - Local education agency 
   00622 - Local/community government
   00214 - Regional or intermediate educational agency
   00617 - State government
   00997 - Business
   00749 - Foundations and other charitable organizations
   00772 - Unions
   00731 - Parent/teacher organizations
   00797 - Federal government
   00218 - Religious organization
   00219 - Fraternal organization
   01275 - Non-profit organization
   09999 - Other</t>
  </si>
  <si>
    <t>Ages Served</t>
  </si>
  <si>
    <t>The ages of children served by an institution as identified by the funding and/or licensing source.</t>
  </si>
  <si>
    <t>1598</t>
  </si>
  <si>
    <t>Air Distribution System</t>
  </si>
  <si>
    <t>The primary means by which air is circulated, freshened, and exhausted.</t>
  </si>
  <si>
    <t>0891</t>
  </si>
  <si>
    <t>Ventilation System
   02492 - Window ventilation
   02493 - Gravity ventilation
   02494 - Mechanical exhaust
   02495 - Mechanical supply
   02496 - Both mechanical exhaust and supply
   02497 - Air handler units
   09999 - Other</t>
  </si>
  <si>
    <t>Alcohol Violation</t>
  </si>
  <si>
    <t>Violation of laws or ordinances prohibiting the manufacture, sale, purchase, transportation, possession, or consumption of intoxicating alcoholic beverages or substances represented as alcohol. Suspicion of being under the influence of alcohol may be included if it results in disciplinary action.</t>
  </si>
  <si>
    <t>1296</t>
  </si>
  <si>
    <t>Alcohol Violation
   04619 - Sale of alcohol
   04620 - Distribution of alcohol
   04621 - Drinking alcohol
   04622 - Possession of alcohol
   04623 - Suspicion of alcohol use
   09999 - Other</t>
  </si>
  <si>
    <t>Alias</t>
  </si>
  <si>
    <t>An assumed name, or a name by which an individual is otherwise known.</t>
  </si>
  <si>
    <t>0033</t>
  </si>
  <si>
    <t>Allergy Alert</t>
  </si>
  <si>
    <t>An indication that the individual has a severe allergy.</t>
  </si>
  <si>
    <t>1424</t>
  </si>
  <si>
    <t>Allowances Number</t>
  </si>
  <si>
    <t>The total number of personal allowances an individual is claiming on his or her tax withholding form.</t>
  </si>
  <si>
    <t>0542</t>
  </si>
  <si>
    <t>2</t>
  </si>
  <si>
    <t>Alternative School</t>
  </si>
  <si>
    <t>A school that: 1) addresses needs of students which cannot typically be met in a regular school; 2) provides nontraditional education; 3) falls outside of the categories of regular, magnet/special program emphasis, special, or vocational/technical education.</t>
  </si>
  <si>
    <t>0036</t>
  </si>
  <si>
    <t>Amount of Activity Involvement</t>
  </si>
  <si>
    <t>An indication of the degree to which the individual is involved in the activity (e.g., number of hours per week).</t>
  </si>
  <si>
    <t>0682</t>
  </si>
  <si>
    <t>Annual Maximum Payroll Deduction Allowed</t>
  </si>
  <si>
    <t>The maximum allowable amount of money within a year that would be withheld or deducted from the employee's paycheck.</t>
  </si>
  <si>
    <t>0531</t>
  </si>
  <si>
    <t>Applicable Grades</t>
  </si>
  <si>
    <t>The specific grade or combination of grades.</t>
  </si>
  <si>
    <t>0038</t>
  </si>
  <si>
    <t>Grade Level
   00787 - Infant/toddler
   00788 - Preschool
   00789 - Prekindergarten
   03494 - Transitional Kindergarten
   00805 - Kindergarten
   00790 - First grade
   00791 - Second grade
   00792 - Third grade
   00793 - Fourth grade
   00794 - Fifth grade
   00795 - Sixth grade
   00796 - Seventh grade
   00798 - Eighth grade
   00799 - Ninth grade
   00800 - Tenth grade
   00801 - Eleventh Grade
   00802 - Twelfth grade
   00803 - Grade 13
   02359 - Postsecondary
   00804 - Ungraded
   09999 - Other</t>
  </si>
  <si>
    <t>Application Status</t>
  </si>
  <si>
    <t>An indication of the status of the individual's employment application.</t>
  </si>
  <si>
    <t>0459</t>
  </si>
  <si>
    <t>Active/Inactive
   00122 - Active
   00133 - Inactive</t>
  </si>
  <si>
    <t>Architect Name</t>
  </si>
  <si>
    <t>The name of the architect of record for the building.</t>
  </si>
  <si>
    <t>0919</t>
  </si>
  <si>
    <t>45</t>
  </si>
  <si>
    <t>Architectural Firm</t>
  </si>
  <si>
    <t>The name of the architectural firm responsible for the building design.</t>
  </si>
  <si>
    <t>0920</t>
  </si>
  <si>
    <t>Areas of Informal Qualification</t>
  </si>
  <si>
    <t>Other areas or fields in which an individual has some special informal qualification or occupational training (e.g., as an artist).</t>
  </si>
  <si>
    <t>0451</t>
  </si>
  <si>
    <t>Art Specialty Space Type</t>
  </si>
  <si>
    <t>The space designed to support the teaching and learning of 2 dimensional or 3 dimensional visual arts.</t>
  </si>
  <si>
    <t>0928</t>
  </si>
  <si>
    <t>Art Specialty Space Type
   02644 - 2-dimensional art classroom
   02645 - 3-dimensional art classroom
   02646 - Darkroom
   02647 - Ceramic studio
   02648 - Photography studio/graphic arts
   02649 - Kiln room
   09999 - Other</t>
  </si>
  <si>
    <t>Assembly Space Type</t>
  </si>
  <si>
    <t>An area designed primarily for theater productions, assemblies, and other large gatherings.</t>
  </si>
  <si>
    <t>0939</t>
  </si>
  <si>
    <t>Assembly Space Types
   02768 - Auditorium (fixed seats)
   02769 - Control room
   03108 - Disaster shelter area
   02770 - Costume storage area
   02771 - Set storage area
   02772 - Backstage room/green room
   02773 - Multi-purpose Room
   09999 - Other</t>
  </si>
  <si>
    <t>Assessment Administration Window/Date(s)</t>
  </si>
  <si>
    <t>The month(s), day(s), and year on which an assessment is administered.</t>
  </si>
  <si>
    <t>0039</t>
  </si>
  <si>
    <t>Assessment Description</t>
  </si>
  <si>
    <t>A description of the assessment.</t>
  </si>
  <si>
    <t>0044</t>
  </si>
  <si>
    <t>Assessment Development</t>
  </si>
  <si>
    <t>An indication of how the assessment was produced or developed.</t>
  </si>
  <si>
    <t>0045</t>
  </si>
  <si>
    <t>Assessment Development
   00423 - Off-the-shelf
   00425 - Built from commercial item banks
   00427 - Custom developed
   00424 - Customized off-the-shelf
   00428 - District developed
   00429 - State developed</t>
  </si>
  <si>
    <t>Assessment Development Vendor Name</t>
  </si>
  <si>
    <t>The name of the contractor(s) who developed and/or provided the assessment.</t>
  </si>
  <si>
    <t>1143</t>
  </si>
  <si>
    <t>Assessment Feedback</t>
  </si>
  <si>
    <t>Feedback provided to the student from various sources.</t>
  </si>
  <si>
    <t>1611</t>
  </si>
  <si>
    <t>50</t>
  </si>
  <si>
    <t>Assessment for Promotion/Graduation Status</t>
  </si>
  <si>
    <t>An indication of whether the district or state assessments that were given to students were required to be passed or were used as a significant factor in making promotion or graduation decisions for all students being assessed.</t>
  </si>
  <si>
    <t>1393</t>
  </si>
  <si>
    <t>Assessment for Promotion/Graduation Status
   00232 - No
   13380 - Yes, for Both Promotion and Graduation
   13381 - Yes, for Graduation Only
   13382 - Yes, for Promotion Only</t>
  </si>
  <si>
    <t>Assessment Groups</t>
  </si>
  <si>
    <t>The groups or subgroups of individuals at the designated grades who were assessed.</t>
  </si>
  <si>
    <t>0049</t>
  </si>
  <si>
    <t>Assessment Groups
   00480 - All students
   00481 - Sample
   00482 - Voluntary
   03472 - Sub-population
   09999 - Other</t>
  </si>
  <si>
    <t>Assessment Item Choice Content</t>
  </si>
  <si>
    <t>The text of the choice, such as true, 27, or Important economic and social factors.</t>
  </si>
  <si>
    <t>1487</t>
  </si>
  <si>
    <t>Assessment Item Choice Credit Value</t>
  </si>
  <si>
    <t>A numeric value that indicates the amount of credit awarded for choosing the choice.</t>
  </si>
  <si>
    <t>1488</t>
  </si>
  <si>
    <t>Assessment Item Choice Label</t>
  </si>
  <si>
    <t>A choice number or other identifier for the choice. It may be used to indicate the order or grouping of the choices.</t>
  </si>
  <si>
    <t>1486</t>
  </si>
  <si>
    <t>Assessment Item Correct Response</t>
  </si>
  <si>
    <t>The correct response for the assessment item.</t>
  </si>
  <si>
    <t>1615</t>
  </si>
  <si>
    <t>Assessment Item Description</t>
  </si>
  <si>
    <t>A description of the assessment item.</t>
  </si>
  <si>
    <t>1352</t>
  </si>
  <si>
    <t>Assessment Item Rubric URL Reference</t>
  </si>
  <si>
    <t>The URL location where the rubric for scoring an item may be found.</t>
  </si>
  <si>
    <t>1629</t>
  </si>
  <si>
    <t>30</t>
  </si>
  <si>
    <t>Assessment Item Rubric/Rating</t>
  </si>
  <si>
    <t>An indication of the quantitative or qualitative range of possible scores/ratings for an individual''s performance on an assessment item.</t>
  </si>
  <si>
    <t>1353</t>
  </si>
  <si>
    <t>Assessment Item Title</t>
  </si>
  <si>
    <t>The title or name of the assessment item.</t>
  </si>
  <si>
    <t>1351</t>
  </si>
  <si>
    <t>Assessment Number of Items</t>
  </si>
  <si>
    <t>The number of items on an assessment.</t>
  </si>
  <si>
    <t>0199</t>
  </si>
  <si>
    <t>3</t>
  </si>
  <si>
    <t>Assessment Performance Level Name</t>
  </si>
  <si>
    <t>The level of performance of students on an assessment.</t>
  </si>
  <si>
    <t>1513</t>
  </si>
  <si>
    <t>Performance Level Code
   13550 - Level 0
   13551 - Level 1
   13552 - Level 2
   13553 - Level 3
   13554 - Level 4
   13555 - Level 5
   13556 - Level 6</t>
  </si>
  <si>
    <t>Assessment Reference Type</t>
  </si>
  <si>
    <t>A classification of how results of achievement tests are related and interpreted.</t>
  </si>
  <si>
    <t>0054</t>
  </si>
  <si>
    <t>Assessment Reference Type
   00487 - Norm-referenced
   00488 - Criterion-referenced
   00489 - Achievement-level reference or benchmarked</t>
  </si>
  <si>
    <t>Assessment Registration Grade Level When Assessed</t>
  </si>
  <si>
    <t>The grade or level of the learner as specified during assessment registration.</t>
  </si>
  <si>
    <t>2061</t>
  </si>
  <si>
    <t>Education Level
   73080 - Birth to Three
   01043 - No school completed
   00788 - Preschool
   00805 - Kindergarten
   00790 - First grade
   00791 - Second grade
   00792 - Third grade
   00793 - Fourth grade
   00794 - Fifth grade
   00795 - Sixth grade
   00796 - Seventh grade
   00798 - Eighth grade
   00799 - Ninth grade
   00800 - Tenth grade
   00801 - Eleventh Grade
   01809 - 12th grade, no diploma
   01044 - High school diploma
   02408 - High school completers (e.g., certificate of attendance)
   02409 - High school equivalency (e.g., GED)
   00819 - Career and Technical Education certificate
   01049 - Some college but no degree
   01047 - Formal award, certificate or diploma (less than one year)
   01048 - Formal award, certificate or diploma (more than or equal to one year)
   01050 - Associate's degree (two years or more)
   73063 - Adult education certification, endorsement, or degree
   01051 - Bachelor's (Baccalaureate) degree 
   01054 - Master's degree (e.g., M.A., M.S., M. Eng., M.Ed., M.S.W., M.B.A., M.L.S.)
   01055 - Specialist's degree (e.g., Ed.S.)
   73081 - Post-master''s certificate
   01052 - Graduate certificate
   01057 - Doctoral (Doctor's) degree 
   01053 - First-professional degree 
   01056 - Post-professional degree
   73082 - Doctor''s degree-research/scholarship
   73083 - Doctor''s degree-professional practice
   73084 - Doctor''s degree-other</t>
  </si>
  <si>
    <t>Assessment Reporting Level</t>
  </si>
  <si>
    <t>The level at which results are presented.</t>
  </si>
  <si>
    <t>0055</t>
  </si>
  <si>
    <t>Assessment Reporting Level
   00514 - Individual scores
   00515 - More detailed profiles of individual performance
   02390 - Teacher/classroom level scores
   02391 - School level scores
   00517 - District-level scores
   00519 - Program scores
   03481 - State-level scores
   00520 - Data disaggregated by category
   03482 - Data disaggregated by population sub-group
   09999 - Other</t>
  </si>
  <si>
    <t>Assessment Requirement Authority</t>
  </si>
  <si>
    <t>The person, agency, governmental entity, or other institution requiring or sponsoring the completion of the assessment requirement.</t>
  </si>
  <si>
    <t>0057</t>
  </si>
  <si>
    <t>Assessment Requirement Authority
   00065 - Teacher/staff member
   00675 - School
   00066 - Local education agency 
   00890 - Intermediate Education Unit
   00868 - State Education Agency
   00847 - State Legislature
   03460 - State department of health
   00070 - US Department of Education
   00086 - Speech education director
   00072 - Admission, review, and dismissal (ARD) committee
   00654 - College/University
   00074 - Award-granting organization
   09999 - Other</t>
  </si>
  <si>
    <t>Assessment Response Language</t>
  </si>
  <si>
    <t>The language in which assessment responses are provided. (Note: A list of languages and codes is currently maintained and updated by the ISO as ISO 639.2 on its website http://www.iso.org/iso/iso_catalogue/catalogue_tc/catalogue_detail.htm?csnumber=4767).</t>
  </si>
  <si>
    <t>0059</t>
  </si>
  <si>
    <t>List of Languages and Codes
   03823 - abk
   03824 - ace
   03825 - ach
   03826 - ada
   03827 - ady
   03828 - aar
   03829 - afh
   03830 - afr
   03831 - afa
   03832 - ain
   03833 - aka
   03834 - akk
   03835 - alb/sqi
   03836 - gsw
   03837 - ale
   03838 - alg
   03839 - tut
   03840 - amh
   03841 - anp
   03842 - apa
   03843 - ara
   03844 - arg
   03845 - arc
   03846 - arp
   03847 - arn
   03848 - arw
   03849 - arm/hye
   03850 - rup
   03851 - art
   03852 - asm
   03853 - ast
   03854 - ath
   03855 - aus
   03856 - map
   03857 - ava
   03858 - ave
   03859 - awa
   03860 - aym
   03861 - aze
   03862 - ban
   03863 - bat
   03864 - bal
   03865 - bam
   03866 - bai
   03867 - bad
   03868 - bnt
   03869 - bas
   03870 - bak
   03871 - baq/eus
   03872 - btk
   03873 - bej
   03874 - bel
   03875 - bem
   03876 - ben
   03877 - ber
   03878 - bho
   03879 - bih
   03880 - bik
   03881 - byn
   03882 - bin
   03883 - bis
   03884 - nob
   03885 - bos
   03886 - bra
   03887 - bre
   03888 - bug
   03889 - bul
   03890 - bua
   03891 - bur/mya
   03892 - cad
   03893 - car
   03894 - spa
   03895 - cat
   03896 - cau
   03897 - ceb
   03898 - cel
   03899 - cai
   03900 - khm
   03901 - chg
   03902 - cmc
   03903 - cha
   03904 - che
   03905 - chr
   03906 - nya
   03907 - chy
   03908 - chb
   03909 - chi/zho
   03910 - chn
   03911 - chp
   03912 - cho
   03913 - zha
   03914 - chu
   03915 - chk
   03916 - chv
   03917 - nwc
   03918 - rar
   03919 - cop
   03920 - cor
   03921 - cos
   03922 - cre
   03923 - mus
   03924 - crp
   03925 - cpe
   03926 - cpf
   03927 - cpp
   03928 - crh
   03929 - scr/hrv
   03930 - cus
   03931 - cze/ces
   03932 - dak
   03933 - dan
   03934 - dar
   03935 - day
   03936 - del
   03937 - div
   03938 - zza
   03939 - din
   03940 - doi
   03941 - dgr
   03942 - dra
   03943 - dua
   03944 - dut/nld
   03945 - dum
   03946 - dyu
   03947 - dzo
   03948 - frs
   03949 - efi
   03950 - egy
   03951 - eka
   03952 - elx
   03953 - eng
   03954 - enm
   03955 - ang
   03956 - myv
   03957 - epo
   03958 - est
   03959 - ewe
   03960 - ewo
   03961 - fan
   03962 - fat
   03963 - fao
   03964 - fij
   03965 - fil
   03966 - fin
   03967 - fiu
   03968 - fon
   03969 - fre/fra
   03970 - frm
   03971 - fro
   03972 - fry
   03973 - fur
   03974 - ful
   03975 - gaa
   03976 - gla
   03977 - glg
   03978 - lug
   03979 - gay
   03980 - gba
   03981 - gez
   03982 - gwo/kat
   03983 - ger/deu
   03984 - nds
   03985 - gmh
   03986 - goh
   03987 - gem
   03988 - kik
   03989 - gil
   03990 - gon
   03991 - gor
   03992 - got
   03993 - grb
   03994 - grc
   03995 - gre/ell
   03996 - kal
   03997 - grn
   03998 - guj
   03999 - gwi
   04000 - hai
   04001 - hat
   04002 - hau
   04003 - haw
   04004 - heb
   04005 - her
   04006 - hil
   04007 - him
   04008 - hin
   04009 - hmo
   04010 - hit
   04011 - hmn
   04012 - hun
   04013 - hup
   04014 - iba
   04015 - ice/isl
   04016 - ido
   04017 - ibo
   04018 - ijo
   04019 - ilo
   04020 - smn
   04021 - inc
   04022 - ine
   04023 - ind
   04024 - inh
   04025 - ina
   04026 - ile
   04027 - iku
   04028 - ipk
   04029 - ira
   04030 - gle
   04031 - mga
   04032 - sga
   04033 - iro
   04034 - ita
   04035 - jpn
   04036 - jav
   04037 - kac
   04038 - jrb
   04039 - jpr
   04040 - kbd
   04041 - kab
   04042 - xal
   04043 - kam
   04044 - kan
   04045 - kau
   04046 - kaa
   04047 - krc
   04048 - krl
   04049 - kar
   04050 - kas
   04051 - csb
   04052 - kaw
   04053 - kaz
   04054 - kha
   04055 - khi
   04056 - kho
   04057 - kmb
   04058 - kin
   04059 - kir
   04060 - tlh
   04061 - kom
   04062 - kon
   04063 - kok
   04064 - kor
   04065 - kos
   04066 - kpe
   04067 - kro
   04068 - kua
   04069 - kum
   04070 - kur
   04071 - kru
   04072 - kut
   04073 - lad
   04074 - lah
   04075 - lam
   04076 - lao
   04077 - lat
   04078 - lav
   04079 - ltz
   04080 - lez
   04081 - lim
   04082 - lin
   04083 - lit
   04084 - jbo
   04085 - dsb
   04086 - loz
   04087 - lub
   04088 - lua
   04089 - lui
   04090 - smj
   04091 - lun
   04092 - luo
   04093 - lus
   04094 - mac/mkd
   04095 - mad
   04096 - mag
   04097 - mai
   04098 - mak
   04099 - mlg
   04100 - may/msa
   04101 - mal
   04103 - mlt
   04104 - mnc
   04105 - mdr
   04106 - man
   04107 - mni
   04108 - mno
   04109 - glv
   04110 - mao/mri
   04111 - mar
   04112 - chm
   04113 - mah
   04114 - mwr
   04115 - mas
   04116 - myn
   04117 - men
   04118 - mic
   04119 - min
   04120 - mwl
   04121 - mis
   04122 - moh
   04123 - mdf
   04124 - mol
   04125 - mkh
   04126 - lol
   04127 - mon
   04128 - mos
   04129 - mul
   04130 - mun
   04131 - nqo
   04132 - nah
   04133 - nau
   04134 - nav
   04135 - nde
   04136 - nbl
   04137 - ndo
   04138 - nap
   04139 - new
   04140 - nep
   04141 - nia
   04142 - nic
   04143 - ssa
   04144 - niu
   04145 - zxx
   04146 - nog
   04147 - non
   04148 - nai
   04149 - frr
   04150 - sme
   04151 - nso
   04152 - nor
   04153 - nno
   04154 - nub
   04155 - nym
   04156 - nyn
   04157 - nyo
   04158 - nzi
   04159 - oci
   04160 - oji
   04161 - ori
   04162 - orm
   04163 - osa
   04164 - oss
   04165 - oto
   04166 - pal
   04167 - pau
   04168 - pli
   04169 - pam
   04170 - pag
   04171 - pan
   04172 - pap
   04173 - paa
   04174 - per/fas
   04175 - peo
   04176 - phi
   04177 - phn
   04178 - pon
   04179 - pol
   04180 - por
   04181 - pra
   04182 - pro
   04183 - pus
   04184 - que
   04185 - roh
   04186 - raj
   04187 - rap
   04188 - qaa-qtz
   04189 - roa
   04190 - rum/ron
   04191 - rom
   04192 - run
   04193 - rus
   04194 - sal
   04195 - sam
   04196 - smi
   04197 - smo
   04198 - sad
   04199 - sag
   04200 - san
   04201 - sat
   04202 - srd
   04203 - sas
   04204 - sco
   04205 - sel
   04206 - sem
   04207 - scc/srp
   04208 - srr
   04209 - shn
   04210 - sna
   04211 - iii
   04212 - scn
   04213 - sid
   04214 - sgn
   04215 - bla
   04216 - snd
   04217 - sin
   04218 - sit
   04219 - sio
   04220 - sms
   04221 - den
   04222 - sla
   04223 - slo/slk
   04224 - slv
   04225 - sog
   04226 - som
   04227 - son
   04228 - snk
   04229 - wen
   04230 - sot
   04231 - sai
   04232 - alt
   04233 - sma
   04234 - srn
   04235 - suk
   04236 - sux
   04237 - sun
   04238 - sus
   04239 - swa
   04240 - ssw
   04241 - swe
   04242 - syr
   04243 - tgl
   04244 - tah
   04245 - tai
   04246 - tgk
   04247 - tmh
   04248 - tam
   04249 - tat
   04250 - tel
   04251 - ter
   04252 - tet
   04253 - tha
   04254 - tib/bod
   04255 - tig
   04256 - tir
   04257 - tem
   04258 - tiv
   04259 - tli
   04260 - tpi
   04261 - tkl
   04262 - tog
   04263 - ton
   04264 - tsi
   04265 - tso
   04266 - tsn
   04267 - tum
   04268 - tup
   04269 - tur
   04270 - ota
   04271 - tuk
   04272 - tvl
   04273 - tyv
   04274 - twi
   04275 - udm
   04276 - uga
   04277 - uig
   04278 - ukr
   04279 - umb
   04280 - und
   04281 - hsb
   04282 - urd
   04283 - uzb
   04284 - vai
   04285 - ven
   04286 - vie
   04287 - vol
   04288 - vot
   04289 - wak
   04290 - wal
   04291 - wln
   04292 - war
   04293 - was
   04294 - wel/cym
   04295 - wol
   04296 - xho
   04297 - sah
   04298 - yao
   04299 - yap
   04300 - yid
   04301 - yor
   04302 - ypk
   04303 - znd
   04304 - zap
   04305 - zen
   04306 - zul
   04307 - zun
   09999 - Other</t>
  </si>
  <si>
    <t>Assessment Rubric/Rating</t>
  </si>
  <si>
    <t>An indication of the quantitative or qualitative range of possible scores/rating for an individual's performance on an assessment.</t>
  </si>
  <si>
    <t>0060</t>
  </si>
  <si>
    <t>Assessment Scoring Vendor Name</t>
  </si>
  <si>
    <t>The name of the contractor(s) who score the assessment.</t>
  </si>
  <si>
    <t>0068</t>
  </si>
  <si>
    <t>Assessment Subest Score Value</t>
  </si>
  <si>
    <t>A score value expressed as a number representing the performance of a person on an administration of an assessment as determined by the sub test scoring rules. The score relates to the overall assessment or a sub test scoring one aspect of performance on the test. This value may be used to determine performance level for the test or sub test.</t>
  </si>
  <si>
    <t>1632</t>
  </si>
  <si>
    <t>10.2</t>
  </si>
  <si>
    <t>Assigned Space</t>
  </si>
  <si>
    <t>An indication that the instruction space in a school is used in the calculation of student capacity.</t>
  </si>
  <si>
    <t>0948</t>
  </si>
  <si>
    <t>The name or description of the assignment.</t>
  </si>
  <si>
    <t>0069</t>
  </si>
  <si>
    <t>Assignment Description</t>
  </si>
  <si>
    <t>Further description of a staff assignment that fully defines the activity, as necessary. For example, a "teacher" assignment would be defined in terms of the grade levels taught or the types of duties involved (e.g., lead teacher for a class of third graders).</t>
  </si>
  <si>
    <t>0558</t>
  </si>
  <si>
    <t>Assignment Finish Date</t>
  </si>
  <si>
    <t>The month, day, and year that the assignment is finished by students.</t>
  </si>
  <si>
    <t>0071</t>
  </si>
  <si>
    <t>Assignment Number of Attempts</t>
  </si>
  <si>
    <t>The number of attempts allowed by an instructor on an assignment or taken by a student to complete the assignment.</t>
  </si>
  <si>
    <t>0072</t>
  </si>
  <si>
    <t>Assignment to Physical Space</t>
  </si>
  <si>
    <t>A unique number or alphanumeric code assigned to a physical space to which the equipment is assigned.</t>
  </si>
  <si>
    <t>1114</t>
  </si>
  <si>
    <t>At Risk of Developmental Delay</t>
  </si>
  <si>
    <t>The risk of having substantial developmental delays if early intervention services are not provided.</t>
  </si>
  <si>
    <t>1224</t>
  </si>
  <si>
    <t>At Risk of Developmental Delay
   05993 - Established conditions
   05994 - Environment factors
   05995 - No established condition
   05996 - No established condition, needs follow-up</t>
  </si>
  <si>
    <t>Attendance Area Code</t>
  </si>
  <si>
    <t>A unique number or alphanumeric code of an attendance area that the school or building serves assigned by a school, school system, state, or other agency or entity.</t>
  </si>
  <si>
    <t>0960</t>
  </si>
  <si>
    <t>Attendance Description</t>
  </si>
  <si>
    <t>A description of the attendance status.</t>
  </si>
  <si>
    <t>1199</t>
  </si>
  <si>
    <t>Attendance Policy Violation</t>
  </si>
  <si>
    <t>Violation of state, school district, or school policy relating to attendance.</t>
  </si>
  <si>
    <t>1297</t>
  </si>
  <si>
    <t>Attendance Policy Violation
   04627 - Forging absence excuse
   04628 - Skipping class 
   04629 - Tardiness
   04630 - Truancy
   09999 - Other</t>
  </si>
  <si>
    <t>Attendance Status Time</t>
  </si>
  <si>
    <t>An indication of the time of day the attendance status is recorded.</t>
  </si>
  <si>
    <t>1200</t>
  </si>
  <si>
    <t>10</t>
  </si>
  <si>
    <t>Audit Type</t>
  </si>
  <si>
    <t>The type of systematic review or audit of facility quality, management, decision making processes, controls, schedule and cost.</t>
  </si>
  <si>
    <t>1033</t>
  </si>
  <si>
    <t>Audit Type
   02976 - Management audit
   02977 - Financial audit
   02978 - Performance audit
   02979 - Building commissioning
   02980 - Fiscal audit
   02981 - Process audit
   13687 - Retro-commissioning
   13688 - Post Occupancy Evaluation
   09999 - Other</t>
  </si>
  <si>
    <t>Authorized Instructional Level</t>
  </si>
  <si>
    <t>The instructional level or levels within which an individual is authorized to serve by an active credential.</t>
  </si>
  <si>
    <t>0420</t>
  </si>
  <si>
    <t>School Level
   00787 - Infant/toddler
   01981 - Preschool/early childhood
   02397 - Primary
   01304 - Elementary
   02399 - Intermediate
   02400 - Middle
   02602 - Junior high school
   02402 - High school
   02403 - Secondary
   01302 - All levels
   00013 - Adult education
   73066 - Joint secondary and postsecondary</t>
  </si>
  <si>
    <t>Authorized/Insured to Use Organization Vehicles</t>
  </si>
  <si>
    <t>An indication of whether the individual is authorized and/or insured to use the employer's vehicles to conduct official business.</t>
  </si>
  <si>
    <t>0489</t>
  </si>
  <si>
    <t>Authorized/Insured to Use Own Vehicles</t>
  </si>
  <si>
    <t>An indication of whether the individual is authorized and/or insured to use his or her own vehicles to conduct official business.</t>
  </si>
  <si>
    <t>0490</t>
  </si>
  <si>
    <t>Authorizing Entity Name</t>
  </si>
  <si>
    <t>The name of the organization that has ultimate responsibility for policy and operational decisions for an educational institution.</t>
  </si>
  <si>
    <t>0866</t>
  </si>
  <si>
    <t>Authorizing Entity Type</t>
  </si>
  <si>
    <t>The type of organization that has ultimate responsibility for policy and operational decisions for an educational institution.</t>
  </si>
  <si>
    <t>0076</t>
  </si>
  <si>
    <t>Authorizing Entity Type
   00797 - Federal government
   00860 - State agency
   00214 - Regional or intermediate educational agency
   00862 - Local (e.g., school board, city council, municipal board)
   00675 - School
   00864 - Private/Religious
   00865 - Charter board
   03166 - Other non-profit organization
   03167 - Commercial or other for-profit firm
   13377 - University</t>
  </si>
  <si>
    <t>Avocational Interests and Skills</t>
  </si>
  <si>
    <t>Description of a hobby or other interest or skill of an individual. These may include but are not limited to singing, art, music, writing, public speaking, and youth work.</t>
  </si>
  <si>
    <t>0450</t>
  </si>
  <si>
    <t>Award Amount</t>
  </si>
  <si>
    <t>The amount of money awarded to the individual or institution for high performance or improvement.</t>
  </si>
  <si>
    <t>0077</t>
  </si>
  <si>
    <t>7.2</t>
  </si>
  <si>
    <t>Background Check Completion Date</t>
  </si>
  <si>
    <t>The month, day, and year on which the examination of the individual's employment and/or other records was completed. This examination is part of the requirements for this position or a credential.</t>
  </si>
  <si>
    <t>0403</t>
  </si>
  <si>
    <t>Background Check Description</t>
  </si>
  <si>
    <t>A description of the means used to check an individual's employment and/or other records investigated to determine whether he or she meets the basic and security requirements for employment or a credential.</t>
  </si>
  <si>
    <t>0402</t>
  </si>
  <si>
    <t>Background Check Type</t>
  </si>
  <si>
    <t>An indication of the type of employment and/or other records that are investigated to determine whether the individual meets the basic and security requirements for employment or a credential.</t>
  </si>
  <si>
    <t>0401</t>
  </si>
  <si>
    <t>Background Check Type
   01420 - Criminal records
   01421 - Previous employment records
   01422 - Personal references
   01423 - Credentials
   09999 - Other</t>
  </si>
  <si>
    <t>Bank Account Type</t>
  </si>
  <si>
    <t>The type of bank account that is under an individual's name.</t>
  </si>
  <si>
    <t>0534</t>
  </si>
  <si>
    <t>Bank Account Type
   01589 - Checking
   01590 - Savings
   01591 - Money market
   09999 - Other</t>
  </si>
  <si>
    <t>Base Indicators</t>
  </si>
  <si>
    <t>A description of the indicators that are used as the primary indicators of improvement and performance.</t>
  </si>
  <si>
    <t>0078</t>
  </si>
  <si>
    <t>Base Indicators
   00393 - Demographics
   00394 - Outcome
   00395 - Process
   09999 - Other</t>
  </si>
  <si>
    <t>Baseline Utility Cost</t>
  </si>
  <si>
    <t>The calculated utility cost of operating and maintaining a utility before carrying out any utility efficiency improvements.</t>
  </si>
  <si>
    <t>0981</t>
  </si>
  <si>
    <t>Basement Excavation</t>
  </si>
  <si>
    <t>The site work required to create basement spaces under a building.</t>
  </si>
  <si>
    <t>1522</t>
  </si>
  <si>
    <t>Basement Walls</t>
  </si>
  <si>
    <t>The construction of structural vertical faces in the basement of a building.</t>
  </si>
  <si>
    <t>1523</t>
  </si>
  <si>
    <t>Basic Classroom Design Type</t>
  </si>
  <si>
    <t>A classroom designed for instruction of a particular age group, but not a specific subject.</t>
  </si>
  <si>
    <t>0927</t>
  </si>
  <si>
    <t>Classroom Instruction Use Type
   01981 - Preschool/early childhood
   01304 - Elementary
   02403 - Secondary
   03495 - Resource
   14906 - Skills center
   09999 - Other</t>
  </si>
  <si>
    <t>Beginning Date of Data in Report</t>
  </si>
  <si>
    <t>The first month, day, and year of data covered in the report.</t>
  </si>
  <si>
    <t>0079</t>
  </si>
  <si>
    <t>Bell Period End Time</t>
  </si>
  <si>
    <t>The ending time for the bell period.</t>
  </si>
  <si>
    <t>1461</t>
  </si>
  <si>
    <t>Bell Period Start Time</t>
  </si>
  <si>
    <t>The starting time for the bell period.</t>
  </si>
  <si>
    <t>1460</t>
  </si>
  <si>
    <t>Bell Schedule Name</t>
  </si>
  <si>
    <t>A name that uniquely identifies a particular Bell Schedule from others for the same school and year.</t>
  </si>
  <si>
    <t>1456</t>
  </si>
  <si>
    <t>25</t>
  </si>
  <si>
    <t>Benefit Contribution Amount</t>
  </si>
  <si>
    <t>The monetary amount or description of the contribution given to an employee's benefit plan.</t>
  </si>
  <si>
    <t>0520</t>
  </si>
  <si>
    <t>Benefit Contribution Type</t>
  </si>
  <si>
    <t>An indication of the form of donation an individual or institution gives to an employee's benefit plan.</t>
  </si>
  <si>
    <t>0519</t>
  </si>
  <si>
    <t>Benefit Contribution Type
   01559 - Monetary
   01560 - In-kind
   09999 - Other</t>
  </si>
  <si>
    <t>Benefit Contributor Type</t>
  </si>
  <si>
    <t>An indication of the category of an individual or institution that donates to an employee's benefit plan.</t>
  </si>
  <si>
    <t>0518</t>
  </si>
  <si>
    <t>Benefit Contributor Type
   01552 - Employer
   00860 - State agency
   01560 - In-kind
   00066 - Local education agency 
   00214 - Regional or intermediate educational agency
   01555 - Community organization, business, or group
   01556 - Other organization, business, or group
   01557 - Individual employee
   01558 - Individual other than employee
   09999 - Other</t>
  </si>
  <si>
    <t>Benefit Payoff Date</t>
  </si>
  <si>
    <t>The earliest possible month, day, and year on which a benefit will be paid off in a lump-sum payment or distributed in installments to an individual.</t>
  </si>
  <si>
    <t>0516</t>
  </si>
  <si>
    <t>Bilingual Education Program Type</t>
  </si>
  <si>
    <t>The types of program of instruction and services that uses more than one language to teach a content area. Students served by this program may or may not be proficient in English.</t>
  </si>
  <si>
    <t>1169</t>
  </si>
  <si>
    <t>Bilingual Education Program
   04924 - Curriculum content in native language
   04925 - Developmental bilingual education
   04926 - Native language support
   04927 - Two way bilingual education
   09999 - Other</t>
  </si>
  <si>
    <t>Block Number Area (BNA)</t>
  </si>
  <si>
    <t>The informal description of location sometimes used in rural areas, for example, "from the highway to the railroad tracks."</t>
  </si>
  <si>
    <t>0864</t>
  </si>
  <si>
    <t>Blood Pressure</t>
  </si>
  <si>
    <t>An indication of an individual's blood pressure as measured by a qualified health care provider, usually expressed in terms of systolic pressure relative to diastolic pressure.</t>
  </si>
  <si>
    <t>0759</t>
  </si>
  <si>
    <t>Boarding Status</t>
  </si>
  <si>
    <t>The status of a student in relation to campus housing during the school year.</t>
  </si>
  <si>
    <t>0624</t>
  </si>
  <si>
    <t>Boarding Status
   01861 - Seven (7) days per week
   01862 - Five (5) days per week
   01863 - Intermittent
   01864 - Not boarding
   09999 - Other</t>
  </si>
  <si>
    <t>Bond Interest Rate</t>
  </si>
  <si>
    <t>The interest rate payable by the issuer to the buyer of the bonds.</t>
  </si>
  <si>
    <t>1016</t>
  </si>
  <si>
    <t>2.2</t>
  </si>
  <si>
    <t>Bond Term</t>
  </si>
  <si>
    <t>The length of time in years during which a bond may be repaid.</t>
  </si>
  <si>
    <t>1014</t>
  </si>
  <si>
    <t>Bond Year</t>
  </si>
  <si>
    <t>The year in which a bond must be repaid.</t>
  </si>
  <si>
    <t>1015</t>
  </si>
  <si>
    <t>Building Addition</t>
  </si>
  <si>
    <t>A description of the permanent structure added to the original building.</t>
  </si>
  <si>
    <t>0880</t>
  </si>
  <si>
    <t>Building Addition Code</t>
  </si>
  <si>
    <t>A unique number or alphanumeric code assigned to a building addition by a school, school system, state, or other agency or entity.</t>
  </si>
  <si>
    <t>0881</t>
  </si>
  <si>
    <t>Building Area</t>
  </si>
  <si>
    <t>The sum of the areas at each floor level included within the principal outside faces of exterior walls, including roofed areas with finished floors that may not have exterior walls, but are connected to the main building. This sum should include all stories or areas having floor surfaces with clear standing head room (6.5 feet or 1.98 meters) but omit architectural setbacks or projections.</t>
  </si>
  <si>
    <t>0879</t>
  </si>
  <si>
    <t>Building Design Type</t>
  </si>
  <si>
    <t>The primary design or purpose of a building, as determined by its physical layout and built-in systems and equipment, regardless of its current use.</t>
  </si>
  <si>
    <t>0922</t>
  </si>
  <si>
    <t>Building Design Type
   03106 - School building
   02610 - Service center building
   02611 - Office building
   02612 - Warehouse building
   02613 - Garage building
   02614 - Central kitchen building
   02615 - Stadium building
   02616 - Field house building
   02617 - Media production center building
   02618 - Natatorium
   02619 - Dormitory building
   02620 - Gymnasium building
   02621 - Assembly building
   09999 - Other</t>
  </si>
  <si>
    <t>Building Elements Demolition</t>
  </si>
  <si>
    <t>A description of the destruction and removal of parts of an existing building.</t>
  </si>
  <si>
    <t>1877</t>
  </si>
  <si>
    <t>Building Permanency</t>
  </si>
  <si>
    <t>An indication of whether the building is built for permanent use in the same location or is relocatable.</t>
  </si>
  <si>
    <t>0878</t>
  </si>
  <si>
    <t>Building Permanency
   02431 - Permanent building
   02432 - Nonpermanent building</t>
  </si>
  <si>
    <t>Building Type</t>
  </si>
  <si>
    <t>The type of building in which a school is located.</t>
  </si>
  <si>
    <t>1520</t>
  </si>
  <si>
    <t>Building Type
   13561 - Church
   13562 - Commercial office building
   13563 - Commercial warehouse
   13564 - Community center
   13565 - Public school building</t>
  </si>
  <si>
    <t>Business Type</t>
  </si>
  <si>
    <t>An indication of the general nature of an organization or institution.</t>
  </si>
  <si>
    <t>0429</t>
  </si>
  <si>
    <t>Calendar Date Number</t>
  </si>
  <si>
    <t>The order in which the calendar date falls within the school calendar.</t>
  </si>
  <si>
    <t>1471</t>
  </si>
  <si>
    <t>Calendar Event Description</t>
  </si>
  <si>
    <t>A brief description of the reason for scheduled and unscheduled interruption to instruction.</t>
  </si>
  <si>
    <t>0086</t>
  </si>
  <si>
    <t>Calendar Event Ending Date</t>
  </si>
  <si>
    <t>The month, day, and year on which the event ends.</t>
  </si>
  <si>
    <t>0087</t>
  </si>
  <si>
    <t>Calendar Type</t>
  </si>
  <si>
    <t>Designation of the nature of the instructional calendar.</t>
  </si>
  <si>
    <t>0088</t>
  </si>
  <si>
    <t>Calendar Type
   00823 - Planned school calendar
   00824 - Actual or revised school calendar
   00826 - Tentative schedule
   09999 - Other</t>
  </si>
  <si>
    <t>Capacity Factor</t>
  </si>
  <si>
    <t>A designation as to whether the space is included in the calculation of school building capacity under state or local guidelines.</t>
  </si>
  <si>
    <t>0947</t>
  </si>
  <si>
    <t>Capacity Factor
   02813 - Capacity space
   02814 - Noncapacity space</t>
  </si>
  <si>
    <t>Capital Budget Year</t>
  </si>
  <si>
    <t>The year for which the project has been approved for expenditures.</t>
  </si>
  <si>
    <t>1009</t>
  </si>
  <si>
    <t>Capital Expenditure per Building</t>
  </si>
  <si>
    <t>The annual expenditure from capital funds for a building.</t>
  </si>
  <si>
    <t>1035</t>
  </si>
  <si>
    <t>8.2</t>
  </si>
  <si>
    <t>Capital Expenditure per School</t>
  </si>
  <si>
    <t>The annual expenditure from capital funds for a school.</t>
  </si>
  <si>
    <t>1012</t>
  </si>
  <si>
    <t>Capital Improvement Project Type</t>
  </si>
  <si>
    <t>The type of a capital improvement project as characterized by the kind of alteration, addition, new construction, system or component renewal..</t>
  </si>
  <si>
    <t>0971</t>
  </si>
  <si>
    <t>Capital Improvement Project Type
   02904 - Site acquisition
   02905 - Environmental clean-up of site
   02906 - Planning
   02907 - Design
   02908 - New construction
   02909 - Demolition
   02910 - Remodeling of interior space
   02911 - Full modernization
   02912 - Partial modernization
   02914 - Component or systems replacement
   02915 - Exterior modernization
   02916 - Site improvements
   02992 - Landscaping improvement or development
   13643 - Renovation
   13644 - Environmental building clean-up
   13645 - Building and site assessment
   13646 - Portable classroom installation
   13647 - Accessibility improvements
   13648 - Addition
   13649 - Building replacement
   13650 - Instructional upgrades
   13651 - Systemic renovation
   09999 - Other</t>
  </si>
  <si>
    <t>Capital Project Actual Completion Date</t>
  </si>
  <si>
    <t>The month, day, and year on which the project is determined to be at substantial completion.</t>
  </si>
  <si>
    <t>0977</t>
  </si>
  <si>
    <t>Capital Project Change Scheduled Completion Date</t>
  </si>
  <si>
    <t>The revised day, month and year that a capital project is scheduled to be completed such that the owners may safely occupy or use the building, system, or space.</t>
  </si>
  <si>
    <t>1552</t>
  </si>
  <si>
    <t>Capital Project Change Start Date</t>
  </si>
  <si>
    <t>The revised day, month, year for the start of a capital improvement project.</t>
  </si>
  <si>
    <t>1551</t>
  </si>
  <si>
    <t>Capital Project Delivery Method</t>
  </si>
  <si>
    <t>The method for packaging, contracting, and managing capital improvement projects.</t>
  </si>
  <si>
    <t>0972</t>
  </si>
  <si>
    <t>Capital Project Delivery Method
   02917 - Design-bid-build
   02918 - Construction management
   02919 - Construction management at risk
   02920 - General contractor method
   02921 - Design build
   02922 - Fast track
   02923 - Job order contracting
   09999 - Other</t>
  </si>
  <si>
    <t>Capital Project Expenditure</t>
  </si>
  <si>
    <t>The expenditure of bond proceeds for approved capital projects.</t>
  </si>
  <si>
    <t>1010</t>
  </si>
  <si>
    <t>Capital Project Scheduled Completion Date</t>
  </si>
  <si>
    <t>The month, day, and year on which the project is scheduled for completion.</t>
  </si>
  <si>
    <t>0976</t>
  </si>
  <si>
    <t>Capital Project Sequence</t>
  </si>
  <si>
    <t>A description of the sequence of work required to complete a major capital project.</t>
  </si>
  <si>
    <t>0974</t>
  </si>
  <si>
    <t>Capital Project Start Date</t>
  </si>
  <si>
    <t>The month, day, and year on which a project is approved for expenditures.</t>
  </si>
  <si>
    <t>0975</t>
  </si>
  <si>
    <t>Capital Project Status</t>
  </si>
  <si>
    <t>The phases of work required to complete a major capital project.</t>
  </si>
  <si>
    <t>1553</t>
  </si>
  <si>
    <t>Capital Project Work Type
   02924 - Demographic research
   02993 - Planning phase
   02994 - Site acquisition phase
   02925 - Architect/engineer selection
   02926 - Feasibility review phase
   02927 - Schematic design phase
   02928 - Design development phase
   02929 - Construction documents
   02930 - Construction procurement
   02931 - Demolition/site development phase
   02932 - Construction phase
   02933 - Beneficial occupancy
   02934 - Close-out phase
   02935 - Post-occupancy evaluation
   13640 - Environmental clean-up
   13641 - Environmental testing
   13642 - Public review phase
   09999 - Other</t>
  </si>
  <si>
    <t>Capital Project Work Type</t>
  </si>
  <si>
    <t>The type of work required to complete a major capital project.</t>
  </si>
  <si>
    <t>0973</t>
  </si>
  <si>
    <t>Care/Service Beginning Date</t>
  </si>
  <si>
    <t>The month, day, and year on which an individual first receives program services.</t>
  </si>
  <si>
    <t>0848</t>
  </si>
  <si>
    <t>Care/Service Day Status</t>
  </si>
  <si>
    <t>An indication as to whether care, education, and/or services provided to an individual takes place during full-day or part-day session.</t>
  </si>
  <si>
    <t>0847</t>
  </si>
  <si>
    <t>Care/Service Day Status
   09999 - Other</t>
  </si>
  <si>
    <t>Care/Service Ending Date</t>
  </si>
  <si>
    <t>The month, day, and year on which an individual last participated in or received program services.</t>
  </si>
  <si>
    <t>0814</t>
  </si>
  <si>
    <t>Care/Service Intensity</t>
  </si>
  <si>
    <t>The average number of hours or portion of hours per week that care, education, and/or services are provided to an individual.</t>
  </si>
  <si>
    <t>0845</t>
  </si>
  <si>
    <t>3.1</t>
  </si>
  <si>
    <t>Career Development Needs</t>
  </si>
  <si>
    <t>A description of the exposure and preparation needed by an individual to be ready for a specified future assignment or position.</t>
  </si>
  <si>
    <t>0570</t>
  </si>
  <si>
    <t>Career Development Needs
   01622 - No preparation or additional experience required
   01623 - Job specialization required
   01624 - Task assignment required
   01625 - Job rotation required
   01626 - Formal preparation/credentials required
   09999 - Other</t>
  </si>
  <si>
    <t>Career Technical Education Representation Status</t>
  </si>
  <si>
    <t>An indication of whether CTE participants were members of an underrepresented gender group.</t>
  </si>
  <si>
    <t>1648</t>
  </si>
  <si>
    <t>CTE Representation Status
   14554 - Members of an underrepresented gender group
   14555 - Not members of an underrepresented gender group</t>
  </si>
  <si>
    <t>Career-Technical Education Space Type</t>
  </si>
  <si>
    <t>The classroom, laboratory, or shop specially located, designed, furnished, and equipped to support instruction of technical and technology related curriculum, usually tied to particular industry, for example, bio-tech, construction, or agriculture.</t>
  </si>
  <si>
    <t>0932</t>
  </si>
  <si>
    <t>Career-Technical Education Space Type
   02678 - Computer/information technology laboratory
   02679 - Consumer science - food classroom
   02680 - Consumer science - clothing classroom
   02681 - Family and consumer science
   02682 - Automotive/avionics technology shop
   02683 - Electronics/engineering technology laboratory
   02684 - Drafting room/CAD/CAM
   02685 - Agricultural/natural resources shop
   02686 - Greenhouse
   02687 - Barbering and cosmetology shop
   02688 - Multimedia production studio/communications
   02689 - Wood shop
   02690 - Dental science classroom
   02691 - Aeronautical technology classroom
   02692 - Building construction technology shop
   02693 - Precision manufacturing laboratory/metalworking shop
   02694 - Retail store/entrepreneurship laboratory
   02695 - Financial services center/bank
   02696 - Food services/hospitality laboratory
   02697 - Business and administrative services/office management laboratory
   02698 - Health occupations laboratory
   02699 - Early childhood laboratory/child care center
   02700 - Graphic/digital arts and design studio
   02701 - Law enforcement/fire technology/protective services laboratory
   02702 - Biotechnology laboratory
   09999 - Other</t>
  </si>
  <si>
    <t>Case Manager</t>
  </si>
  <si>
    <t>The name of the case manager responsible for the academic plans of this student.</t>
  </si>
  <si>
    <t>1507</t>
  </si>
  <si>
    <t>Catalog of Federal Domestic Assistance (CFDA) Number</t>
  </si>
  <si>
    <t>The number given to all Federal programs available to State and local governments.</t>
  </si>
  <si>
    <t>1173</t>
  </si>
  <si>
    <t>Catalog of Federal Domestic Assistance (CFDA) Number
   06088 - 93.995
   06089 - 94.006
   06090 - 23.002
   06091 - 10.558
   06092 - 93.645
   06093 - 84.304
   06094 - 10.225
   06095 - 93.104
   06096 - 93.229
   06097 - 84.196
   06098 - 93.557
   06099 - 84.258
   06100 - 84.214
   06101 - 84.213
   06102 - 27.005
   06103 - 27.006
   06104 - 93.658
   06105 - 16.544
   06106 - 93.600
   06107 - 84.169
   06108 - 15.043
   06109 - 15.144
   06110 - 84.060
   06111 - 16.540
   06112 - 16.726
   06113 - 94.004
   06114 - 84.165
   06115 - 93.778
   06116 - 84.011
   06117 - 10.555
   06118 - 84.357
   06119 - 84.126
   06120 - 84.186
   06121 - 10.553
   06122 - 84.325
   06123 - 84.173
   06124 - 84.027
   06125 - 10.556
   06126 - 10.557
   06127 - 93.767
   06128 - 10.559
   06129 - 84.243
   06130 - 84.010
   06131 - 84.013
   06132 - 16.731
   06133 - 84.287
   06134 - 84.047
   06135 - 84.048
   06136 - 84.101
   06137 - 84.083
   06138 - 84.002
   06139 - 84.004
   06140 - 84.007
   06141 - 84.015
   06142 - 84.016
   06143 - 84.017
   06144 - 84.018
   06145 - 84.019
   06146 - 84.021
   06147 - 84.022
   06148 - 84.031
   06149 - 84.032
   06150 - 84.033
   06151 - 84.037
   06152 - 84.038
   06153 - 84.040
   06154 - 84.041
   06155 - 84.042
   06156 - 84.044
   06157 - 84.051
   06158 - 84.063
   06159 - 84.066
   06160 - 84.069
   06161 - 84.103
   06162 - 84.116
   06163 - 84.120
   06164 - 84.128
   06165 - 84.129
   06166 - 84.132
   06167 - 84.133
   06168 - 84.141
   06169 - 84.144
   06170 - 84.145
   06171 - 84.149
   06172 - 84.153
   06173 - 84.160
   06174 - 84.161
   06175 - 84.170
   06176 - 84.177
   06177 - 84.181
   06178 - 84.184
   06179 - 84.185
   06180 - 84.187
   06181 - 84.191
   06182 - 84.200
   06183 - 84.203
   06184 - 84.206
   06185 - 84.215
   06186 - 84.217
   06187 - 84.220
   06188 - 84.224
   06189 - 84.229
   06190 - 84.234
   06191 - 84.235
   06192 - 84.240
   06193 - 84.245
   06194 - 84.246
   06195 - 84.250
   06196 - 84.255
   06197 - 84.256
   06198 - 84.257
   06199 - 84.259
   06200 - 84.263
   06201 - 84.264
   06202 - 84.265
   06203 - 84.268
   06204 - 84.269
   06205 - 84.274
   06206 - 84.275
   06207 - 84.282
   06208 - 84.283
   06209 - 84.286
   06210 - 84.293
   06211 - 84.295
   06212 - 84.298
   06213 - 84.305
   06214 - 84.310
   06215 - 84.315
   06216 - 84.318
   06217 - 84.323
   06218 - 84.324
   06219 - 84.326
   06220 - 84.327
   06221 - 84.328
   06222 - 84.329
   06223 - 84.330
   06224 - 84.331
   06225 - 84.332
   06226 - 84.333
   06227 - 84.334
   06228 - 84.335
   06229 - 84.336
   06230 - 84.337
   06231 - 84.341
   06232 - 84.343
   06233 - 84.344
   06234 - 84.345
   06235 - 84.346
   06236 - 84.349
   06237 - 84.350
   06238 - 84.351
   06239 - 84.353
   06240 - 84.354
   06241 - 84.356
   06242 - 84.358
   06243 - 84.359
   06244 - 84.360
   06245 - 84.361
   06246 - 84.362
   06247 - 84.363
   06248 - 84.364
   06249 - 84.365
   06250 - 84.366
   06251 - 84.367
   06252 - 84.369
   06253 - 84.370
   06254 - 84.371
   06255 - 84.372
   06256 - 84.373
   06257 - 84.374
   06258 - 84.375
   06259 - 84.376
   06260 - 84.938
   09999 - Other</t>
  </si>
  <si>
    <t>Census Tract</t>
  </si>
  <si>
    <t>The census tract number of the school site.</t>
  </si>
  <si>
    <t>0863</t>
  </si>
  <si>
    <t>Certification Status</t>
  </si>
  <si>
    <t>An indication that the educator holds the certification required by his or her assignment.</t>
  </si>
  <si>
    <t>1419</t>
  </si>
  <si>
    <t>Charter School Location Duration</t>
  </si>
  <si>
    <t>An indication of permanency that a public charter school will be in a location.</t>
  </si>
  <si>
    <t>1572</t>
  </si>
  <si>
    <t>Charter School Location Duration
   13728 - Permanent
   13729 - Temporary</t>
  </si>
  <si>
    <t>Charter School Realty Access Type</t>
  </si>
  <si>
    <t>The type of real estate vehicle throughwhich a public charter school has access and control of its building space.</t>
  </si>
  <si>
    <t>1556</t>
  </si>
  <si>
    <t>Charter School Realty Access Type
   13691 - Leasehold
   13692 - Ownership by Charter Non-Profit Corporation
   13693 - Third Party Non-Profit Ownership
   14907 - Third-party public sector ownership</t>
  </si>
  <si>
    <t>Child-to-Instructional Staff Ratio</t>
  </si>
  <si>
    <t>The number of children per instructional staff member.</t>
  </si>
  <si>
    <t>1650</t>
  </si>
  <si>
    <t>5.2</t>
  </si>
  <si>
    <t>Children Service</t>
  </si>
  <si>
    <t>An indication of the children an employee serves in current employment.</t>
  </si>
  <si>
    <t>1276</t>
  </si>
  <si>
    <t>Previous Children Serviced
   02135 - Infants and Toddlers with Disabilities
   06057 - Infants and toddlers without disabilities
   06058 - Preschool children with disabilities
   06059 - Preschool children without disabilities
   06060 - Children in other age groups with disabilities
   06061 - Children in other age groups without disabilities
   09998 - None
   09999 - Other</t>
  </si>
  <si>
    <t>Circulation Space Type</t>
  </si>
  <si>
    <t>A space designed to enable people to move within the building.</t>
  </si>
  <si>
    <t>0940</t>
  </si>
  <si>
    <t>Circulation Space Type
   02774 - Hallway
   02775 - Stairway
   02776 - Lobby
   02516 - Elevator
   13593 - Lift
   02517 - Escalator
   13594 - Moving Walk
   13619 - Handicap Access Ramp
   09999 - Other</t>
  </si>
  <si>
    <t>Class Attendance Status</t>
  </si>
  <si>
    <t>The status of a student''s attendance in class.</t>
  </si>
  <si>
    <t>0640</t>
  </si>
  <si>
    <t>Class Attendance Status
   01904 - Early departure
   03451 - Absent
   01900 - In attendance/present
   01903 - Tardy</t>
  </si>
  <si>
    <t>Class Organization</t>
  </si>
  <si>
    <t>The structure in which class instruction is arranged.</t>
  </si>
  <si>
    <t>0094</t>
  </si>
  <si>
    <t>Class Organization
   00580 - Departmentalized instruction
   00581 - Self-contained class
   00582 - Elementary enrichment class
   00584 - Team-taught class
   00003 - Pull-out class
   00472 - Self-contained class (special education)
   03170 - Ability group class</t>
  </si>
  <si>
    <t>Class Pace</t>
  </si>
  <si>
    <t>The pace at which class instruction is arranged.</t>
  </si>
  <si>
    <t>1146</t>
  </si>
  <si>
    <t>Class Pace
   01860 - Self-paced
   03483 - Controlled paced
   03484 - Combination of self-paced and control paced</t>
  </si>
  <si>
    <t>Classroom Instruction Use Type</t>
  </si>
  <si>
    <t>Indication of the particular grade levels that receives instruction in the classroom.</t>
  </si>
  <si>
    <t>0953</t>
  </si>
  <si>
    <t>Cleaning Standard</t>
  </si>
  <si>
    <t>The standard for cleanliness, and benchmarks for how much space can be assigned to one properly supplied custodian to meet these standards.</t>
  </si>
  <si>
    <t>0978</t>
  </si>
  <si>
    <t>Cleaning Standard
   02831 - Level 1 cleaning
   02832 - Level 2 cleaning
   02833 - Level 3 cleaning
   02834 - Level 4 cleaning
   02835 - Level 5 cleaning</t>
  </si>
  <si>
    <t>Co-educational Status</t>
  </si>
  <si>
    <t>An indication of the genders to whom the school offers instruction.</t>
  </si>
  <si>
    <t>0096</t>
  </si>
  <si>
    <t>Co-educational Status
   00016 - Co-educational
   00017 - All-female
   00018 - All-male</t>
  </si>
  <si>
    <t>Collaborative Assignment</t>
  </si>
  <si>
    <t>An indication whether the assignment/activity was collaborative or independent.</t>
  </si>
  <si>
    <t>1293</t>
  </si>
  <si>
    <t>Collaborative Assignment
   07699 - Collaborative assignment
   07700 - Independent assignment
   07701 - Both collaborative and independent</t>
  </si>
  <si>
    <t>Commercial Equipment</t>
  </si>
  <si>
    <t>Food preparation equipment used for warming, cooking, drying, cleaning, freezing, or cooling.</t>
  </si>
  <si>
    <t>1525</t>
  </si>
  <si>
    <t>Communications Management Component System</t>
  </si>
  <si>
    <t>The types of system, interface, and management components for carrying voice, video, and data throughout a building.</t>
  </si>
  <si>
    <t>0892</t>
  </si>
  <si>
    <t>Communications Management Component System
   02498 - Voice
   02499 - Video
   02500 - Data
   02501 - Public address system
   14905 - Integrated (voice, data, video, etc.)
   09999 - Other</t>
  </si>
  <si>
    <t>Community Service Hours</t>
  </si>
  <si>
    <t>The number of hours the student participated in community service.</t>
  </si>
  <si>
    <t>1209</t>
  </si>
  <si>
    <t>Community Services Program Type</t>
  </si>
  <si>
    <t>The types of program of activities which are not directly related to the provision of educational services in a school system. These include services provided to the community as a whole or some segment of the community.</t>
  </si>
  <si>
    <t>1172</t>
  </si>
  <si>
    <t>Community Services Program
   04946 - Civic services
   04947 - Community recreation
   04948 - Coordination of casework
   04949 - Custody and child care services
   04950 - Public library services
   04951 - Welfare activities
   04952 - Other community services
   09999 - Other</t>
  </si>
  <si>
    <t>Community Use Space Type</t>
  </si>
  <si>
    <t>The space designed primarily for community or shared use.</t>
  </si>
  <si>
    <t>0938</t>
  </si>
  <si>
    <t>Community Use Space Type
   02760 - Before- and after-school office
   02761 - Child care and development space
   02762 - Health clinic
   02987 - Head Start space
   02763 - Parent room
   02764 - Before- and after-school care
   02765 - Community room
   02766 - Full-service health clinic
   02767 - Family resource center
   09999 - Other</t>
  </si>
  <si>
    <t>Compensation Amount</t>
  </si>
  <si>
    <t>The amount of income, supplemental pay, fringe benefits, or in-kind compensation an individual receives for performance of duties within a position.</t>
  </si>
  <si>
    <t>0504</t>
  </si>
  <si>
    <t>Compensation Description</t>
  </si>
  <si>
    <t>A description of the compensation (salary, supplemental pay, fringe benefits, in-kind compensation, or other) an individual receives for the position.</t>
  </si>
  <si>
    <t>0502</t>
  </si>
  <si>
    <t>Compensation Eligibility</t>
  </si>
  <si>
    <t>The maximum amount of income, supplemental pay, fringe benefits, or in-kind compensation an individual is eligible to receive for performance of duties within a position.</t>
  </si>
  <si>
    <t>0503</t>
  </si>
  <si>
    <t>Completion Date</t>
  </si>
  <si>
    <t>The month, day, and year on which an individual completed a course, an education program or a staff development activity.</t>
  </si>
  <si>
    <t>0368</t>
  </si>
  <si>
    <t>Compliance Agency Type</t>
  </si>
  <si>
    <t>The type of agency that has ultimate responsibility for the compliance determination.</t>
  </si>
  <si>
    <t>1109</t>
  </si>
  <si>
    <t>Responsible Compliance Agency Type
   00860 - State agency
   00214 - Regional or intermediate educational agency
   00862 - Local (e.g., school board, city council, municipal board)
   00864 - Private/Religious
   00865 - Charter board
   13652 - Federal Agency</t>
  </si>
  <si>
    <t>Compliance Determination Date</t>
  </si>
  <si>
    <t>The month, day, and year that the school, building, site, system, component, equipment, or fixture compliance status was determined.</t>
  </si>
  <si>
    <t>0904</t>
  </si>
  <si>
    <t>Compliance Name</t>
  </si>
  <si>
    <t>The name of the inspection or process that indicates conformity to the requirements or standards specified in federal, state, or local standards or codes.</t>
  </si>
  <si>
    <t>1130</t>
  </si>
  <si>
    <t>Compliance Status</t>
  </si>
  <si>
    <t>An indication of whether the school, building, site, system, component, equipment, vehicle, or fixture conforms to the requirements or standards specified in federal, state, or local standards or codes or other officially required guidelines or regulations.</t>
  </si>
  <si>
    <t>0903</t>
  </si>
  <si>
    <t>Compliance Status
   02570 - In compliance
   02571 - Not in compliance
   02572 - Planned compliance
   02573 - Waived compliance</t>
  </si>
  <si>
    <t>Component Deficiency</t>
  </si>
  <si>
    <t>A description of the component, system, or finish that needs replacement, repair, or maintenance to perform at an optimal level.</t>
  </si>
  <si>
    <t>0913</t>
  </si>
  <si>
    <t>Component Identification Code</t>
  </si>
  <si>
    <t>A unique number or alphanumeric code assigned to a component by a school, school system, state, or other agency or entity.</t>
  </si>
  <si>
    <t>0918</t>
  </si>
  <si>
    <t>Compulsory Attendance Status at Time of Discontinuing School</t>
  </si>
  <si>
    <t>Information about a student at the time of discontinuing school, recorded in accordance with state or local laws and regulations for compulsory school attendance. This may include information about the student's age, his or her progress, the distance from his or her residence to the school or school bus route, economic needs of his or her family, and employment status as it relates to his or her attendance status.</t>
  </si>
  <si>
    <t>0651</t>
  </si>
  <si>
    <t>Condition of Employment</t>
  </si>
  <si>
    <t>Information concerning the employment contract between an individual and an organization.</t>
  </si>
  <si>
    <t>0433</t>
  </si>
  <si>
    <t>Condition of System or Component</t>
  </si>
  <si>
    <t>The rating of the system or component functions under the demands of its regular operation.</t>
  </si>
  <si>
    <t>0912</t>
  </si>
  <si>
    <t>Condition of System or Component
   02561 - Excellent System or Component Condition
   02562 - Good System or Component Condition
   02563 - Adequate system or component condition
   02564 - Fair System or Component Condition
   02565 - Poor System or Component Condition
   02983 - Nonoperable system or component condition
   02566 - Urgent building system or component condition
   02567 - Emergency system or component condition</t>
  </si>
  <si>
    <t>Condition Onset Date</t>
  </si>
  <si>
    <t>The month, day, and year of the onset of a condition.</t>
  </si>
  <si>
    <t>0767</t>
  </si>
  <si>
    <t>Congressional District Number</t>
  </si>
  <si>
    <t>The legislatively defined subdivisions of a State for the purpose of electing representatives or delegates to the House of Representatives of the United States Congress. A State or equivalent entity may comprise a single congressional district or similar representational area. The Federal Information Processing Standard (FIPS) provides the structure of numeric codes for representing congressional districts and similar areas defined for the various Congresses of the United States.  The Congressional Districts Number is a two-digit numeric code. (Note: The Congressional District code can be accessed online by visiting the FIPS Home Page at http://www.itl.nist.gov/fipspubs/.)</t>
  </si>
  <si>
    <t>1095</t>
  </si>
  <si>
    <t>Construction Date</t>
  </si>
  <si>
    <t>The month, day, and year on which construction of a building, addition, or improvement was completed.</t>
  </si>
  <si>
    <t>0872</t>
  </si>
  <si>
    <t>Construction Date Type</t>
  </si>
  <si>
    <t>Designation of the nature of the construction completion date.</t>
  </si>
  <si>
    <t>0873</t>
  </si>
  <si>
    <t>Construction Date Type
   02420 - Actual
   02421 - Estimated</t>
  </si>
  <si>
    <t>Construction Material Type</t>
  </si>
  <si>
    <t>The primary material used for the construction of a building.</t>
  </si>
  <si>
    <t>0874</t>
  </si>
  <si>
    <t>Construction Material Type
   02422 - Brick
   02423 - Brick veneer
   02424 - Block
   02425 - Wood frame
   02426 - Concrete
   02427 - Prefabricated
   02428 - Aluminum
   02429 - Steel
   02430 - Adobe
   09999 - Other</t>
  </si>
  <si>
    <t>Contract Beginning Date</t>
  </si>
  <si>
    <t>The month, day, and year on which a contract between an individual and a governing authority specifies that employment is to begin (or the date on which the agreement is made valid).</t>
  </si>
  <si>
    <t>0469</t>
  </si>
  <si>
    <t>Contract Ending Date</t>
  </si>
  <si>
    <t>The month, day, and year on which a contract between an individual and a governing authority specifies that employment is to end (or the date on which the agreement is no longer valid).</t>
  </si>
  <si>
    <t>0470</t>
  </si>
  <si>
    <t>Contractual Term</t>
  </si>
  <si>
    <t>The length of the contract under which an individual is employed by an employer.</t>
  </si>
  <si>
    <t>0468</t>
  </si>
  <si>
    <t>Contractual Term
   01439 - Short-term
   00410 - Annual year
   01440 - Continuing
   01441 - Renewable
   01442 - Multiyear
   09999 - Other</t>
  </si>
  <si>
    <t>Contruction Year</t>
  </si>
  <si>
    <t>The year the building was first constructed.</t>
  </si>
  <si>
    <t>1517</t>
  </si>
  <si>
    <t>Cooling Generation System</t>
  </si>
  <si>
    <t>The type of mechanical systems and building designs used for cooling.</t>
  </si>
  <si>
    <t>0890</t>
  </si>
  <si>
    <t>Cooling System
   02486 - Central cooling system
   02487 - Local zone cooling system
   02488 - Individual (room) unit cooling system
   02489 - Combination cooling systems
   02490 - Ceiling fans or ventilation fans
   02491 - Natural systems
   09998 - None
   09999 - Other</t>
  </si>
  <si>
    <t>Copyright Date</t>
  </si>
  <si>
    <t>The month, day, and year that a publication lists for its copyright.</t>
  </si>
  <si>
    <t>0098</t>
  </si>
  <si>
    <t>Copyright Holder</t>
  </si>
  <si>
    <t>Name of the copyright holder</t>
  </si>
  <si>
    <t>1501</t>
  </si>
  <si>
    <t>Corrected Score/Results</t>
  </si>
  <si>
    <t>A revised qualitative or quantitative description or indicator of an individual's health status, condition, performance, or assessed ability with the assistance of corrective equipment. This is recorded after a medical examination is performed.</t>
  </si>
  <si>
    <t>0757</t>
  </si>
  <si>
    <t>Corrective Equipment Prescribed</t>
  </si>
  <si>
    <t>A description of the corrective equipment (e.g., contact lenses, glasses, or hearing aid) that an individual's condition necessitates.</t>
  </si>
  <si>
    <t>0764</t>
  </si>
  <si>
    <t>Corrective Equipment Purpose</t>
  </si>
  <si>
    <t>A description of the reason for or the prescribed use of corrective equipment.</t>
  </si>
  <si>
    <t>0765</t>
  </si>
  <si>
    <t>County Federal Information Processing Standards Code</t>
  </si>
  <si>
    <t>The Federal Information Processing Standards (FIPS) numeric code for the county issued by the National Institute of Standards and Technology (NIST). Counties are considered to be the `first-order subdivisions` of each State and statistically equivalent entity, regardless of their local designations (county, parish, borough, etc.).  Counties in different States will have the same code. A unique county number is created when combined with the 2-digit FIPS State Code.</t>
  </si>
  <si>
    <t>0100</t>
  </si>
  <si>
    <t>FIPS County Code
   10000 - 01001
   10001 - 01003
   10002 - 01005
   10003 - 01007
   10004 - 01009
   10005 - 01011
   10006 - 01013
   10007 - 01015
   10008 - 01017
   10009 - 01019
   10010 - 01021
   10011 - 01023
   10012 - 01025
   10013 - 01027
   10014 - 01029
   10015 - 01031
   10016 - 01033
   10017 - 01035
   10018 - 01037
   10019 - 01039
   10020 - 01041
   10021 - 01043
   10022 - 01045
   10023 - 01047
   10024 - 01049
   10025 - 01051
   10026 - 01053
   10027 - 01055
   10028 - 01057
   10029 - 01059
   10030 - 01061
   10031 - 01063
   10032 - 01065
   10033 - 01067
   10034 - 01069
   10035 - 01071
   10036 - 01073
   10037 - 01075
   10038 - 01077
   10039 - 01079
   10040 - 01081
   10041 - 01083
   10042 - 01085
   10043 - 01087
   10044 - 01089
   10045 - 01091
   10046 - 01093
   10047 - 01095
   10048 - 01097
   10049 - 01099
   10050 - 01101
   10051 - 01103
   10052 - 01105
   10053 - 01107
   10054 - 01109
   10055 - 01111
   10056 - 01113
   10057 - 01115
   10058 - 01117
   10059 - 01119
   10060 - 01121
   10061 - 01123
   10062 - 01125
   10063 - 01127
   10064 - 01129
   10065 - 01131
   10066 - 01133
   10067 - 02013
   10068 - 02016
   10069 - 02020
   10070 - 02050
   10071 - 02060
   10072 - 02068
   10073 - 02070
   10074 - 02090
   10075 - 02100
   10076 - 02110
   10077 - 02122
   10078 - 02130
   10079 - 02150
   10080 - 02164
   10081 - 02170
   10082 - 02180
   10083 - 02185
   10084 - 02188
   10085 - 02201
   10086 - 02220
   10087 - 02231
   10088 - 02240
   10089 - 02261
   10090 - 02270
   10091 - 02280
   10092 - 02290
   10093 - 04001
   10094 - 04003
   10095 - 04005
   10096 - 04007
   10097 - 04009
   10098 - 04011
   10099 - 04012
   10100 - 04013
   10101 - 04015
   10102 - 04017
   10103 - 04019
   10104 - 04021
   10105 - 04023
   10106 - 04025
   10107 - 04027
   10108 - 05001
   10109 - 05003
   10110 - 05005
   10111 - 05007
   10112 - 05009
   10113 - 05011
   10114 - 05013
   10115 - 05015
   10116 - 05017
   10117 - 05019
   10118 - 05021
   10119 - 05023
   10120 - 05025
   10121 - 05027
   10122 - 05029
   10123 - 05031
   10124 - 05033
   10125 - 05035
   10126 - 05037
   10127 - 05039
   10128 - 05041
   10129 - 05043
   10130 - 05045
   10131 - 05047
   10132 - 05049
   10133 - 05051
   10134 - 05053
   10135 - 05055
   10136 - 05057
   10137 - 05059
   10138 - 05061
   10139 - 05063
   10140 - 05065
   10141 - 05067
   10142 - 05069
   10143 - 05071
   10144 - 05073
   10145 - 05075
   10146 - 05077
   10147 - 05079
   10148 - 05081
   10149 - 05083
   10150 - 05085
   10151 - 05087
   10152 - 05089
   10153 - 05091
   10154 - 05093
   10155 - 05095
   10156 - 05097
   10157 - 05099
   10158 - 05101
   10159 - 05103
   10160 - 05105
   10161 - 05107
   10162 - 05109
   10163 - 05111
   10164 - 05113
   10165 - 05115
   10166 - 05117
   10167 - 05119
   10168 - 05121
   10169 - 05123
   10170 - 05125
   10171 - 05127
   10172 - 05129
   10173 - 05131
   10174 - 05133
   10175 - 05135
   10176 - 05137
   10177 - 05139
   10178 - 05141
   10179 - 05143
   10180 - 05145
   10181 - 05147
   10182 - 05149
   10183 - 06001
   10184 - 06003
   10185 - 06005
   10186 - 06007
   10187 - 06009
   10188 - 06011
   10189 - 06013
   10190 - 06015
   10191 - 06017
   10192 - 06019
   10193 - 06021
   10194 - 06023
   10195 - 06025
   10196 - 06027
   10197 - 06029
   10198 - 06031
   10199 - 06033
   10200 - 06035
   10201 - 06037
   10202 - 06039
   10203 - 06041
   10204 - 06043
   10205 - 06045
   10206 - 06047
   10207 - 06049
   10208 - 06051
   10209 - 06053
   10210 - 06055
   10211 - 06057
   10212 - 06059
   10213 - 06061
   10214 - 06063
   10215 - 06065
   10216 - 06067
   10217 - 06069
   10218 - 06071
   10219 - 06073
   10220 - 06075
   10221 - 06077
   10222 - 06079
   10223 - 06081
   10224 - 06083
   10225 - 06085
   10226 - 06087
   10227 - 06089
   10228 - 06091
   10229 - 06093
   10230 - 06095
   10231 - 06097
   10232 - 06099
   10233 - 06101
   10234 - 06103
   10235 - 06105
   10236 - 06107
   10237 - 06109
   10238 - 06111
   10239 - 06113
   10240 - 06115
   10241 - 08001
   10242 - 08003
   10243 - 08005
   10244 - 08007
   10245 - 08009
   10246 - 08011
   10247 - 08013
   10248 - 08015
   10249 - 08017
   10250 - 08019
   10251 - 08021
   10252 - 08023
   10253 - 08025
   10254 - 08027
   10255 - 08029
   10256 - 08031
   10257 - 08033
   10258 - 08035
   10259 - 08037
   10260 - 08039
   10261 - 08041
   10262 - 08043
   10263 - 08045
   10264 - 08047
   10265 - 08049
   10266 - 08051
   10267 - 08053
   10268 - 08055
   10269 - 08057
   10270 - 08059
   10271 - 08061
   10272 - 08063
   10273 - 08065
   10274 - 08067
   10275 - 08069
   10276 - 08071
   10277 - 08073
   10278 - 08075
   10279 - 08077
   10280 - 08079
   10281 - 08081
   10282 - 08083
   10283 - 08085
   10284 - 08087
   10285 - 08089
   10286 - 08091
   10287 - 08093
   10288 - 08095
   10289 - 08097
   10290 - 08099
   10291 - 08101
   10292 - 08103
   10293 - 08105
   10294 - 08107
   10295 - 08109
   10296 - 08111
   10297 - 08113
   10298 - 08115
   10299 - 08117
   10300 - 08119
   10301 - 08121
   10302 - 08123
   10303 - 08125
   10304 - 09001
   10305 - 09003
   10306 - 09005
   10307 - 09007
   10308 - 09009
   10309 - 09011
   10310 - 09013
   10311 - 09015
   10312 - 10001
   10313 - 10003
   10314 - 10005
   10315 - 11001
   10316 - 12001
   10317 - 12003
   10318 - 12005
   10319 - 12007
   10320 - 12009
   10321 - 12011
   10322 - 12013
   10323 - 12015
   10324 - 12017
   10325 - 12019
   10326 - 12021
   10327 - 12023
   10328 - 12027
   10329 - 12029
   10330 - 12031
   10331 - 12033
   10332 - 12035
   10333 - 12037
   10334 - 12039
   10335 - 12041
   10336 - 12043
   10337 - 12045
   10338 - 12047
   10339 - 12049
   10340 - 12051
   10341 - 12053
   10342 - 12055
   10343 - 12057
   10344 - 12059
   10345 - 12061
   10346 - 12063
   10347 - 12065
   10348 - 12067
   10349 - 12069
   10350 - 12071
   10351 - 12073
   10352 - 12075
   10353 - 12077
   10354 - 12079
   10355 - 12081
   10356 - 12083
   10357 - 12085
   10358 - 12086
   10359 - 12087
   10360 - 12089
   10361 - 12091
   10362 - 12093
   10363 - 12095
   10364 - 12097
   10365 - 12099
   10366 - 12101
   10367 - 12103
   10368 - 12105
   10369 - 12107
   10370 - 12109
   10371 - 12111
   10372 - 12113
   10373 - 12115
   10374 - 12117
   10375 - 12119
   10376 - 12121
   10377 - 12123
   10378 - 12125
   10379 - 12127
   10380 - 12129
   10381 - 12131
   10382 - 12133
   10383 - 13001
   10384 - 13003
   10385 - 13005
   10386 - 13007
   10387 - 13009
   10388 - 13011
   10389 - 13013
   10390 - 13015
   10391 - 13017
   10392 - 13019
   10393 - 13021
   10394 - 13023
   10395 - 13025
   10396 - 13027
   10397 - 13029
   10398 - 13031
   10399 - 13033
   10400 - 13035
   10401 - 13037
   10402 - 13039
   10403 - 13043
   10404 - 13045
   10405 - 13047
   10406 - 13049
   10407 - 13051
   10408 - 13053
   10409 - 13055
   10410 - 13057
   10411 - 13059
   10412 - 13061
   10413 - 13063
   10414 - 13065
   10415 - 13067
   10416 - 13069
   10417 - 13071
   10418 - 13073
   10419 - 13075
   10420 - 13077
   10421 - 13079
   10422 - 13081
   10423 - 13083
   10424 - 13085
   10425 - 13087
   10426 - 13089
   10427 - 13091
   10428 - 13093
   10429 - 13095
   10430 - 13097
   10431 - 13099
   10432 - 13101
   10433 - 13103
   10434 - 13105
   10435 - 13107
   10436 - 13109
   10437 - 13111
   10438 - 13113
   10439 - 13115
   10440 - 13117
   10441 - 13119
   10442 - 13121
   10443 - 13123
   10444 - 13125
   10445 - 13127
   10446 - 13129
   10447 - 13131
   10448 - 13133
   10449 - 13135
   10450 - 13137
   10451 - 13139
   10452 - 13141
   10453 - 13143
   10454 - 13145
   10455 - 13147
   10456 - 13149
   10457 - 13151
   10458 - 13153
   10459 - 13155
   10460 - 13157
   10461 - 13159
   10462 - 13161
   10463 - 13163
   10464 - 13165
   10465 - 13167
   10466 - 13169
   10467 - 13171
   10468 - 13173
   10469 - 13175
   10470 - 13177
   10471 - 13179
   10472 - 13181
   10473 - 13183
   10474 - 13185
   10475 - 13187
   10476 - 13189
   10477 - 13191
   10478 - 13193
   10479 - 13195
   10480 - 13197
   10481 - 13199
   10482 - 13201
   10483 - 13205
   10484 - 13207
   10485 - 13209
   10486 - 13211
   10487 - 13213
   10488 - 13215
   10489 - 13217
   10490 - 13219
   10491 - 13221
   10492 - 13223
   10493 - 13225
   10494 - 13227
   10495 - 13229
   10496 - 13231
   10497 - 13233
   10498 - 13235
   10499 - 13237
   10500 - 13239
   10501 - 13241
   10502 - 13243
   10503 - 13245
   10504 - 13247
   10505 - 13249
   10506 - 13251
   10507 - 13253
   10508 - 13255
   10509 - 13257
   10510 - 13259
   10511 - 13261
   10512 - 13263
   10513 - 13265
   10514 - 13267
   10515 - 13269
   10516 - 13271
   10517 - 13273
   10518 - 13275
   10519 - 13277
   10520 - 13279
   10521 - 13281
   10522 - 13283
   10523 - 13285
   10524 - 13287
   10525 - 13289
   10526 - 13291
   10527 - 13293
   10528 - 13295
   10529 - 13297
   10530 - 13299
   10531 - 13301
   10532 - 13303
   10533 - 13305
   10534 - 13307
   10535 - 13309
   10536 - 13311
   10537 - 13313
   10538 - 13315
   10539 - 13317
   10540 - 13319
   10541 - 13321
   10542 - 15001
   10543 - 15003
   10544 - 15005
   10545 - 15007
   10546 - 15009
   10547 - 16001
   10548 - 16003
   10549 - 16005
   10550 - 16007
   10551 - 16009
   10552 - 16011
   10553 - 16013
   10554 - 16015
   10555 - 16017
   10556 - 16019
   10557 - 16021
   10558 - 16023
   10559 - 16025
   10560 - 16027
   10561 - 16029
   10562 - 16031
   10563 - 16033
   10564 - 16035
   10565 - 16037
   10566 - 16039
   10567 - 16041
   10568 - 16043
   10569 - 16045
   10570 - 16047
   10571 - 16049
   10572 - 16051
   10573 - 16053
   10574 - 16055
   10575 - 16057
   10576 - 16059
   10577 - 16061
   10578 - 16063
   10579 - 16065
   10580 - 16067
   10581 - 16069
   10582 - 16071
   10583 - 16073
   10584 - 16075
   10585 - 16077
   10586 - 16079
   10587 - 16081
   10588 - 16083
   10589 - 16085
   10590 - 16087
   10591 - 17001
   10592 - 17003
   10593 - 17005
   10594 - 17007
   10595 - 17009
   10596 - 17011
   10597 - 17013
   10598 - 17015
   10599 - 17017
   10600 - 17019
   10601 - 17021
   10602 - 17023
   10603 - 17025
   10604 - 17027
   10605 - 17029
   10606 - 17031
   10607 - 17033
   10608 - 17035
   10609 - 17037
   10610 - 17039
   10611 - 17041
   10612 - 17043
   10613 - 17045
   10614 - 17047
   10615 - 17049
   10616 - 17051
   10617 - 17053
   10618 - 17055
   10619 - 17057
   10620 - 17059
   10621 - 17061
   10622 - 17063
   10623 - 17065
   10624 - 17067
   10625 - 17069
   10626 - 17071
   10627 - 17073
   10628 - 17075
   10629 - 17077
   10630 - 17079
   10631 - 17081
   10632 - 17083
   10633 - 17085
   10634 - 17087
   10635 - 17089
   10636 - 17091
   10637 - 17093
   10638 - 17095
   10639 - 17097
   10640 - 17099
   10641 - 17101
   10642 - 17103
   10643 - 17105
   10644 - 17107
   10645 - 17109
   10646 - 17111
   10647 - 17113
   10648 - 17115
   10649 - 17117
   10650 - 17119
   10651 - 17121
   10652 - 17123
   10653 - 17125
   10654 - 17127
   10655 - 17129
   10656 - 17131
   10657 - 17133
   10658 - 17135
   10659 - 17137
   10660 - 17139
   10661 - 17141
   10662 - 17143
   10663 - 17145
   10664 - 17147
   10665 - 17149
   10666 - 17151
   10667 - 17153
   10668 - 17155
   10669 - 17157
   10670 - 17159
   10671 - 17161
   10672 - 17163
   10673 - 17165
   10674 - 17167
   10675 - 17169
   10676 - 17171
   10677 - 17173
   10678 - 17175
   10679 - 17177
   10680 - 17179
   10681 - 17181
   10682 - 17183
   10683 - 17185
   10684 - 17187
   10685 - 17189
   10686 - 17191
   10687 - 17193
   10688 - 17195
   10689 - 17197
   10690 - 17199
   10691 - 17201
   10692 - 17203
   10693 - 18001
   10694 - 18003
   10695 - 18005
   10696 - 18007
   10697 - 18009
   10698 - 18011
   10699 - 18013
   10700 - 18015
   10701 - 18017
   10702 - 18019
   10703 - 18021
   10704 - 18023
   10705 - 18025
   10706 - 18027
   10707 - 18029
   10708 - 18031
   10709 - 18033
   10710 - 18035
   10711 - 18037
   10712 - 18039
   10713 - 18041
   10714 - 18043
   10715 - 18045
   10716 - 18047
   10717 - 18049
   10718 - 18051
   10719 - 18053
   10720 - 18055
   10721 - 18057
   10722 - 18059
   10723 - 18061
   10724 - 18063
   10725 - 18065
   10726 - 18067
   10727 - 18069
   10728 - 18071
   10729 - 18073
   10730 - 18075
   10731 - 18077
   10732 - 18079
   10733 - 18081
   10734 - 18083
   10735 - 18085
   10736 - 18087
   10737 - 18089
   10738 - 18091
   10739 - 18093
   10740 - 18095
   10741 - 18097
   10742 - 18099
   10743 - 18101
   10744 - 18103
   10745 - 18105
   10746 - 18107
   10747 - 18109
   10748 - 18111
   10749 - 18113
   10750 - 18115
   10751 - 18117
   10752 - 18119
   10753 - 18121
   10754 - 18123
   10755 - 18125
   10756 - 18127
   10757 - 18129
   10758 - 18131
   10759 - 18133
   10760 - 18135
   10761 - 18137
   10762 - 18139
   10763 - 18141
   10764 - 18143
   10765 - 18145
   10766 - 18147
   10767 - 18149
   10768 - 18151
   10769 - 18153
   10770 - 18155
   10771 - 18157
   10772 - 18159
   10773 - 18161
   10774 - 18163
   10775 - 18165
   10776 - 18167
   10777 - 18169
   10778 - 18171
   10779 - 18173
   10780 - 18175
   10781 - 18177
   10782 - 18179
   10783 - 18181
   10784 - 18183
   10785 - 19001
   10786 - 19003
   10787 - 19005
   10788 - 19007
   10789 - 19009
   10790 - 19011
   10791 - 19013
   10792 - 19015
   10793 - 19017
   10794 - 19019
   10795 - 19021
   10796 - 19023
   10797 - 19025
   10798 - 19027
   10799 - 19029
   10800 - 19031
   10801 - 19033
   10802 - 19035
   10803 - 19037
   10804 - 19039
   10805 - 19041
   10806 - 19043
   10807 - 19045
   10808 - 19047
   10809 - 19049
   10810 - 19051
   10811 - 19053
   10812 - 19055
   10813 - 19057
   10814 - 19059
   10815 - 19061
   10816 - 19063
   10817 - 19065
   10818 - 19067
   10819 - 19069
   10820 - 19071
   10821 - 19073
   10822 - 19075
   10823 - 19077
   10824 - 19079
   10825 - 19081
   10826 - 19083
   10827 - 19085
   10828 - 19087
   10829 - 19089
   10830 - 19091
   10831 - 19093
   10832 - 19095
   10833 - 19097
   10834 - 19099
   10835 - 19101
   10836 - 19103
   10837 - 19105
   10838 - 19107
   10839 - 19109
   10840 - 19111
   10841 - 19113
   10842 - 19115
   10843 - 19117
   10844 - 19119
   10845 - 19121
   10846 - 19123
   10847 - 19125
   10848 - 19127
   10849 - 19129
   10850 - 19131
   10851 - 19133
   10852 - 19135
   10853 - 19137
   10854 - 19139
   10855 - 19141
   10856 - 19143
   10857 - 19145
   10858 - 19147
   10859 - 19149
   10860 - 19151
   10861 - 19153
   10862 - 19155
   10863 - 19157
   10864 - 19159
   10865 - 19161
   10866 - 19163
   10867 - 19165
   10868 - 19167
   10869 - 19169
   10870 - 19171
   10871 - 19173
   10872 - 19175
   10873 - 19177
   10874 - 19179
   10875 - 19181
   10876 - 19183
   10877 - 19185
   10878 - 19187
   10879 - 19189
   10880 - 19191
   10881 - 19193
   10882 - 19195
   10883 - 19197
   10884 - 20001
   10885 - 20003
   10886 - 20005
   10887 - 20007
   10888 - 20009
   10889 - 20011
   10890 - 20013
   10891 - 20015
   10892 - 20017
   10893 - 20019
   10894 - 20021
   10895 - 20023
   10896 - 20025
   10897 - 20027
   10898 - 20029
   10899 - 20031
   10900 - 20033
   10901 - 20035
   10902 - 20037
   10903 - 20039
   10904 - 20041
   10905 - 20043
   10906 - 20045
   10907 - 20047
   10908 - 20049
   10909 - 20051
   10910 - 20053
   10911 - 20055
   10912 - 20057
   10913 - 20059
   10914 - 20061
   10915 - 20063
   10916 - 20065
   10917 - 20067
   10918 - 20069
   10919 - 20071
   10920 - 20073
   10921 - 20075
   10922 - 20077
   10923 - 20079
   10924 - 20081
   10925 - 20083
   10926 - 20085
   10927 - 20087
   10928 - 20089
   10929 - 20091
   10930 - 20093
   10931 - 20095
   10932 - 20097
   10933 - 20099
   10934 - 20101
   10935 - 20103
   10936 - 20105
   10937 - 20107
   10938 - 20109
   10939 - 20111
   10940 - 20113
   10941 - 20115
   10942 - 20117
   10943 - 20119
   10944 - 20121
   10945 - 20123
   10946 - 20125
   10947 - 20127
   10948 - 20129
   10949 - 20131
   10950 - 20133
   10951 - 20135
   10952 - 20137
   10953 - 20139
   10954 - 20141
   10955 - 20143
   10956 - 20145
   10957 - 20147
   10958 - 20149
   10959 - 20151
   10960 - 20153
   10961 - 20155
   10962 - 20157
   10963 - 20159
   10964 - 20161
   10965 - 20163
   10966 - 20165
   10967 - 20167
   10968 - 20169
   10969 - 20171
   10970 - 20173
   10971 - 20175
   10972 - 20177
   10973 - 20179
   10974 - 20181
   10975 - 20183
   10976 - 20185
   10977 - 20187
   10978 - 20189
   10979 - 20191
   10980 - 20193
   10981 - 20195
   10982 - 20197
   10983 - 20199
   10984 - 20201
   10985 - 20203
   10986 - 20205
   10987 - 20207
   10988 - 20209
   10990 - 21003
   10991 - 21005
   10992 - 21007
   10993 - 21009
   10994 - 21011
   10995 - 21013
   10996 - 21015
   10997 - 21017
   10998 - 21019
   10989 - 21001
   10999 - 21021
   11000 - 21023
   11001 - 21025
   11002 - 21027
   11003 - 21029
   11004 - 21031
   11005 - 21033
   11006 - 21035
   11007 - 21037
   11008 - 21039
   11009 - 21041
   11010 - 21043  
   11011 - 21045
   11012 - 21047
   11013 - 21049
   11014 - 21051
   11015 - 21053
   11016 - 21055
   11017 - 21057
   11018 - 21059
   11019 - 21061
   11020 - 21063
   11021 - 21065
   11022 - 21067
   11023 - 21069
   11024 - 21071
   11025 - 21073
   11026 - 21075
   11027 - 21077
   11028 - 21079
   11029 - 21081
   11030 - 21083
   11031 - 21085
   11032 - 21087
   11033 - 21089
   11034 - 21091
   11035 - 21093
   11036 - 21095
   11037 - 21097
   11038 - 21099
   11039 - 21101
   11040 - 21103
   11041 - 21105
   11042 - 21107
   11043 - 21109
   11044 - 21111
   11045 - 21113
   11046 - 21115
   11047 - 21117
   11048 - 21119
   11049 - 21121
   11050 - 21123
   11051 - 21125
   11052 - 21127
   11053 - 21129
   11054 - 21131
   11055 - 21133
   11056 - 21135
   11057 - 21137
   11058 - 21139
   11059 - 21141
   11060 - 21143
   11061 - 21145
   11062 - 21147
   11063 - 21149
   11064 - 21151
   11065 - 21153
   11066 - 21155
   11067 - 21157
   11068 - 21159
   11069 - 21161
   11070 - 21163
   11071 - 21165
   11072 - 21167
   11073 - 21169
   11074 - 21171
   11075 - 21173
   11076 - 21175
   11077 - 21177
   11078 - 21179
   11079 - 21181
   11080 - 21183
   11081 - 21185
   11082 - 21187
   11083 - 21189
   11084 - 21191
   11085 - 21193
   11086 - 21195
   11087 - 21197
   11088 - 21199
   11089 - 21201
   11090 - 21203
   11091 - 21205
   11092 - 21207
   11093 - 21209
   11094 - 21211
   11095 - 21213
   11096 - 21215
   11097 - 21217
   11098 - 21219
   11099 - 21221
   11100 - 21223
   11101 - 21225
   11102 - 21227
   11103 - 21229
   11104 - 21231
   11105 - 21233
   11106 - 21235
   11107 - 21237
   11108 - 21239
   11109 - 22001
   11110 - 22003
   11111 - 22005
   11112 - 22007
   11113 - 22009
   11114 - 22011
   11115 - 22013
   11116 - 22015
   11117 - 22017
   11118 - 22019
   11119 - 22021
   11120 - 22023
   11121 - 22025
   11122 - 22027
   11123 - 22029
   11124 - 22031
   11125 - 22033
   11126 - 22035
   11127 - 22037
   11128 - 22039
   11129 - 22041
   11130 - 22043
   11131 - 22045  
   11132 - 22047
   11133 - 22049
   11134 - 22051
   11135 - 22053
   11136 - 22055
   11137 - 22057
   11138 - 22059
   11139 - 22061
   11140 - 22063
   11141 - 22065
   11142 - 22067
   11143 - 22069
   11144 - 22071
   11145 - 22073
   11146 - 22075
   11147 - 22077
   11148 - 22079
   11149 - 02281
   11150 - 22083
   11151 - 22085 
   11152 - 22087  
   11153 - 22089
   11154 - 22091
   11155 - 22093  
   11156 - 22095
   11157 - 22097
   11158 - 22099  
   11159 - 22101  
   11160 - 22103  
   11161 - 22105
   11162 - 22107
   11163 - 22109
   11164 - 22111
   11165 - 22113
   11166 - 22115
   11167 - 22117
   11168 - 22119
   11169 - 22121  
   11170 - 22123
   11171 - 22125  
   11172 - 22127
   11173 - 23001  
   11174 - 23003
   11175 - 23005
   11176 - 23007
   11177 - 23009
   11178 - 23011
   11179 - 23013
   11180 - 23015
   11181 - 23017
   11182 - 23019  
   11183 - 23021     
   11184 - 23023  
   11185 - 23025
   11186 - 23027
   11187 - 23029
   11188 - 23031
   11189 - 24001
   11190 - 24003
   11191 - 24005
   11192 - 24009
   11193 - 24011
   11194 - 24013
   11195 - 24015
   11196 - 24017
   11197 - 24019
   11198 - 24021  
   11199 - 24023
   11200 - 24025
   11201 - 24027
   11202 - 24029
   11203 - 24031
   11204 - 24033  
   11205 - 24035
   11206 - 24037
   11207 - 24039
   11208 - 24041
   11209 - 25001
   11210 - 25003
   11211 - 25005
   11212 - 25007
   11213 - 25009
   11214 - 25011
   11215 - 25013
   11216 - 25015
   11217 - 25017
   11218 - 25019
   11219 - 25021
   11220 - 25023
   11221 - 25025
   11222 - 25027
   11223 - 26001
   11224 - 26003
   11225 - 26005
   11226 - 26007
   11227 - 26009
   11228 - 26011
   11229 - 26013
   11230 - 26015
   11231 - 26017
   11232 - 26019
   11233 - 26021
   11234 - 26023
   11235 - 26025
   11236 - 26027
   11237 - 26029
   11238 - 26031  
   11239 - 26033
   11240 - 26035
   11241 - 26037
   11242 - 26039
   11243 - 26041
   11244 - 26043
   11245 - 26045
   11246 - 26047
   11247 - 26049
   11248 - 26051
   11249 - 26053
   11250 - 26055
   11251 - 26057
   11252 - 26059
   11253 - 26061
   11254 - 26063
   11255 - 26065
   11256 - 26067
   11257 - 26069
   11258 - 26071
   11259 - 26073
   11260 - 26075
   11261 - 26077
   11262 - 26079
   11263 - 26081
   11264 - 26083
   11265 - 26085
   11266 - 26087
   11267 - 26089
   11268 - 26091
   11269 - 26093
   11270 - 26095
   11271 - 26097
   11272 - 26099
   11273 - 26101
   11274 - 26103
   11275 - 26105
   11276 - 26107
   11277 - 26109
   11278 - 26111
   11279 - 26113   
   11280 - 26115
   11281 - 26117  
   11282 - 26119
   11283 - 26121  
   11284 - 26123
   11285 - 26125  
   11286 - 26127  
   11287 - 26129
   11288 - 26131
   11289 - 26133
   11290 - 26135
   11291 - 26137
   11292 - 26139
   11293 - 26141
   11294 - 26143
   11295 - 26145  
   11296 - 26147
   11297 - 26149
   11298 - 26151
   11299 - 26153
   11300 - 26155
   11301 - 26157
   11302 - 26159
   11303 - 26161
   11304 - 26163  
   11305 - 26165
   11306 - 27001
   11307 - 27003
   11308 - 27005
   11309 - 27007
   11310 - 27009
   11311 - 27011
   11312 - 27013
   11313 - 27015
   11314 - 27017
   11315 - 27019
   11316 - 27021
   11317 - 27023
   11318 - 27025
   11319 - 27027
   11320 - 27029  
   11321 - 27031
   11322 - 27033
   11323 - 27035
   11324 - 27037
   11325 - 27039
   11326 - 27041
   11327 - 27043
   11328 - 27045
   11329 - 27047
   11330 - 27049
   11331 - 27051
   11332 - 27053
   11333 - 27055
   11334 - 27057
   11335 - 27059
   11336 - 27061
   11337 - 27063
   11338 - 27065
   11339 - 27067
   11340 - 27069
   11341 - 27071
   11342 - 27073
   11343 - 27075
   11344 - 27077
   11345 - 27079
   11346 - 27081
   11347 - 27083
   11348 - 27085
   11349 - 27087
   11350 - 27089
   11351 - 27091
   11352 - 27093 
   11353 - 27095
   11354 - 27097 
   11355 - 27099
   11356 - 27101
   11357 - 27103
   11358 - 27105
   11359 - 27107
   11360 - 27109
   11361 - 27111
   11362 - 27113
   11363 - 27115
   11364 - 27117
   11365 - 27119
   11366 - 27121
   11367 - 27123
   11368 - 27125
   11369 - 27127
   11370 - 27129
   11371 - 27131
   11372 - 27133
   11373 - 27135
   11374 - 27137
   11375 - 27139
   11376 - 27141
   11377 - 27143   
   11378 - 27145
   11379 - 27147
   11380 - 27149  
   11381 - 27151
   11382 - 27153
   11383 - 27155
   11384 - 27157
   11385 - 27159
   11386 - 27161
   11387 - 27163   
   11388 - 27165
   11389 - 27167
   11390 - 27169
   11391 - 27171
   11392 - 27173
   11393 - 28001
   11394 - 28003
   11395 - 28005
   11396 - 28007
   11397 - 28009
   11398 - 28011
   11399 - 28013
   11400 - 28015
   11401 - 28017
   11402 - 28019
   11403 - 28021
   11404 - 28023
   11405 - 28025
   11406 - 28027
   11407 - 28029
   11408 - 28031
   11409 - 28033
   11410 - 28035
   11411 - 28037
   11412 - 28039
   11413 - 28041
   11414 - 28043
   11415 - 28045
   11416 - 28047
   11417 - 28049
   11418 - 28051
   11419 - 28053
   11420 - 28055
   11421 - 28057
   11422 - 28059
   11423 - 28061
   11424 - 28063
   11425 - 28065
   11426 - 28067
   11427 - 28069
   11428 - 28071
   11429 - 28073
   11430 - 28075
   11431 - 28077
   11432 - 28079
   11433 - 28081
   11434 - 28083
   11435 - 28085
   11436 - 28087
   11437 - 28089
   11438 - 28091
   11439 - 28093
   11440 - 28095
   11441 - 28097
   11442 - 28099
   11443 - 28101
   11444 - 28103
   11445 - 28105
   11446 - 28107
   11447 - 28109
   11448 - 28111
   11449 - 28113
   11450 - 28115
   11451 - 28117
   11452 - 28119
   11453 - 28121
   11454 - 28123
   11455 - 28125
   11456 - 28127
   11457 - 28129
   11458 - 28131
   11459 - 28133
   11460 - 28135
   11461 - 28137
   11462 - 28139
   11463 - 28141
   11464 - 28143
   11465 - 28145
   11466 - 28147
   11467 - 28149
   11468 - 28151
   11469 - 28153
   11470 - 28155
   11471 - 28157
   11472 - 28159
   11473 - 28161
   11474 - 28163
   11475 - 29001
   11476 - 29003
   11477 - 29005
   11478 - 29007
   11479 - 29009
   11480 - 29011
   11481 - 29013
   11482 - 29015
   11483 - 29017
   11484 - 29019
   11485 - 29021
   11486 - 29023
   11487 - 29025
   11488 - 29027
   11489 - 29029
   11490 - 29031
   11491 - 29033
   11492 - 29035
   11493 - 29037
   11494 - 29039
   11495 - 29041
   11496 - 29043
   11497 - 29045
   11498 - 29047
   11499 - 29049
   11500 - 29051
   11501 - 29053
   11502 - 29055
   11503 - 29057
   11504 - 29059
   11505 - 29061
   11506 - 29063  
   11507 - 29065
   11508 - 29067
   11509 - 29069
   11510 - 29071
   11511 - 29073
   11512 - 29075
   11513 - 29077
   11514 - 29079
   11515 - 29081
   11516 - 29083
   11517 - 29085
   11518 - 29087  
   11519 - 29089
   11520 - 29091
   11521 - 29093
   11522 - 29095
   11523 - 29097
   11524 - 29099
   11525 - 29101
   11526 - 29103
   11527 - 29105
   11528 - 29107
   11529 - 29109
   11530 - 29111
   11531 - 29113
   11532 - 29115
   11533 - 29117  
   11534 - 29119
   11535 - 29121
   11536 - 29123
   11537 - 29125
   11538 - 29127
   11539 - 29129
   11540 - 29131  
   11541 - 29133
   11542 - 29135
   11543 - 29137
   11544 - 29139
   11545 - 29141
   11546 - 29143
   11547 - 29145
   11548 - 29147
   11549 - 29149
   11550 - 29151
   11551 - 29153
   11552 - 29155
   11553 - 29157
   11554 - 29159
   11555 - 29161
   11556 - 29163
   11557 - 29165
   11558 - 29167
   11559 - 29169
   11560 - 29171
   11561 - 29173
   11562 - 29175
   11563 - 29177
   11564 - 29179
   11565 - 29181
   11566 - 29183
   11567 - 29185
   11568 - 29186
   11569 - 29187
   11570 - 29189
   11571 - 29195
   11572 - 29197
   11573 - 29199
   11574 - 29201
   11575 - 29203
   11576 - 29205
   11577 - 29207
   11578 - 29209
   11579 - 29211
   11580 - 29213
   11581 - 29215
   11582 - 29217
   11583 - 29219
   11584 - 29221
   11585 - 29223
   11586 - 29225
   11587 - 29227
   11588 - 29229
   11589 - 30001
   11590 - 30003
   11591 - 30005
   11592 - 30007
   11593 - 30009
   11594 - 30011
   11595 - 30013
   11596 - 30015
   11597 - 30017
   11598 - 30019
   11599 - 30021
   11600 - 30023
   11601 - 30025
   11602 - 30027
   11603 - 30029
   11604 - 30031
   11605 - 30033
   11606 - 30035
   11607 - 30037
   11608 - 30039
   11609 - 30041
   11610 - 30043
   11611 - 30045
   11612 - 30047
   11613 - 30049
   11614 - 30051
   11615 - 30053
   11616 - 30055
   11617 - 30057
   11618 - 30059
   11619 - 30061
   11620 - 30063
   11621 - 30065
   11622 - 30067
   11623 - 30069
   11624 - 30071
   11625 - 30073
   11626 - 30075
   11627 - 30077            
   11628 - 30079
   11629 - 30081
   11630 - 30083
   11631 - 30085
   11632 - 30087
   11633 - 30089
   11634 - 30091
   11635 - 30093
   11636 - 30095
   11637 - 30097
   11638 - 30099
   11639 - 30101
   11640 - 30103
   11641 - 30105
   11642 - 30107
   11643 - 30109
   11644 - 30111
   11645 - 31001
   11646 - 31003
   11647 - 31005
   11648 - 31007
   11649 - 31009
   11650 - 31011
   11651 - 31013
   11652 - 31015
   11653 - 31017
   11654 - 31019
   11655 - 31021
   11656 - 31023
   11657 - 31025
   11658 - 31027
   11659 - 31029
   11660 - 31031
   11661 - 31033
   11662 - 31035
   11663 - 31037
   11664 - 31039
   11665 - 31041
   11666 - 31043
   11667 - 31045
   11668 - 31047
   11669 - 31049
   11670 - 31051
   11671 - 31053
   11672 - 31055
   11673 - 31057
   11674 - 31059
   11675 - 31061
   11676 - 31063
   11677 - 31065
   11678 - 31067
   11679 - 31069
   11680 - 31071
   11681 - 31073
   11682 - 31075
   11683 - 31077
   11684 - 31079
   11685 - 31081
   11686 - 31083
   11687 - 31085
   11688 - 31087
   11689 - 31089
   11690 - 31091
   11691 - 31093
   11692 - 31095
   11693 - 31097
   11694 - 31099
   11695 - 31101
   11696 - 31103
   11697 - 31105
   11698 - 31107
   11699 - 31109
   11700 - 31111
   11701 - 31113
   11702 - 31115
   11703 - 31117
   11704 - 31119
   11705 - 31121
   11706 - 31123
   11707 - 31125
   11708 - 31127
   11709 - 31129
   11710 - 31131  
   11711 - 31133  
   11712 - 31135
   11713 - 31137
   11714 - 31139
   11715 - 31141
   11716 - 31143    
   11717 - 31145
   11718 - 31147
   11719 - 31149
   11720 - 31151
   11721 - 31153
   11723 - 31157
   11722 - 31155
   11724 - 31159  
   11725 - 31161
   11726 - 31163
   11727 - 31165
   11728 - 31167
   11729 - 31169
   11730 - 31171
   11731 - 31173   
   11732 - 31175
   11733 - 31177
   11734 - 31179
   11735 - 31181
   11736 - 31183
   11737 - 31185
   11738 - 32001
   11739 - 32003
   11740 - 32005
   11741 - 32007
   11742 - 32009
   11743 - 32011
   11744 - 32013
   11745 - 32015
   11746 - 32017
   11747 - 32019
   11748 - 32021
   11749 - 32023
   11750 - 32027
   11751 - 32029
   11752 - 32031
   11753 - 32033
   11754 - 33001
   11755 - 33003
   11756 - 33005
   11757 - 33007
   11758 - 33009
   11759 - 33011
   11760 - 33013
   11761 - 33015
   11762 - 33017
   11763 - 33019
   11764 - 34001
   11765 - 34003
   11766 - 34005
   11767 - 34007
   11768 - 34009
   11769 - 34011
   11770 - 34013
   11771 - 34015
   11772 - 34017
   11773 - 34019
   11774 - 34021
   11775 - 34023
   11776 - 34025
   11777 - 34027
   11778 - 34029
   11779 - 34031
   11780 - 34033
   11781 - 34035
   11782 - 34037
   11783 - 34039
   11784 - 34041
   11785 - 35001
   11786 - 35003
   11787 - 35005
   11788 - 35006
   11789 - 35007
   11790 - 35009
   11791 - 35011
   11792 - 35013
   11793 - 35015
   11794 - 35017
   11795 - 35019
   11796 - 35021
   11797 - 35023
   11798 - 35025
   11799 - 35027
   11800 - 35028
   11801 - 35029
   11802 - 35031
   11803 - 35033
   11804 - 35035
   11805 - 35037
   11806 - 35039
   11807 - 35041
   11808 - 35043
   11809 - 35045
   11810 - 35047
   11811 - 35049
   11812 - 35051
   11813 - 35053
   11814 - 35055
   11815 - 35057
   11816 - 35059
   11817 - 35061
   11818 - 36001
   11819 - 36003
   11820 - 36005
   11821 - 36007
   11822 - 36009
   11823 - 36011
   11824 - 36013
   11825 - 36015
   11826 - 36017
   11827 - 36019
   11828 - 36021
   11829 - 36023
   11830 - 36025
   11831 - 36027
   11832 - 36029
   11833 - 36031
   11834 - 36033
   11835 - 36035
   11836 - 36037
   11837 - 36039
   11838 - 36041
   11839 - 36043
   11840 - 36045
   11841 - 36047
   11842 - 36049
   11843 - 36051
   11844 - 36053
   11845 - 36055
   11846 - 36057
   11847 - 36059
   11848 - 36061
   11849 - 36063
   11850 - 36065
   11851 - 36067
   11852 - 36069
   11853 - 36071
   11854 - 36073
   11855 - 36075
   11856 - 36077
   11857 - 36079
   11858 - 36081
   11859 - 36083
   11860 - 36085
   11861 - 36087
   11862 - 36089
   11863 - 36091
   11864 - 36093
   11865 - 36095
   11866 - 36097
   11867 - 36099
   11868 - 36101
   11869 - 36103
   11870 - 36105
   11871 - 36107
   11872 - 36109
   11873 - 36111
   11874 - 36113
   11875 - 36115
   11876 - 36117
   11877 - 36119
   11878 - 36121
   11879 - 36123
   11880 - 37001
   11881 - 37003
   11882 - 37005
   11883 - 37007
   11884 - 37009
   11885 - 37011
   11886 - 37013
   11887 - 37015
   11888 - 37017
   11889 - 37019
   11890 - 37021
   11891 - 37023
   11892 - 37025
   11893 - 37027
   11894 - 37029
   11895 - 37031
   11896 - 37033
   11897 - 37035
   11898 - 37037
   11899 - 37039
   11900 - 37041
   11901 - 37043
   11902 - 37045
   11903 - 37047
   11904 - 37049
   11905 - 37051
   11906 - 37053
   11907 - 37055
   11908 - 37057
   11909 - 37059
   11910 - 37061
   11911 - 37063
   11912 - 37065
   11913 - 37067
   11914 - 37069
   11915 - 37071
   11916 - 37073
   11917 - 37075
   11918 - 37077
   11919 - 37079
   11920 - 370</t>
  </si>
  <si>
    <t>Course Attendance Frequency Requirement</t>
  </si>
  <si>
    <t>A description of any synchronous attendance requirement (online or in person) or the number of times a student must log in and the length of the log in time required for an asynchronous course.</t>
  </si>
  <si>
    <t>1123</t>
  </si>
  <si>
    <t>Course Attendance Requirement</t>
  </si>
  <si>
    <t>An indication that a course attendance is required during specific periods, at specific intervals, or for a specific student population.</t>
  </si>
  <si>
    <t>1122</t>
  </si>
  <si>
    <t>Course Weight</t>
  </si>
  <si>
    <t>The amount of weight this course holds in calculating a grade or GPA.</t>
  </si>
  <si>
    <t>1193</t>
  </si>
  <si>
    <t>Coverage Amount</t>
  </si>
  <si>
    <t>The total amount or degree to which an individual is entitled benefits.</t>
  </si>
  <si>
    <t>0511</t>
  </si>
  <si>
    <t>Coverage Beginning Date</t>
  </si>
  <si>
    <t>The month, day, and year on which an individual's benefit plan becomes effective.</t>
  </si>
  <si>
    <t>0513</t>
  </si>
  <si>
    <t>Coverage Description</t>
  </si>
  <si>
    <t>A description or title of the actual plan, program, or policy by which an individual is provided coverage.</t>
  </si>
  <si>
    <t>0508</t>
  </si>
  <si>
    <t>Coverage Ending Date</t>
  </si>
  <si>
    <t>The month, day, and year on which an individual's benefit plan ends.</t>
  </si>
  <si>
    <t>0514</t>
  </si>
  <si>
    <t>Coverage Identifier</t>
  </si>
  <si>
    <t>Information necessary to identify an individual's benefit plan (e.g., group reference, policy number, etc.).</t>
  </si>
  <si>
    <t>0510</t>
  </si>
  <si>
    <t>Coverage Type</t>
  </si>
  <si>
    <t>The specific type of plan (e.g., family coverage, high option, low option, term, whole life) by which an individual is covered.</t>
  </si>
  <si>
    <t>0509</t>
  </si>
  <si>
    <t>Coverage Type
   14919 - Family Coverage
   14920 - High option
   14921 - Low option
   01571 - Term life insurance
   14922 - Whole life insurance
   14923 - Dental Insurance
   14924 - Health Insurance
   14925 - Long term disability</t>
  </si>
  <si>
    <t>Crafts and Trades Job Classification</t>
  </si>
  <si>
    <t>A general job classification that describes staff that performs tasks requiring high manual skill level which is acquired through on-the-job training and experience or through apprenticeship or other formal training programs. This assignment requires considerable judgment and a thorough and comprehensive knowledge of the processes involved in the work.</t>
  </si>
  <si>
    <t>1164</t>
  </si>
  <si>
    <t>Crafts and Trades Job Classification
   04851 - Brick mason
   04852 - Carpenter
   04853 - Cement mason
   04854 - Electrician
   04855 - HVAC mechanic
   04856 - Locksmith
   04857 - Maintenance repairers/general utility
   04858 - Painter and paperhanger
   04859 - Plasterer
   04860 - Plumber
   04861 - Printer
   04862 - Vehicle mechanic
   09999 - Other</t>
  </si>
  <si>
    <t>Credential Assessment Code</t>
  </si>
  <si>
    <t>A unique number or alphanumeric code used by a state or local education agency or a testing organization to identify a particular assessment given to an individual.</t>
  </si>
  <si>
    <t>0413</t>
  </si>
  <si>
    <t>Credential Assessment Content</t>
  </si>
  <si>
    <t>An indication of the specific content (e.g., subject matter) on which an individual is evaluated through an assessment.</t>
  </si>
  <si>
    <t>0416</t>
  </si>
  <si>
    <t>Credential Assessment Content
   01285 - Basic mathematics
   01286 - Basic reading
   00565 - Spelling
   01287 - Writing
   01288 - Basic language arts
   01289 - General knowledge
   01290 - Credential subject matter
   01291 - Knowledge of teaching/pedagogy
   01292 - Technology/computer literacy
   01293 - Teaching performance
   01294 - Administrator knowledge
   01295 - Administrator performance
   09999 - Other</t>
  </si>
  <si>
    <t>Credential Assessment Content Level</t>
  </si>
  <si>
    <t>An indication of the level (e.g., basic or advanced) of the content on which an individual is evaluated through an assessment.</t>
  </si>
  <si>
    <t>0417</t>
  </si>
  <si>
    <t>Credential Assessment Date</t>
  </si>
  <si>
    <t>The day, month, and year on which a credential assessment was administered.</t>
  </si>
  <si>
    <t>0418</t>
  </si>
  <si>
    <t>Credential Assessment Purpose</t>
  </si>
  <si>
    <t>The reason for which an assessment is being conducted.</t>
  </si>
  <si>
    <t>0412</t>
  </si>
  <si>
    <t>Credential Assessment Purpose
   01276 - Initial credentialing
   01277 - Continuation of credential
   01278 - Renewal of credential
   09999 - Other</t>
  </si>
  <si>
    <t>Credential Assessment Score/Results</t>
  </si>
  <si>
    <t>An indication of the evaluated performance of an individual on a credential assessment.</t>
  </si>
  <si>
    <t>0430</t>
  </si>
  <si>
    <t>Credential Authorized Function</t>
  </si>
  <si>
    <t>A functional area within which an individual is authorized to serve by an active credential (e.g., English teaching, vocational education, special education, career counseling, principal, superintendent, or online teacher).</t>
  </si>
  <si>
    <t>0419</t>
  </si>
  <si>
    <t>Credential Description</t>
  </si>
  <si>
    <t>An indication of the title or description of a credential that an individual holds.</t>
  </si>
  <si>
    <t>0396</t>
  </si>
  <si>
    <t>Credential Fee Amount</t>
  </si>
  <si>
    <t>The amount of money required from an individual as a fee for receiving a credential.</t>
  </si>
  <si>
    <t>0422</t>
  </si>
  <si>
    <t>Credential Renewal Date</t>
  </si>
  <si>
    <t>The month, day, and year on which the individual met the requirements necessary to renew a credential.</t>
  </si>
  <si>
    <t>0410</t>
  </si>
  <si>
    <t>Credential Renewal Requirement</t>
  </si>
  <si>
    <t>An indication of any requirements necessary for an individual to renew a credential.</t>
  </si>
  <si>
    <t>0405</t>
  </si>
  <si>
    <t>Credential Renewal Requirement
   01260 - Education hours completed
   01261 - Degree completed
   01262 - Fee payment
   01245 - Practical experience
   01246 - References
   01265 - Background/security verification
   01248 - Test/assessment
   01249 - Completion of induction program
   01250 - Completion of professional development plan
   01251 - Professional development/in-service credits
   01252 - Portfolio completed successfully
   01271 - Advisor/mentor approval
   01255 - Tuberculosis screening
   01256 - Drug testing
   01257 - Chest x-ray
   01258 - Oath of allegiance
   02307 - Recertification points received
   01272 - Time on the job
   01259 - Compliance with state tax laws
   09998 - None
   09999 - Other</t>
  </si>
  <si>
    <t>Credential Renewal Units Attempted</t>
  </si>
  <si>
    <t>The number of professional development or re-certification units attempted by the individual.</t>
  </si>
  <si>
    <t>0407</t>
  </si>
  <si>
    <t>Credential Renewal Units Earned</t>
  </si>
  <si>
    <t>The number of professional development or re-certification units earned by the individual.</t>
  </si>
  <si>
    <t>0408</t>
  </si>
  <si>
    <t>Credential Revocation Date</t>
  </si>
  <si>
    <t>The month, day, and year on which a credential was revoked.</t>
  </si>
  <si>
    <t>0425</t>
  </si>
  <si>
    <t>Credential Revocation Reason</t>
  </si>
  <si>
    <t>The basis of the decision to revoke a credential (e.g., lapsed, felony conviction).</t>
  </si>
  <si>
    <t>0426</t>
  </si>
  <si>
    <t>Credits Earned in Course/Staff Development Activity</t>
  </si>
  <si>
    <t>The number of credits earned by an individual for completing a course or staff development activity.</t>
  </si>
  <si>
    <t>0375</t>
  </si>
  <si>
    <t>2.1</t>
  </si>
  <si>
    <t>Crisis Descriptor(s)</t>
  </si>
  <si>
    <t>A description of the crisis that caused the displacement of students.</t>
  </si>
  <si>
    <t>1361</t>
  </si>
  <si>
    <t>Curriculum Framework Name</t>
  </si>
  <si>
    <t>The name of the curriculum framework use for this course.</t>
  </si>
  <si>
    <t>0109</t>
  </si>
  <si>
    <t>Daily Attendance Status</t>
  </si>
  <si>
    <t>The status of a student's attendance during a given day while school is in session.</t>
  </si>
  <si>
    <t>0636</t>
  </si>
  <si>
    <t>Attendance Status
   01900 - In attendance/present
   01901 - Excused absence
   01902 - Unexcused absence
   01903 - Tardy
   01904 - Early departure</t>
  </si>
  <si>
    <t>Date Attendance Value</t>
  </si>
  <si>
    <t>Amount of the school day in which the student should be in attendance.</t>
  </si>
  <si>
    <t>1473</t>
  </si>
  <si>
    <t>Date Credential Requirement Met</t>
  </si>
  <si>
    <t>The month, day, and year on which the individual met the requirement necessary to receive a credential.</t>
  </si>
  <si>
    <t>0397</t>
  </si>
  <si>
    <t>Date Founded</t>
  </si>
  <si>
    <t>The month, day, and year in which the institution was founded.</t>
  </si>
  <si>
    <t>0843</t>
  </si>
  <si>
    <t>Date of Assessment Revision</t>
  </si>
  <si>
    <t>The month, day, and year that the conceptual design for the assessment was most recently revised substantially.</t>
  </si>
  <si>
    <t>0112</t>
  </si>
  <si>
    <t>Date of Capital Expenditure</t>
  </si>
  <si>
    <t>The month, day, and year that the funds for a capital project are encumbered, usually upon execution of a service or construction contract.</t>
  </si>
  <si>
    <t>1008</t>
  </si>
  <si>
    <t>Date of Certificate of Occupancy</t>
  </si>
  <si>
    <t>The month, day and year in which a certificate of occupancy was granted by the appropriate local authority.</t>
  </si>
  <si>
    <t>0875</t>
  </si>
  <si>
    <t>Date of Closure</t>
  </si>
  <si>
    <t>The month, day, and year that the education institution was closed.</t>
  </si>
  <si>
    <t>0113</t>
  </si>
  <si>
    <t>Date of Complaint</t>
  </si>
  <si>
    <t>The month, day, and year on which a statement or official expression is submitted by another individual against the employee about his or her employment.</t>
  </si>
  <si>
    <t>0576</t>
  </si>
  <si>
    <t>Date of Last Audit</t>
  </si>
  <si>
    <t>The month, day, and year of the latest review of the process, finances, or quality of work associated with capital projects.</t>
  </si>
  <si>
    <t>1034</t>
  </si>
  <si>
    <t>Date of Last Bond Referendum</t>
  </si>
  <si>
    <t>The month, day, and year of the last request to the public for approval to raise revenue that will enable borrowing by a school district, as is required and prescribed by law.</t>
  </si>
  <si>
    <t>1021</t>
  </si>
  <si>
    <t>Date of Release</t>
  </si>
  <si>
    <t>The day, month, and year that the accountability report is released.</t>
  </si>
  <si>
    <t>0114</t>
  </si>
  <si>
    <t>Date Opened</t>
  </si>
  <si>
    <t>The first month, day, and year of operation.</t>
  </si>
  <si>
    <t>0111</t>
  </si>
  <si>
    <t>Day/Evening Session</t>
  </si>
  <si>
    <t>An indication of the time of day that instruction is provided by the educational institution.</t>
  </si>
  <si>
    <t>0115</t>
  </si>
  <si>
    <t>Day/Evening Session
   00838 - Day
   00839 - Morning
   00840 - Afternoon
   00841 - Evening
   00842 - Anytime
   09999 - Other</t>
  </si>
  <si>
    <t>Day/Evening Status</t>
  </si>
  <si>
    <t>The status of a student in relation to the time of day that he or she attends the majority of his or her classes, as defined by the educational institution.</t>
  </si>
  <si>
    <t>0623</t>
  </si>
  <si>
    <t>Day/Evening Status
   01856 - Day student
   01857 - Morning student
   01858 - Afternoon student
   01859 - Evening student
   01860 - Self-paced
   09999 - Other</t>
  </si>
  <si>
    <t>Days of Service Per Week</t>
  </si>
  <si>
    <t>The average number of days per week that an individual is expected to work as outlined specifically in his or her employment agreement.</t>
  </si>
  <si>
    <t>0478</t>
  </si>
  <si>
    <t>1.2</t>
  </si>
  <si>
    <t>Death Cause</t>
  </si>
  <si>
    <t>The official cause of an individual's death.</t>
  </si>
  <si>
    <t>0646</t>
  </si>
  <si>
    <t>Death Date</t>
  </si>
  <si>
    <t>The month, day, and year of an individual's death.</t>
  </si>
  <si>
    <t>0645</t>
  </si>
  <si>
    <t>Debt Amount</t>
  </si>
  <si>
    <t>The amount of debt currently being carried by the school district.</t>
  </si>
  <si>
    <t>1020</t>
  </si>
  <si>
    <t>Debt Financing Type</t>
  </si>
  <si>
    <t>The type of long-term debt instrument, usually applicable to large capital projects, that obligates the issuer to pay back debt principal over a defined period at an agreed-upon rate of interest.</t>
  </si>
  <si>
    <t>1013</t>
  </si>
  <si>
    <t>Debt Financing Type
   02949 - General obligation bond
   02950 - Municipal bond
   02951 - Revenue bond
   02952 - Certificates of participation
   02953 - Tax increment financing
   13713 - Advance refunding
   13714 - Debt Defeasance
   13715 - Installment financing
   13716 - Mortgage
   09999 - Other</t>
  </si>
  <si>
    <t>Deduction Amount</t>
  </si>
  <si>
    <t>The amount of money to be withheld or deducted from the employee's paycheck.</t>
  </si>
  <si>
    <t>0530</t>
  </si>
  <si>
    <t>Deduction Period</t>
  </si>
  <si>
    <t>The length of time in which money is withheld or deducted from the employee's paycheck, which begins on the month, day, and year on which the deduction is first made, and ends on the month, day, and year on which the last deduction is made.</t>
  </si>
  <si>
    <t>0529</t>
  </si>
  <si>
    <t>Degree/Certificate Service Area</t>
  </si>
  <si>
    <t>The Early Intervention service area specialization of a degree or certificate.</t>
  </si>
  <si>
    <t>1270</t>
  </si>
  <si>
    <t>EI Service Types
   06014 - Assistive technology services and devices
   06015 - Audiology services
   14932 - Family training, counseling, and home visits
   06016 - Health services
   00262 - Medical services
   00335 - Nursing service
   00336 - Nutrition services
   00309 - Occupational therapy
   00313 - Physical therapy
   00331 - Psychological services
   00294 - Service coordination (case management services)
   14933 - Sign language and cued language services
   00337 - Social work services
   06018 - Special instruction
   00322 - Speech-language therapy
   06019 - Transportation and related
   00330 - Vision services
   09999 - Other</t>
  </si>
  <si>
    <t>Deposit Amount</t>
  </si>
  <si>
    <t>The amount that is deposited into an individual's bank account.</t>
  </si>
  <si>
    <t>0535</t>
  </si>
  <si>
    <t>Deposit Date</t>
  </si>
  <si>
    <t>The month, day, and year on which the deposit was made to an individual's bank account.</t>
  </si>
  <si>
    <t>0536</t>
  </si>
  <si>
    <t>Description of Collaboration</t>
  </si>
  <si>
    <t>A description of the collaboration between organizations.</t>
  </si>
  <si>
    <t>0291</t>
  </si>
  <si>
    <t>Description of Work Requested</t>
  </si>
  <si>
    <t>A description of the work requested.</t>
  </si>
  <si>
    <t>0987</t>
  </si>
  <si>
    <t>Developmental Delay</t>
  </si>
  <si>
    <t>Delays as measured by appropriate diagnostic instruments and procedures.</t>
  </si>
  <si>
    <t>1223</t>
  </si>
  <si>
    <t>Developmental Delay
   05987 - Cognitive development delay
   05988 - Physical development delay
   05989 - Communication development delay
   05990 - Social or emotional development delay
   05991 - Adaptive development delay
   05992 - No delay, needs follow-up
   09998 - None
   09999 - Other
   14575 - Carnegie Units
   14576 - No delay detected
   14577 - Established condition
   14578 - At-risk of developing delay</t>
  </si>
  <si>
    <t>Diagnosis of Causative Factor (Condition)</t>
  </si>
  <si>
    <t>An evaluation of the physiological reason for an individual's condition or impairment by a qualified health care provider.</t>
  </si>
  <si>
    <t>0766</t>
  </si>
  <si>
    <t>Direct Assessment Administration of Group/Individual</t>
  </si>
  <si>
    <t>Information about the grouping of the direct administration of the assessment to students.</t>
  </si>
  <si>
    <t>0041</t>
  </si>
  <si>
    <t>Assessment Administration Method
   00439 - Group
   00440 - Individual
   00441 - Both group and individual</t>
  </si>
  <si>
    <t>Disability Level</t>
  </si>
  <si>
    <t>The degree of disability as determined by a qualified evaluator (e.g., mild mental retardation, moderate mental retardation, severe mental retardation).</t>
  </si>
  <si>
    <t>0772</t>
  </si>
  <si>
    <t>Disability Severity</t>
  </si>
  <si>
    <t>The severity of the disability.</t>
  </si>
  <si>
    <t>1226</t>
  </si>
  <si>
    <t>Disability Severity
   05997 - No problem
   05998 - Mild problem
   05999 - Moderate problem
   06000 - Severe problem
   06001 - Complete problem
   06002 - Not specified
   06003 - Not applicable</t>
  </si>
  <si>
    <t>Discontinuing Schooling Reason</t>
  </si>
  <si>
    <t>The primary reason for which a student discontinued schooling or left school before graduation or matriculation.</t>
  </si>
  <si>
    <t>0650</t>
  </si>
  <si>
    <t>Discontinuing Schooling Reason
   02154 - Academic difficulty
   01933 - Behavioral difficulty
   01934 - Dislike of school experience
   01935 - Economic reasons
   01936 - Employment
   01937 - Entered criminal justice system
   01938 - Failed required test
   01939 - Lack of appropriate curriculum
   01940 - Lack of childcare
   01941 - Lack of transportation
   01942 - Language difficulty
   01943 - Marriage
   01944 - Military reason
   01945 - Needed at home
   01946 - Parent/guardian influence
   01947 - Poor relationships with fellow students
   01948 - Poor student-staff relationships
   01949 - Pregnancy
   01950 - Religion reason
   01951 - Substance abuse
   01952 - Failed graduation examination
   03416 - Technical difficulty
   02233 - Unknown reason
   09999 - Other</t>
  </si>
  <si>
    <t>Discount Rate</t>
  </si>
  <si>
    <t>The interest rate used to assess the present value of future cost and revenue streams.</t>
  </si>
  <si>
    <t>1017</t>
  </si>
  <si>
    <t>Diseases, Illnesses, and Other Health Conditions</t>
  </si>
  <si>
    <t>An instance in which an individual has contracted a disease, illness, or other health condition (e.g., pregnancy). (Note: The International Classification of Diseases (ICD) is maintained by the World Health Organization. The ICD is revised periodically to incorporate changes in the medical field, the most updated and detailed list of International Statistical Classification of Diseases and Related Health Problems can be found at http://www.who.int/classifications/apps/icd/icd10online).</t>
  </si>
  <si>
    <t>0747</t>
  </si>
  <si>
    <t>Medical Conditions and Codes
   04405 - Intestinal infectious diseases 
   04406 - Tuberculosis 
   04407 - Certain zoonotic bacterial diseases 
   04408 - Other bacterial diseases 
   04409 - Infections with a predominantly sexual mode of transmission 
   04410 - Other spirochaetal diseases 
   04411 - Other diseases caused by chlamydiae 
   04412 - Rickettsioses 
   04413 - Viral infections of the central nervous system 
   04414 - Arthropod-borne viral fevers and viral haemorrhagic fevers 
   04415 - Viral infections characterized by skin and mucous membrane lesions 
   04416 - Viral hepatitis 
   04417 - Human immunodeficiency virus [HIV] disease 
   04418 - Other viral diseases 
   04419 - Mycoses 
   04420 - Protozoal diseases 
   04421 - Helminthiases 
   04422 - Pediculosis, acariasis and other infestations 
   04423 - Sequelae of infectious and parasitic diseases 
   04424 - Bacterial, viral and other infectious agents 
   04425 - Other infectious diseases
   04426 - Malignant neoplasms
   04427 - In situ neoplasms 
   04428 - Benign neoplasms 
   04429 - Neoplasms of uncertain or unknown behaviour  
   04430 - Nutritional anaemias 
   04431 - Haemolytic anaemias 
   04432 - Aplastic and other anaemias 
   04433 - Coagulation defects, purpura and other haemorrhagic conditions 
   04434 - Other diseases of blood and blood-forming organs 
   04435 - Certain disorders involving the immune mechanism
   04436 - Disorders of thyroid gland 
   04437 - Diabetes mellitus 
   04438 - Other disorders of glucose regulation and pancreatic internal secretion 
   04439 - Disorders of other endocrine glands 
   04440 - Malnutrition 
   04441 - Other nutritional deficiencies 
   04442 - Obesity and other hyperalimentation 
   04443 - Metabolic disorders
   04444 - Organic, including symptomatic, mental disorders 
   04445 - Mental and behavioural disorders due to psychoactive substance use 
   04446 - Schizophrenia, schizotypal and delusional disorders 
   04447 - Mood [affective] disorders 
   04448 - Neurotic, stress-related and somatoform disorders 
   04449 - Behavioural syndromes associated with physiological disturbances and physical factors 
   04450 - Disorders of adult personality and behaviour 
   04451 - Disorders of psychological development 
   04452 - Behavioural and emotional disorders with onset usually occurring in childhood and adolescence 
   04453 - Unspecified mental disorder
   04454 - Inflammatory diseases of the central nervous system 
   04455 - Systemic atrophies primarily affecting the central nervous system 
   04456 - Extrapyramidal and movement disorders 
   04457 - Other degenerative diseases of the nervous system 
   04458 - Demyelinating diseases of the central nervous system 
   04459 - Episodic and paroxysmal disorders 
   04460 - Nerve, nerve root and plexus disorders 
   04461 - Polyneuropathies and other disorders of the peripheral nervous system 
   04462 - Diseases of myoneural junction and muscle 
   04463 - Cerebral palsy and other paralytic syndromes 
   04464 - Other disorders of the nervous system
   04465 - Disorders of eyelid, lacrimal system and orbit 
   04466 - Disorders of conjunctiva 
   04467 - Disorders of sclera, cornea, iris and ciliary body 
   04468 - Disorders of lens 
   04469 - Disorders of choroid and retina 
   04470 - Glaucoma 
   04471 - Disorders of vitreous body and globe 
   04472 - Disorders of optic nerve and visual pathways 
   04473 - Disorders of ocular muscles, binocular movement, accommodation and refraction 
   04474 - Visual disturbances and blindness 
   04475 - Other disorders of eye and adnexa
   04476 - Diseases of external ear 
   04477 - Diseases of middle ear and mastoid 
   04478 - Diseases of inner ear 
   04479 - Other disorders of ear
   04480 - Acute rheumatic fever 
   04481 - Chronic rheumatic heart diseases 
   04482 - Hypertensive diseases 
   04483 - Ischaemic heart diseases 
   04484 - Pulmonary heart disease and diseases of pulmonary circulation 
   04485 - Other forms of heart disease 
   04486 - Cerebrovascular diseases 
   04487 - Diseases of arteries, arterioles and capillaries 
   04488 - Diseases of veins, lymphatic vessels and lymph nodes, not elsewhere classified 
   04489 - Other and unspecified disorders of the circulatory system
   04490 - Diseases of oral cavity, salivary glands and jaws 
   04491 - Diseases of oesophagus, stomach and duodenum 
   04492 - Diseases of appendix 
   04493 - Hernia 
   04494 - Noninfective enteritis and colitis 
   04495 - Other diseases of intestines 
   04496 - Diseases of peritoneum 
   04497 - Diseases of liver 
   04498 - Disorders of gallbladder, biliary tract and pancreas 
   04499 - Other diseases of the digestive system 
   04500 - Infections of the skin and subcutaneous tissue 
   04501 - Bullous disorders 
   04502 - Dermatitis and eczema 
   04503 - Papulosquamous disorders 
   04504 - Urticaria and erythema 
   04505 - Radiation-related disorders of the skin and subcutaneous tissue 
   04506 - Disorders of skin appendages 
   04507 - Other disorders of the skin and subcutaneous tissue
   04508 - Arthropathies 
   04509 - Systemic connective tissue disorders 
   04510 - Dorsopathies 
   04511 - Soft tissue disorders 
   04512 - Osteopathies and chondropathies 
   04513 - Other disorders of the musculoskeletal system and connective tissue
   04514 - Glomerular diseases 
   04515 - Renal tubulo-interstitial diseases 
   04516 - Renal failure 
   04517 - Urolithiasis 
   04518 - Other disorders of kidney and ureter 
   04519 - Other diseases of urinary system 
   04520 - Diseases of male genital organs 
   04521 - Disorders of breast 
   04522 - Inflammatory diseases of female pelvic organs 
   04523 - Noninflammatory disorders of female genital tract 
   04524 - Other disorders of genitourinary tract 
   04525 - Pregnancy with abortive outcome 
   04526 - Oedema, proteinuria and hypertensive disorders in pregnancy, childbirth and the puerperium 
   04527 - Other maternal disorders predominantly related to pregnancy 
   04528 - Maternal care related to the fetus and amniotic cavity and possible delivery problems 
   04529 - Complications of labour and delivery 
   04530 - Delivery 
   04531 - Complications predominantly related to the puerperium 
   04532 - Other obstetric conditions, not elsewhere classified 
   04533 - Fetus and newborn affected by maternal factors and by complications of pregnancy, labour and deliver
   04534 - Disorders related to length of gestation and fetal growth 
   04535 - Birth trauma 
   04536 - Respiratory and cardiovascular disorders specific to the perinatal period 
   04537 - Infections specific to the perinatal period 
   04538 - Haemorrhagic and haematological disorders of fetus and newborn 
   04539 - Transitory endocrine and metabolic disorders specific to fetus and newborn 
   04540 - Digestive system disorders of fetus and newborn 
   04541 - Conditions involving the integument and temperature regulation of fetus and newborn 
   04542 - Other disorders originating in the perinatal period 
   04543 - Congenital malformations of the nervous system 
   04544 - Congenital malformations of eye, ear, face and neck 
   04545 - Congenital malformations of the circulatory system 
   04546 - Congenital malformations of the respiratory system 
   04547 - Cleft lip and cleft palate 
   04548 - Other congenital malformations of the digestive system 
   04549 - Congenital malformations of genital organs 
   04550 - Congenital malformations of the urinary system 
   04551 - Congenital malformations and deformations of the musculoskeletal system 
   04552 - Other congenital malformations 
   04553 - Chromosomal abnormalities, not elsewhere classified 
   04554 - Symptoms and signs involving the circulatory and respiratory systems 
   04555 - Symptoms and signs involving the digestive system and abdomen 
   04556 - Symptoms and signs involving the skin and subcutaneous tissue 
   04557 - Symptoms and signs involving the nervous and musculoskeletal systems 
   04558 - Symptoms and signs involving the urinary system 
   04559 - Symptoms and signs involving cognition, perception, emotional state and behaviour 
   04560 - Symptoms and signs involving speech and voice 
   04561 - General symptoms and signs 
   04562 - Abnormal findings on examination of blood, without diagnosis 
   04563 - Abnormal findings on examination of urine, without diagnosis 
   04564 - Abnormal findings on examination of other body fluids, substances and tissues, without diagnosis 
   04565 - Abnormal findings on diagnostic imaging and in function studies, without diagnosis 
   04566 - Ill-defined and unknown causes of mortality
   04567 - Injuries to the head 
   04568 - Injuries to the neck 
   04569 - Injuries to the thorax 
   04570 - Injuries to the abdomen, lower back, lumbar spine and pelvis 
   04571 - Injuries to the shoulder and upper arm 
   04572 - Injuries to the elbow and forearm 
   04573 - Injuries to the wrist and hand 
   04574 - Injuries to the hip and thigh 
   04575 - Injuries to the knee and lower leg 
   04576 - Injuries to the ankle and foot 
   04577 - Injuries involving multiple body regions 
   04578 - Injuries to unspecified part of trunk, limb or body region 
   04579 - Effects of foreign body entering through natural orifice 
   04580 - Burns and corrosions 
   04581 - Burns and corrosions of external body surface, specified by site 
   04582 - Burns and corrosions confined to eye and internal organs 
   04583 - Burns and corrosions of multiple and unspecified body regions 
   04584 - Frostbite 
   04585 - Poisoning by drugs, medicaments and biological substances 
   04586 - Toxic effects of substances chiefly nonmedicinal as to source 
   04587 - Other and unspecified effects of external causes 
   04588 - Certain early complications of trauma 
   04589 - Complications of surgical and medical care, not elsewhere classified 
   04590 - Sequelae of injuries, of poisoning and of other consequences of external causes
   04591 - Accidents
   04592 - Intentional self-harm 
   04593 - Assault 
   04594 - Event of undetermined intent 
   04595 - Legal intervention and operations of war 
   04596 - Complications of medical and surgical care
   04597 - Sequelae of external causes of morbidity and mortality 
   04598 - Supplementary factors related to causes of morbidity and mortality classified elsewhere 
   04599 - Persons encountering health services for examination and investigation 
   04600 - Persons with potential health hazards related to communicable diseases 
   04601 - Persons encountering health services in circumstances related to reproduction 
   04602 - Persons encountering health services for specific procedures and health care 
   04603 - Persons with potential health hazards related to socioeconomic and psychosocial circumstances 
   04604 - Persons encountering health services in other circumstances 
   04605 - Persons with potential health hazards related to family and personal history and certain conditions 
   04606 - Provisional assignment of new diseases of uncertain etiology 
   04607 - Bacterial agents resistant to antibiotics
   09999 - Other</t>
  </si>
  <si>
    <t>Distinguished School Status</t>
  </si>
  <si>
    <t>An indication of whether the school has been identified as distinguished based on the state accountability requirements.</t>
  </si>
  <si>
    <t>1097</t>
  </si>
  <si>
    <t>Drugs Excluding Alcohol and Tobacco Violation</t>
  </si>
  <si>
    <t>Unlawful use, cultivation, manufacture, distribution, sale, solicitation, purchase, possession, transportation, or importation of any controlled drug (e.g., Demerol, morphine) or narcotic substance.</t>
  </si>
  <si>
    <t>1298</t>
  </si>
  <si>
    <t>Drugs Excluding Alcohol and Tobacco Violation
   04636 - Sale of illegal drug
   04637 - Sale of substance represented as an illegal drug
   04638 - Distribution of illegal drug
   04639 - Distribution of substance represented as an illegal drug
   04640 - Use of illegal drug
   04641 - Possession of illegal drug
   04642 - Possession of drug paraphernalia
   04643 - Suspicion of use
   13781 - Solicitation of illegal drug
   09999 - Other</t>
  </si>
  <si>
    <t>Dwelling Arrangement</t>
  </si>
  <si>
    <t>An indication of the arrangement or environment in which an individual resides.</t>
  </si>
  <si>
    <t>0600</t>
  </si>
  <si>
    <t>Dwelling Arrangement
   01669 - Boarding house
   01670 - Cooperative house
   01671 - Crisis shelter
   01672 - Disaster shelter
   01673 - Residential school/dormitory
   01674 - Family residence
   01675 - Foster home
   01676 - Institution
   01677 - Prison or juvenile detention center
   01678 - Rooming house
   01679 - Transient shelter
   01680 - No home
   01681 - Other dormitory
   03425 - Group home/halfway house
   09999 - Other</t>
  </si>
  <si>
    <t>Dwelling Ownership</t>
  </si>
  <si>
    <t>An indication of the type of ownership of a residence in which an individual lives.</t>
  </si>
  <si>
    <t>0601</t>
  </si>
  <si>
    <t>Dwelling Ownership
   01682 - Owned property
   01683 - Public or subsidized housing
   01684 - Rental property
   09999 - Other</t>
  </si>
  <si>
    <t>Early Intervention Caseload</t>
  </si>
  <si>
    <t>The number of children ages birth-three for whom an employee provides services.</t>
  </si>
  <si>
    <t>1279</t>
  </si>
  <si>
    <t>6</t>
  </si>
  <si>
    <t>Early Intervention Credential Assessment Content</t>
  </si>
  <si>
    <t>An indication of the specific early intervention content on which an individual is evaluated through an assessment.</t>
  </si>
  <si>
    <t>1272</t>
  </si>
  <si>
    <t>Early Intervention Credential Service Area</t>
  </si>
  <si>
    <t>The early intervention service area specialization of a license/credential.</t>
  </si>
  <si>
    <t>1271</t>
  </si>
  <si>
    <t>Early Intervention Level of Personal Functioning</t>
  </si>
  <si>
    <t>An activity or execution of a task or action by an infant or toddler. (Note: see the Activity Codes and their qualifiers established in the World''s Health Organization''s International Classification of Functioning, Disability and Health.)</t>
  </si>
  <si>
    <t>1225</t>
  </si>
  <si>
    <t>Early Intervention Program Degree Type</t>
  </si>
  <si>
    <t>The type of Early Intervention certification or degree earned by an individual.</t>
  </si>
  <si>
    <t>1269</t>
  </si>
  <si>
    <t>Program Degree Type
   06043 - Developmental specialist
   06044 - Developmental therapist
   06045 - Early intervention generalist
   06046 - Early intervention specialist
   06047 - Early interventionist
   06048 - Early childhood educator
   06049 - Early childhood special educator
   06051 - Pre-school special needs teacher
   06052 - Educational assistant (level I, II, III)
   06053 - Early childhood teacher assistant (I, II, III)
   06054 - Early childhood associate
   06055 - Developmental therapy assistant
   06056 - Developmental therapy associate
   00059 - Paraprofessionals/teacher aides
   09999 - Other</t>
  </si>
  <si>
    <t>Early Intervention Service Description</t>
  </si>
  <si>
    <t>The type of Early Intervention services delivered to a child who has been determined eligible for services under Part C of IDEA.</t>
  </si>
  <si>
    <t>1233</t>
  </si>
  <si>
    <t>Early Intervention Service Location</t>
  </si>
  <si>
    <t>The type of location at which Early Intervention instruction or service takes place.</t>
  </si>
  <si>
    <t>1236</t>
  </si>
  <si>
    <t>Location Type
   02192 - Home
   00754 - Hospital
   06008 - Outpatient hospital
   06009 - Ambulatory care center
   06010 - Primary care health provider office
   01535 - Child care
   00127 - Early intervention classroom/center
   00066 - Local education agency 
   06011 - Public health facility
   06012 - Social service agency
   06013 - Other health care provider location
   00752 - Community facility
   09999 - Other</t>
  </si>
  <si>
    <t>Earned Income Credit</t>
  </si>
  <si>
    <t>The amount of tax credit available to an eligible individual that he or she can use to reduce his or her tax liability.</t>
  </si>
  <si>
    <t>0537</t>
  </si>
  <si>
    <t>Earning Rates of Pay</t>
  </si>
  <si>
    <t>The monetary unit of salary compensation an individual is paid for performance of agreed-upon duties.</t>
  </si>
  <si>
    <t>0496</t>
  </si>
  <si>
    <t>Educational Program/Staff Development Activity Anticipated Outcome</t>
  </si>
  <si>
    <t>The anticipated results of an individual's successful participation in an educational program or staff development activity.</t>
  </si>
  <si>
    <t>0370</t>
  </si>
  <si>
    <t>Educational Program/Staff Development Activity Anticipated Outcome
   01125 - Completion of high school credential
   01126 - Obtain training for employment
   01127 - Completion of an initial degree program
   01128 - Completion of an initial degree program and professional credential requirements
   01129 - Seeking an initial professional credential
   01130 - Completion of an additional degree program
   01131 - Obtaining an advanced-level credential
   01132 - Maintaining or renewing a credential
   01133 - Meeting staff development requirements
   01134 - Qualifying for an advanced level job
   01135 - Qualifying for a salary increase
   01136 - Personal improvement
   09999 - Other</t>
  </si>
  <si>
    <t>Educational Program/Staff Development Activity Arrangement</t>
  </si>
  <si>
    <t>An indication of the manner in which an individual's participation in an educational program or staff development activity has been scheduled.</t>
  </si>
  <si>
    <t>0117</t>
  </si>
  <si>
    <t>Educational Program/Staff Development Activity
   00348 - Released time, substitute provided
   00350 - Released time from duties, no substitute provided
   00352 - Off-the-job</t>
  </si>
  <si>
    <t>Educational Program/Staff Development Activity Compensation</t>
  </si>
  <si>
    <t>An indication of the type of financial support an individual receives for participating in an educational program or staff development activity.</t>
  </si>
  <si>
    <t>0118</t>
  </si>
  <si>
    <t>Educational Program/Staff Development Activity Compensation
   00343 - Time paid
   00344 - Stipend only
   00345 - Travel/expense reimbursement
   00346 - Tuition and/or fees
   00347 - No compensation
   01469 - In-kind compensation
   09999 - Other</t>
  </si>
  <si>
    <t>Educational Program/Staff Development Activity Contact Hours</t>
  </si>
  <si>
    <t>The total number of hours or portion of hours in which an individual participates in an educational program or staff development activity.</t>
  </si>
  <si>
    <t>0382</t>
  </si>
  <si>
    <t>4.1</t>
  </si>
  <si>
    <t>Educational Program/Staff Development Activity Description</t>
  </si>
  <si>
    <t>A description of the content standards and goals covered in the educational program/staff development activity.</t>
  </si>
  <si>
    <t>1267</t>
  </si>
  <si>
    <t>Educational Program/Staff Development Activity Duration</t>
  </si>
  <si>
    <t>The average number of hours or portion of hours that an individual participates in an educational program or staff development activity session.</t>
  </si>
  <si>
    <t>0383</t>
  </si>
  <si>
    <t>Educational Program/Staff Development Activity Format</t>
  </si>
  <si>
    <t>A designation of the specific category explaining how an educational program or staff development activity is organized.</t>
  </si>
  <si>
    <t>0378</t>
  </si>
  <si>
    <t>Educational Program/Staff Development Activity Format
   01192 - Computer-based course
   01200 - Conference
   01201 - Committee
   01202 - Collaborative activity
   01193 - Correspondence course
   00607 - Distance learning
   01203 - Instructor provided course
   00608 - Virtual/On-line Distance learning
   02032 - Internship experience
   01204 - Mentoring/coaching
   01205 - Networking with professionals in the field
   01206 - Professional collaboration
   01207 - Professional organization
   01208 - Research and/or publication
   01209 - Self-instruction
   01210 - Training course
   09999 - Other</t>
  </si>
  <si>
    <t>Educational Program/Staff Development Activity Frequency</t>
  </si>
  <si>
    <t>The average number of sessions per month that an individual participates in an educational program or staff development activity.</t>
  </si>
  <si>
    <t>0381</t>
  </si>
  <si>
    <t>Educational Program/Staff Development Activity Intensity</t>
  </si>
  <si>
    <t>The total number of sessions an individual is expected to participate in an educational program or staff development activity.</t>
  </si>
  <si>
    <t>0380</t>
  </si>
  <si>
    <t>Educational Program/Staff Development Activity Involvement</t>
  </si>
  <si>
    <t>A description of an individual's level of involvement in an educational program or staff development activity (e.g., chairperson of a committee, voting or affiliate member of a group, student enrolled in a course, student auditing a course).</t>
  </si>
  <si>
    <t>0379</t>
  </si>
  <si>
    <t>Educational Program/Staff Development Activity Location</t>
  </si>
  <si>
    <t>An indication as to the location at which an educational program or staff development activity takes place (e.g., room number, building site, campus designation, or address of a business organization, service center, or community building).</t>
  </si>
  <si>
    <t>0384</t>
  </si>
  <si>
    <t>Educational Program/Staff Development Activity Name</t>
  </si>
  <si>
    <t>The name given to an educational program/staff development activity offered in a school or other institution or organization.</t>
  </si>
  <si>
    <t>1266</t>
  </si>
  <si>
    <t>Educational Program/Staff Development Activity Outcomes</t>
  </si>
  <si>
    <t>The description of any products, honors, or recognition resulting from participation in an educational program or staff development activity. Examples include the development of reports, publications, curriculum frameworks, and/or program plans.</t>
  </si>
  <si>
    <t>0390</t>
  </si>
  <si>
    <t>Educational Program/Staff Development Activity Participant's Role</t>
  </si>
  <si>
    <t>An indication of the level of involvement of an individual while participating in an educational program or staff development activity.</t>
  </si>
  <si>
    <t>0377</t>
  </si>
  <si>
    <t>Educational Program/Staff Development Activity Participant's Role
   01197 - Consumer/learner
   01198 - Provider/trainer
   01199 - Collaborator/peer
   09999 - Other</t>
  </si>
  <si>
    <t>Educational Program/Staff Development Activity Purpose</t>
  </si>
  <si>
    <t>The primary reason an individual is involved in an educational program or staff development activity.</t>
  </si>
  <si>
    <t>0369</t>
  </si>
  <si>
    <t>Educational Program/Staff Development Activity Purpose
   01122 - Acquisition of new skills or knowledge
   01123 - Maintenance or improvement of skills or knowledge
   01124 - Remediation of skills or knowledge</t>
  </si>
  <si>
    <t>Educational Program/Staff Development Activity Relevance</t>
  </si>
  <si>
    <t>An indication as to whether the contents of an educational program or staff development activity are directly related to an individual's performance of job duties.</t>
  </si>
  <si>
    <t>0371</t>
  </si>
  <si>
    <t>Educational Program/Staff Development Activity Relevance
   01137 - Related to current job
   01138 - Related to advancement within the current job
   01139 - Related to a different job or higher position
   01140 - Not related
   02380 - General development</t>
  </si>
  <si>
    <t>Educational Program/Staff Development Early Intervention Activity Participant''s Role</t>
  </si>
  <si>
    <t>An indication of the level of involvement, in terms of role, of an Early Intervention individual (e.g., employee) while participating in an educational program or staff development activity.</t>
  </si>
  <si>
    <t>1268</t>
  </si>
  <si>
    <t>Educator/Agency Program Focus</t>
  </si>
  <si>
    <t>A description of the focus of the program or services offered to educators or agencies.</t>
  </si>
  <si>
    <t>0119</t>
  </si>
  <si>
    <t>Electrical System</t>
  </si>
  <si>
    <t>The components and system required to distribute electricity throughout the building or site.</t>
  </si>
  <si>
    <t>0888</t>
  </si>
  <si>
    <t>Electrical System
   02472 - Electrical supply
   02473 - Electrical distribution
   02474 - Emergency generator
   02475 - Electrical interface
   02476 - Circuit breakers
   09999 - Other
   13570 - Communications and security
   13571 - Electrical service and distribution
   13572 - Lighting and branch wiring</t>
  </si>
  <si>
    <t>Electronic Deposit Bank Account Number</t>
  </si>
  <si>
    <t>An identification number uniquely assigned to an account within a bank for the purpose of conducting electronic transfers of funds.</t>
  </si>
  <si>
    <t>0533</t>
  </si>
  <si>
    <t>20</t>
  </si>
  <si>
    <t>Electronic Deposit Bank Routing Number</t>
  </si>
  <si>
    <t>An identification number uniquely assigned to a bank for the purpose of conducting electronic transfers of funds.</t>
  </si>
  <si>
    <t>0532</t>
  </si>
  <si>
    <t>Eligibility Status</t>
  </si>
  <si>
    <t>An appraisal as to whether an individual is or is not eligible for a given benefit plan.</t>
  </si>
  <si>
    <t>0506</t>
  </si>
  <si>
    <t>Eligibility Status
   01549 - Eligible
   01550 - Eligible, but coverage declined
   01551 - Not eligible for participation</t>
  </si>
  <si>
    <t>Emergency Factor</t>
  </si>
  <si>
    <t>An identification of a physical or medical condition of potential special significance during an emergency treatment.</t>
  </si>
  <si>
    <t>0343</t>
  </si>
  <si>
    <t>Emergency Factor
   01084 - Allergy, aspirin
   01085 - Allergy, insect bite
   01086 - Allergy, iodine
   01087 - Allergy, penicillin
   01088 - Allergy, sulfa
   01089 - Allergy, multiple
   01090 - Asthma
   01091 - Contact lenses worn
   01092 - Diabetes
   01093 - Drug dependency
   01094 - Epilepsy
   01095 - Hearing impaired
   01096 - Heart disease
   01097 - Hemophilia
   01098 - Rheumatic fever
   01099 - Speech impaired
   01100 - Vision impaired
   09998 - None
   09999 - Other</t>
  </si>
  <si>
    <t>Emergency Repair</t>
  </si>
  <si>
    <t>A description of the urgent restoration work on a piece of equipment, building, or grounds to original completeness or efficiency from a worn, damaged, or deteriorated condition.</t>
  </si>
  <si>
    <t>0995</t>
  </si>
  <si>
    <t>Emergency Transportation Cost</t>
  </si>
  <si>
    <t>The cost of transporting students who are temporarily served in other facilities pending repairs to a building to comply with federal, state, or local requirements.</t>
  </si>
  <si>
    <t>1031</t>
  </si>
  <si>
    <t>Employment Location State Abbreviation</t>
  </si>
  <si>
    <t>The state in which an individual is found employed.</t>
  </si>
  <si>
    <t>2149</t>
  </si>
  <si>
    <t>State Abbreviation
   03348 - AL
   03349 - AK
   03350 - AZ
   03351 - AR
   03352 - CA
   03353 - CO
   03354 - CT
   03355 - DE
   03356 - DC
   03357 - FL
   03358 - GA
   03359 - HI
   03360 - ID
   03361 - IL
   03362 - IN
   03363 - IA
   03364 - KS
   03365 - KY
   03366 - LA
   03367 - ME
   03368 - MD
   03369 - MA
   03370 - MI
   03371 - MN
   03372 - MS
   03373 - MO
   03374 - MT
   03375 - NE
   03376 - NV
   03377 - NH
   03378 - NJ
   03379 - NM
   03380 - NY
   03381 - NC
   03382 - ND
   03383 - OH
   03384 - OK
   03385 - OR
   03386 - PA
   03387 - RI
   03388 - SC
   03389 - SD
   03390 - TN
   03391 - TX
   03392 - UT
   03393 - VT
   03394 - VA
   03395 - WA
   03396 - WV
   03397 - WI
   03398 - WY
   03402 - AS
   03403 - GU
   03404 - MP
   03405 - PR
   03406 - VI
   03722 - FM
   03716 - MH
   03747 - PW</t>
  </si>
  <si>
    <t>Employment Permit Certifying Organization</t>
  </si>
  <si>
    <t>The organization responsible for sanctioning an individual's employment permit.</t>
  </si>
  <si>
    <t>0702</t>
  </si>
  <si>
    <t>Employment Permit Description</t>
  </si>
  <si>
    <t>The description of a permit, license, or certificate if required of an individual to hold employment.</t>
  </si>
  <si>
    <t>0703</t>
  </si>
  <si>
    <t>Employment Permit Expiration Date</t>
  </si>
  <si>
    <t>The month, day, and year on which an employment permit expires.</t>
  </si>
  <si>
    <t>0705</t>
  </si>
  <si>
    <t>Employment Permit Number</t>
  </si>
  <si>
    <t>The number of the permit, license or certificate, if required, of an individual to hold employment.</t>
  </si>
  <si>
    <t>0701</t>
  </si>
  <si>
    <t>Employment Permit Valid Date</t>
  </si>
  <si>
    <t>The month, day, and year on which an employment permit becomes valid.</t>
  </si>
  <si>
    <t>0704</t>
  </si>
  <si>
    <t>Employment Recognition</t>
  </si>
  <si>
    <t>The honor or recognition given to an individual for the successful completion of certain tasks or work performed at his or her job.</t>
  </si>
  <si>
    <t>0708</t>
  </si>
  <si>
    <t>Employment Recognition
   02044 - Certification awarded
   02045 - Credit or fulfillment of a requirement
   02046 - Employment permit
   02047 - Honor award
   02048 - Letter of commendation
   02049 - Licensure awarded
   02407 - Job promotion or advancement
   09999 - Other</t>
  </si>
  <si>
    <t>Employment Separation Date</t>
  </si>
  <si>
    <t>The month, day, and year on which an individual ended a period of self-employment or employment with an organization or institution.</t>
  </si>
  <si>
    <t>0579</t>
  </si>
  <si>
    <t>Employment Time Annually</t>
  </si>
  <si>
    <t>The annual amount/unit of time an individual is employed to perform an assignment for an employer (e.g., 180 days, nine months, ten months, full year).</t>
  </si>
  <si>
    <t>0474</t>
  </si>
  <si>
    <t>16</t>
  </si>
  <si>
    <t>End Date</t>
  </si>
  <si>
    <t>The ending date on which information in an instance, school year, or reporting period is applicable.</t>
  </si>
  <si>
    <t>1468</t>
  </si>
  <si>
    <t>End Day</t>
  </si>
  <si>
    <t>Number of the last school day to which an instance, school year, or reporting period applies.</t>
  </si>
  <si>
    <t>1469</t>
  </si>
  <si>
    <t>Ending Date of Data in Report</t>
  </si>
  <si>
    <t>The last month, day, and year of data covered in the report.</t>
  </si>
  <si>
    <t>0123</t>
  </si>
  <si>
    <t>Energy Conservation Measure (ECM)</t>
  </si>
  <si>
    <t>The type of modification to, or replacement of, a piece of equipment or building shell/system that increases energy efficiency.</t>
  </si>
  <si>
    <t>0982</t>
  </si>
  <si>
    <t>Energy Conservation Measure
   02846 - Window replacement
   02847 - Installation of energy controls
   02848 - HVAC replacement
   02849 - Lighting replacement
   02850 - Insulation improvements
   13653 - Daylighting
   13654 - Delamping
   14903 - Relamping
   14904 - Installation of solar equipment
   09999 - Other</t>
  </si>
  <si>
    <t>Energy Service Company (ESCo)</t>
  </si>
  <si>
    <t>The name of the company that designs, procures, finances, installs, maintains, and guarantees the performance of energy conservation measures in an owner's facility or facilities.</t>
  </si>
  <si>
    <t>0985</t>
  </si>
  <si>
    <t>Energy Source</t>
  </si>
  <si>
    <t>The source of energy that directly powers a school district facility or building system.</t>
  </si>
  <si>
    <t>0984</t>
  </si>
  <si>
    <t>Energy Source
   02853 - Gas
   02854 - Electric
   02842 - Oil
   02855 - Solar
   02856 - Wind
   02857 - Geothermal
   02858 - Coal
   02859 - Nuclear
   02843 - Water
   13655 - Biomass
   09999 - Other</t>
  </si>
  <si>
    <t>English as a Second Language (ESL) Program Type</t>
  </si>
  <si>
    <t>The types of program of instruction and services in which students identified as limited English proficient are placed in regular immersion instruction for most of the school day but receive extra instruction in English for part of the day. This extra help is based on a special curriculum designed to teach English as a second language and to develop the student's ability to use the English language in an academic setting. The non-English home language may or may not be used in conjunction with ESL instruction.</t>
  </si>
  <si>
    <t>1170</t>
  </si>
  <si>
    <t>English as a Second Language (ESL) Program:
   04929 - Content ESL
   09999 - Other</t>
  </si>
  <si>
    <t>Enrollment Projection Number</t>
  </si>
  <si>
    <t>The number of students that may be assumed to enroll in a school or school system in the future, based on the number of live births, housing statistics, capture rate, historical cohort survival patterns, in and out migration into the district, and dropout rate. Projections are typically made for 3-, 5-, and 10-year intervals.</t>
  </si>
  <si>
    <t>0126</t>
  </si>
  <si>
    <t>7</t>
  </si>
  <si>
    <t>Enrollment Projection Number-Next Year</t>
  </si>
  <si>
    <t>The number of students that may be assumed to enroll in a school or school system for the next school year.</t>
  </si>
  <si>
    <t>1563</t>
  </si>
  <si>
    <t>Enrollment Projection Year</t>
  </si>
  <si>
    <t>The year for the student enrollment projection.</t>
  </si>
  <si>
    <t>0128</t>
  </si>
  <si>
    <t>Enrollment Projection-End Year</t>
  </si>
  <si>
    <t>The last year for which enrollment projections are being developed-typically 5 to 10 years for school facility planning.</t>
  </si>
  <si>
    <t>1565</t>
  </si>
  <si>
    <t>Enrollment Projection-Start Year</t>
  </si>
  <si>
    <t>The first school year for which enrollment projections are being developed.</t>
  </si>
  <si>
    <t>1564</t>
  </si>
  <si>
    <t>D</t>
  </si>
  <si>
    <t>Environmental or Energy Performance Rating Categories</t>
  </si>
  <si>
    <t>The primary groupings that rating organizations use to evaluate environmental sustainability and energy use.</t>
  </si>
  <si>
    <t>1548</t>
  </si>
  <si>
    <t>Environmental or Energy Performance Rating Categories
   13620 - Climate/Emissions
   13621 - Energy
   13622 - Indoor Environmental Quality
   13623 - Innovations in Operations/ Project/ Environmental Management
   13624 - Leadership, Education and Innovation
   13625 - Materials and Resources
   13626 - Regional Priority
   13627 - Sustainable Sites</t>
  </si>
  <si>
    <t>Environmental or Energy Performance Rating System</t>
  </si>
  <si>
    <t>An evaluation system that certifies that an appliance, building system or component,building or facility is designed and constructed to improve the following metrics: energy savings, water efficiency, CO2 emissions reduction, improved indoor environmental quality, and stewardship of resources and sensitivity to their impacts.</t>
  </si>
  <si>
    <t>1524</t>
  </si>
  <si>
    <t>iD</t>
  </si>
  <si>
    <t>Environmental or Energy Performance Rating System
   13573 - Collaborative for High Performance Schools (CHPS)
   13574 - Energy Star National Energy Performance Rating
   13575 - Green Globes
   13576 - Leadership in Energy and Environmental Design (LEED) for Schools</t>
  </si>
  <si>
    <t>Equipment Description</t>
  </si>
  <si>
    <t>The description of a particular piece of equipment.</t>
  </si>
  <si>
    <t>1342</t>
  </si>
  <si>
    <t>Equipment Mobility</t>
  </si>
  <si>
    <t>The distinction of whether a piece of equipment can be moved or is built in.</t>
  </si>
  <si>
    <t>1112</t>
  </si>
  <si>
    <t>Equipment Mobility
   03266 - Built-in equipment
   03267 - Movable equipment</t>
  </si>
  <si>
    <t>Equipment Name</t>
  </si>
  <si>
    <t>The name of a particular piece of equipment.</t>
  </si>
  <si>
    <t>1341</t>
  </si>
  <si>
    <t>Equipment Purpose</t>
  </si>
  <si>
    <t>The primary purpose of a piece of equipment, regardless of its current use.</t>
  </si>
  <si>
    <t>1113</t>
  </si>
  <si>
    <t>Equipment Type
   03268 - Art
   03269 - Performing arts
   03270 - Science materials
   03271 - Technology materials
   03272 - Indoor athletic
   03273 - Outdoor athletic
   03274 - Food service materials
   03275 - Operations/maintenance
   09999 - Other</t>
  </si>
  <si>
    <t>Essential Personnel Identifier</t>
  </si>
  <si>
    <t>An indication as to whether an individual is considered by his or her employer to have job assignments essential during an emergency situation necessitating that his or her attendance at work is required regardless of any liberal leave or emergency administrative leave announcement.</t>
  </si>
  <si>
    <t>0561</t>
  </si>
  <si>
    <t>Essential Personnel Identifier
   01618 - Essential
   01619 - Non-essential</t>
  </si>
  <si>
    <t>Established IDEA Condition</t>
  </si>
  <si>
    <t>A diagnosed physical or mental condition that has a high probability of resulting in developmental delay (e.g., Down Syndrome, Cerebral Palsy, Spina Bifida).</t>
  </si>
  <si>
    <t>1222</t>
  </si>
  <si>
    <t>Established IDEA Condition
   09998 - None
   09999 - Other</t>
  </si>
  <si>
    <t>Estimated Cost to Eliminate Deferred Maintenance</t>
  </si>
  <si>
    <t>The estimated cost to bring systems, components, finishes, fixtures, or equipment to a state of good repair.</t>
  </si>
  <si>
    <t>0986</t>
  </si>
  <si>
    <t>Evaluation Date</t>
  </si>
  <si>
    <t>The month, day, and year on which an individual was evaluated.</t>
  </si>
  <si>
    <t>0835</t>
  </si>
  <si>
    <t>Evaluation Periodicity</t>
  </si>
  <si>
    <t>The interval at which an individual's appraisal occurs.</t>
  </si>
  <si>
    <t>0834</t>
  </si>
  <si>
    <t>Evaluation Periodicity
   02321 - Monthly
   02322 - Quarterly
   02323 - Semi-annually
   02324 - Annually
   02325 - Post-probationary
   02326 - As needed
   09999 - Other</t>
  </si>
  <si>
    <t>Evaluation Purpose</t>
  </si>
  <si>
    <t>The reason that an appraisal of an individual's performance is conducted.</t>
  </si>
  <si>
    <t>0833</t>
  </si>
  <si>
    <t>Evaluation Purpose
   02316 - End of probationary period
   02317 - Evaluation for advancement
   02318 - Evaluation for licensure
   02319 - Periodic evaluation
   02320 - Problem resolution
   09999 - Other</t>
  </si>
  <si>
    <t>Evaluation Recommendations</t>
  </si>
  <si>
    <t>The recommendations by the employer or the supervisor of the individual after an assessment of his or her performance.</t>
  </si>
  <si>
    <t>0836</t>
  </si>
  <si>
    <t>Evaluation Recommendations
   02327 - Eligible for promotion
   02328 - Merit pay
   02329 - Regular salary/step increase
   02330 - Granted tenure
   02342 - Granted license
   02331 - Retained in position
   02332 - Removed from probationary status
   02333 - Placed on probation
   02334 - Reassigned for career development needs
   02335 - Lateral reassignment
   02336 - Demotion
   02337 - Dismissal
   02338 - Extended probation
   02339 - Recommended for additional training
   02340 - Put on administrative leave
   02341 - Credential revoked
   09999 - Other</t>
  </si>
  <si>
    <t>Evaluation Sequence</t>
  </si>
  <si>
    <t>An indication of the sequence of the evaluation.</t>
  </si>
  <si>
    <t>0754</t>
  </si>
  <si>
    <t>Evaluation Sequence
   02101 - Initial evaluation
   02102 - Review evaluation
   02103 - Screening evaluation
   09999 - Other</t>
  </si>
  <si>
    <t>Expected Life of Facility</t>
  </si>
  <si>
    <t>The time, in years, of the expected useful life of a facility for the purposes of depreciation.</t>
  </si>
  <si>
    <t>1030</t>
  </si>
  <si>
    <t>Expected Remediation Date</t>
  </si>
  <si>
    <t>The month, day, and year by which a hazardous condition of a site or building is expected to be remediated.</t>
  </si>
  <si>
    <t>1000</t>
  </si>
  <si>
    <t>Experience Type</t>
  </si>
  <si>
    <t>The nature of an individual's work experience.</t>
  </si>
  <si>
    <t>0696</t>
  </si>
  <si>
    <t>Experience Type
   02030 - Cooperative education
   02031 - Apprenticeship
   00611 - Internship
   02033 - Court-ordered activity
   02034 - School-mandated activity
   02035 - Voluntary school-related activity
   02036 - Voluntary community-related service
   02037 - Paid employment
   09999 - Other</t>
  </si>
  <si>
    <t>Expulsion Cause</t>
  </si>
  <si>
    <t>The documented reason for expulsion.</t>
  </si>
  <si>
    <t>0648</t>
  </si>
  <si>
    <t>Expulsion Return Date</t>
  </si>
  <si>
    <t>The month, day, and year on which a student is allowed to return to school after an expulsion, as approved by appropriate school authorities.</t>
  </si>
  <si>
    <t>0649</t>
  </si>
  <si>
    <t>Exterior Walls</t>
  </si>
  <si>
    <t>The covering, structural or not, of the exterior building walls.</t>
  </si>
  <si>
    <t>0901</t>
  </si>
  <si>
    <t>Exterior Finish Type
   02422 - Brick
   02538 - Concrete masonry unit
   02539 - Stucco
   02540 - Synthetic stucco
   02523 - Wood
   02430 - Adobe
   02542 - Stone
   02543 - Prefabricated concrete
   02544 - Synthetic stone
   09999 - Other</t>
  </si>
  <si>
    <t>Exterior Window Frame Material</t>
  </si>
  <si>
    <t>The building material used to construct window frames.</t>
  </si>
  <si>
    <t>0899</t>
  </si>
  <si>
    <t>Window Frame Material
   02523 - Wood
   02428 - Aluminum
   02525 - Vinyl
   02429 - Steel
   02527 - Vinyl-clad wood
   02528 - Vinyl-clad steel
   02529 - Aluminum-clad wood
   09999 - Other</t>
  </si>
  <si>
    <t>Exterior Windows Design Type</t>
  </si>
  <si>
    <t>The type of window design, defined by how it operates.</t>
  </si>
  <si>
    <t>0898</t>
  </si>
  <si>
    <t>Window Design Type
   02518 - Nonoperable state
   02519 - Casement
   02520 - Double hung
   02521 - Tilt open (awning or hopper)
   02522 - Sliding
   09999 - Other
   13577 - Gas filled
   13578 - Switchable glazings</t>
  </si>
  <si>
    <t>Facilities Capital Activity Type</t>
  </si>
  <si>
    <t>The type of activity that is included in the capital financing and expenditures by virtue of a bond referendum or an appropriation.</t>
  </si>
  <si>
    <t>1006</t>
  </si>
  <si>
    <t>Facilities Capital Activity Type
   02995 - Site acquisition activity
   02996 - Environmental cleanup of site activity
   02997 - Planning activity
   02998 - Design activity
   02946 - Building demolition activity
   02947 - Environmental cleanup of building activity
   02999 - Construction activity
   02982 - Management contracts activity
   02948 - Furniture, fixtures, and equipment
   14908 - Building purchase
   14909 - Infrastructure
   09999 - Other</t>
  </si>
  <si>
    <t>Facilities Capital Budget</t>
  </si>
  <si>
    <t>The legally approved budget amount for capital finance and expenditures by virtue of a bond referendum or an appropriation.</t>
  </si>
  <si>
    <t>1007</t>
  </si>
  <si>
    <t>Facilities Management Emergency Type</t>
  </si>
  <si>
    <t>The type of abnormal and urgent circumstances that disrupt the normal operation of the building, threaten the health and safety of the occupants, or require an emergency response.</t>
  </si>
  <si>
    <t>0969</t>
  </si>
  <si>
    <t>Facilities Management Emergency Type
   02878 - Fire
   02879 - Theft
   02880 - Bomb threat
   02881 - Terrorism
   02882 - Act of violence
   02883 - Hostage
   02884 - Hurricane and tropical storm
   02885 - Thunderstorm - severe
   02886 - Earthquake
   02887 - Winter storm
   02888 - Debris flows or mudslide
   02889 - Tsunami
   02890 - Volcano
   02891 - Wildfire - surface, ground, or crown fire
   02892 - Extreme heat
   02893 - Major chemical emergency
   02894 - Gas leak
   02895 - Emergency shelter need
   02896 - Tornado
   02897 - Flood
   09999 - Other</t>
  </si>
  <si>
    <t>Facilities Operating Budget</t>
  </si>
  <si>
    <t>The estimated annual budget for the facility operation.</t>
  </si>
  <si>
    <t>1005</t>
  </si>
  <si>
    <t>Facilities Operations Type</t>
  </si>
  <si>
    <t>The type of facilities operations coded into the operating budget.</t>
  </si>
  <si>
    <t>1004</t>
  </si>
  <si>
    <t>Facilities Operations Type
   02936 - Utilities
   02937 - Custodial personnel services
   02938 - Custodial other than personnel services
   02939 - Custodial contracts
   02940 - Maintenance/repair personnel services
   02941 - Maintenance/repair other than personnel services
   02942 - Maintenance/repair contracts
   02943 - Management personnel services
   02944 - Management other than personnel services
   02945 - Management contracts
   09999 - Other</t>
  </si>
  <si>
    <t>Facilities Plan</t>
  </si>
  <si>
    <t>A description of the management and accountability plan.</t>
  </si>
  <si>
    <t>0967</t>
  </si>
  <si>
    <t>Facilities Plan Cost</t>
  </si>
  <si>
    <t>The estimated total amount of the facilities plan.</t>
  </si>
  <si>
    <t>0968</t>
  </si>
  <si>
    <t>Facilities Plan Type</t>
  </si>
  <si>
    <t>The type of management and accountability plan.</t>
  </si>
  <si>
    <t>0966</t>
  </si>
  <si>
    <t>Facilities Plan Type
   02825 - Emergency response plan
   02826 - Maintenance plan
   02827 - Educational facilities master plan
   02828 - Capital improvement plan
   02829 - Energy management plan
   02830 - Hazardous materials management plan
   09999 - Other</t>
  </si>
  <si>
    <t>Facility Capital Program Management Type</t>
  </si>
  <si>
    <t>The type of management organization for planning, design, and construction of major capital projects.</t>
  </si>
  <si>
    <t>0965</t>
  </si>
  <si>
    <t>Facility Capital Program Management Type
   02913 - District management
   02823 - Private management
   02824 - Nonschool public agency management
   09999 - Other</t>
  </si>
  <si>
    <t>Facility Furnishings Type</t>
  </si>
  <si>
    <t>Moveable assets that are provided so the building or interior assets can be utilized by occupants for their intended purposes.</t>
  </si>
  <si>
    <t>1550</t>
  </si>
  <si>
    <t>Facility Furnishings Type
   03014 - Classroom
   00103 - Administrative office
   02792 - Cafeteria
   00309 - Occupational therapy
   00559 - Physical education
   00313 - Physical therapy</t>
  </si>
  <si>
    <t>Facility Operations Management Type</t>
  </si>
  <si>
    <t>The type of management arrangements whereby a district oversees and manages its facilities operations.</t>
  </si>
  <si>
    <t>0964</t>
  </si>
  <si>
    <t>Facility Operations Management Type
   02819 - School district management
   02820 - Private sector management
   02821 - District and private sector management
   02822 - Nonschool public sector management
   09999 - Other</t>
  </si>
  <si>
    <t>Facility Replacement Value</t>
  </si>
  <si>
    <t>The estimated cost of replacing a facility using current per square foot estimates of total project costs.</t>
  </si>
  <si>
    <t>1029</t>
  </si>
  <si>
    <t>Facility Standard</t>
  </si>
  <si>
    <t>An indication of the district or state requirements or guidelines for the design and construction of school facilities.</t>
  </si>
  <si>
    <t>0923</t>
  </si>
  <si>
    <t>Facility Standard
   02622 - Design guidelines
   02623 - Space standards
   02624 - Master construction specifications
   02625 - Health and safety standards
   02626 - Energy performance standards
   02627 - Site selection guidelines
   13628 - Environmental Standards
   09999 - Other</t>
  </si>
  <si>
    <t>Facility Type</t>
  </si>
  <si>
    <t>The functional or organizational classification of a function of a facility.</t>
  </si>
  <si>
    <t>0129</t>
  </si>
  <si>
    <t>Facility Type
   00752 - Community facility
   00753 - Home of student
   00754 - Hospital
   00103 - Administrative office
   00756 - Residential facility
   00758 - Education facility (PK-12)
   00759 - Shared education facility
   00760 - Support facility
   00761 - Vocational training center
   00098 - Correction or detention facility
   00100 - Religious facility
   00342 - Postsecondary facility
   00101 - Business facility
   09999 - Other</t>
  </si>
  <si>
    <t>Fair Labor Standards Act Coverage</t>
  </si>
  <si>
    <t>Identification of the status of an individual's assignment, as governed by the provisions of the Fair Labor Standards Act, which establishes a federal minimum wage and eligibility for receiving overtime pay. Coverage depends upon the extent of managerial responsibility, use of independent discretion, position qualifications, and pay level of the assignment.</t>
  </si>
  <si>
    <t>0485</t>
  </si>
  <si>
    <t>Fair Labor Standards Act Coverage
   01443 - Nonexempt
   01438 - Exempt</t>
  </si>
  <si>
    <t>Family Involvement Activities</t>
  </si>
  <si>
    <t>Areas in which a program offers opportunities for family involvement.</t>
  </si>
  <si>
    <t>1284</t>
  </si>
  <si>
    <t>Family Involvement Activities
   06084 - Policy development and review
   06085 - Program planning
   06086 - Training participation
   06087 - Training provision
   09999 - Other</t>
  </si>
  <si>
    <t>Federal Mandate</t>
  </si>
  <si>
    <t>The particular federal law, regulation, or standard that pertains to a school facility.</t>
  </si>
  <si>
    <t>0906</t>
  </si>
  <si>
    <t>Federal Mandate Name
   02584 - Americans with Disabilities Act (ADA)
   02585 - Individuals with Disabilities Education Act (IDEA)
   02586 - Safe Drinking Water Act
   02587 - Lead Contamination Control Act
   02588 - Asbestos Hazardous Emergency Response Act (AHERA)
   09999 - Other</t>
  </si>
  <si>
    <t>Federal Mandate Interest</t>
  </si>
  <si>
    <t>The area of interest controlled by a federal law, regulation, or standard that pertains to a school facility.</t>
  </si>
  <si>
    <t>0905</t>
  </si>
  <si>
    <t>Federal Mandate Interest
   02574 - Facility accessibility and usability for individuals with disabilities
   02575 - Indoor air quality
   02576 - Radon contamination
   02577 - Drinking water safety
   02578 - Lead contamination
   02579 - Asbestos contamination
   02580 - Hazardous materials
   02581 - Underground storage tank
   02582 - Material Safety Data Sheet (MSDS)
   02583 - Integrated pest control
   03264 - National School Lunch Act
   09999 - Other</t>
  </si>
  <si>
    <t>Fee Amount</t>
  </si>
  <si>
    <t>The amount charged a student for items not covered by tuition for a specified time period while in attendance.</t>
  </si>
  <si>
    <t>0853</t>
  </si>
  <si>
    <t>Fee Payment Date</t>
  </si>
  <si>
    <t>The month, day, and year on which fee payment was made by an individual for receipt of a credential.</t>
  </si>
  <si>
    <t>0424</t>
  </si>
  <si>
    <t>Fee Payment Status</t>
  </si>
  <si>
    <t>An indication of whether a required fee was paid.</t>
  </si>
  <si>
    <t>0423</t>
  </si>
  <si>
    <t>Fee Payment Status
   14926 - Fee was paid
   14927 - Fee was not paid
   14928 - Fee was waived</t>
  </si>
  <si>
    <t>Fee Payment Type</t>
  </si>
  <si>
    <t>The type of charges required of a student for items not covered by tuition for a specified time period while in attendance.</t>
  </si>
  <si>
    <t>0626</t>
  </si>
  <si>
    <t>Fee Payment Type
   01865 - Student transcripts
   01866 - Driver education (behind-the-wheel)
   01867 - Towel services
   01868 - Gym suits
   01869 - Musical instrument rental
   01870 - Musical instrument repair
   01871 - Athletic events
   01484 - Extra-curricular activities
   01873 - Boarding expenses
   01874 - Books
   01875 - Equipment 
   01876 - Publications
   01877 - Supplies
   09999 - Other</t>
  </si>
  <si>
    <t>Fee-for-Service Funding Amount</t>
  </si>
  <si>
    <t>Amount of funding the Early Intervention program collects from family fees.</t>
  </si>
  <si>
    <t>1280</t>
  </si>
  <si>
    <t>Finance Options</t>
  </si>
  <si>
    <t>An alternative method to raise revenue and structure financing of school construction or improvements.</t>
  </si>
  <si>
    <t>1018</t>
  </si>
  <si>
    <t>Finance Options
   02954 - Public/private development partnerships
   02955 - Energy saving performance contract
   02956 - Sale-lease back
   09999 - Other</t>
  </si>
  <si>
    <t>Financial Assistance Amount</t>
  </si>
  <si>
    <t>The dollar value of financial assistance received by, or made available to, a student under the financial assistance program.</t>
  </si>
  <si>
    <t>0634</t>
  </si>
  <si>
    <t>Financial Assistance Descriptive Title</t>
  </si>
  <si>
    <t>The title (or description) of a financial assistance program (e.g., the name of a scholarship).</t>
  </si>
  <si>
    <t>0632</t>
  </si>
  <si>
    <t>Financial Assistance Qualifier</t>
  </si>
  <si>
    <t>The condition for which financial assistance is awarded to a student.</t>
  </si>
  <si>
    <t>0630</t>
  </si>
  <si>
    <t>Financial Assistance Qualifier
   01889 - Need-based assistance
   01890 - Non-need based assistance</t>
  </si>
  <si>
    <t>Financial Assistance Source</t>
  </si>
  <si>
    <t>The funding source of financial assistance awarded to a student for his or her education.</t>
  </si>
  <si>
    <t>0633</t>
  </si>
  <si>
    <t>Payment Source(s)
   01896 - Resident school or local education agency
   01882 - Another school within the local education agency
   01883 - Another school or school district within the state but outside the local education agency
   01884 - A school or school district outside the state
   01885 - A state agency
   01886 - A federal agency
   01887 - The student or his or her family
   01899 - Parent/guardian's employer
   01888 - Other financial assistance provider
   09999 - Other</t>
  </si>
  <si>
    <t>Financial Assistance Type</t>
  </si>
  <si>
    <t>A designation of the specific category of financial assistance awarded to a student.</t>
  </si>
  <si>
    <t>0631</t>
  </si>
  <si>
    <t>Financial Assistance Type
   01891 - Assistantship
   01892 - Grant/scholarship
   01893 - Loan
   01894 - Work-study
   01895 - Other tuition waiver/remittance
   09999 - Other</t>
  </si>
  <si>
    <t>Financing Fee Type</t>
  </si>
  <si>
    <t>The type of fee that one must pay when getting a mortgage.</t>
  </si>
  <si>
    <t>1568</t>
  </si>
  <si>
    <t>Financing Fee Type
   13717 - Application fee
   13718 - Legal fee
   13719 - Origination fee</t>
  </si>
  <si>
    <t>Fire Protection System</t>
  </si>
  <si>
    <t>The type of system that protects the facility against fire.</t>
  </si>
  <si>
    <t>0895</t>
  </si>
  <si>
    <t>Fire Protection System
   02511 - Automatic sprinkler
   02512 - Fire pump/extinguishers
   02513 - Alarms
   02514 - Kitchen fire suppressor system
   09999 - Other
   13579 - Fire protection specialists
   13580 - Other fire protection systems
   13581 - Standpipes</t>
  </si>
  <si>
    <t>Fiscal Year End Date</t>
  </si>
  <si>
    <t>The month, day, and year on which the fiscal year ends.</t>
  </si>
  <si>
    <t>1398</t>
  </si>
  <si>
    <t>Fiscal Year Start Date</t>
  </si>
  <si>
    <t>The month, day, and year on which the fiscal year begins.</t>
  </si>
  <si>
    <t>1397</t>
  </si>
  <si>
    <t>Fittings</t>
  </si>
  <si>
    <t>Any machine, component, piping, or tubing part that can attach or connect two or more larger parts.</t>
  </si>
  <si>
    <t>1534</t>
  </si>
  <si>
    <t>Fixed Furnishings</t>
  </si>
  <si>
    <t>Furniture which is permanently installed in a space.</t>
  </si>
  <si>
    <t>1530</t>
  </si>
  <si>
    <t>Floor Construction</t>
  </si>
  <si>
    <t>The horizontal structures spanning the width of the building.</t>
  </si>
  <si>
    <t>1528</t>
  </si>
  <si>
    <t>Focus of Charter School</t>
  </si>
  <si>
    <t>A description of the focus of the Charter School.</t>
  </si>
  <si>
    <t>1388</t>
  </si>
  <si>
    <t>Food Service Space Type</t>
  </si>
  <si>
    <t>The space located, designed, furnished and equipped to support meal programs.</t>
  </si>
  <si>
    <t>0942</t>
  </si>
  <si>
    <t>Food Service Space Type
   02792 - Cafeteria
   02793 - Cafetorium
   02794 - Faculty dining room
   02795 - Student dining room
   02988 - Multipurpose room
   02796 - Full-service kitchen
   02797 - Convenience kitchen
   02798 - Finishing/satellite kitchen
   02799 - Dry food/non-hazardous supplies storage area
   03109 - Refrigerated/freezer storage area
   02800 - Food serving area
   02801 - Storage of tables and chairs
   03251 - Dish return area
   03252 - Trash disposal area
   03253 - Recyclable materials area
   03254 - Food receiving area
   13629 - Kitchen garden
   09999 - Other</t>
  </si>
  <si>
    <t>Form Date</t>
  </si>
  <si>
    <t>The month, day, and year on which the required tax form is filled out by the individual.</t>
  </si>
  <si>
    <t>0539</t>
  </si>
  <si>
    <t>Form Type</t>
  </si>
  <si>
    <t>An indication of the type of form that is required to be filled out by an individual for tax records.</t>
  </si>
  <si>
    <t>0538</t>
  </si>
  <si>
    <t>Form Type
   01592 - Federal W-4 form
   01593 - State form
   09999 - Other</t>
  </si>
  <si>
    <t>Former Legal Name</t>
  </si>
  <si>
    <t>A previously recognized legally accepted name that is no longer valid.</t>
  </si>
  <si>
    <t>0132</t>
  </si>
  <si>
    <t>Former Name of Institution</t>
  </si>
  <si>
    <t>The previously recognized or legally accepted name of the education institution that is no longer valid.</t>
  </si>
  <si>
    <t>0313</t>
  </si>
  <si>
    <t>Foundation Type</t>
  </si>
  <si>
    <t>A part of the substructure of a building upon which the building shell is constructed.</t>
  </si>
  <si>
    <t>1529</t>
  </si>
  <si>
    <t>Foundation Type
   13582 - Slab on grade
   13583 - Specific special foundations
   13584 - Specific standard foundations</t>
  </si>
  <si>
    <t>Frequency of Accreditation/Evaluation</t>
  </si>
  <si>
    <t>The timing of accreditation/evaluation efforts.</t>
  </si>
  <si>
    <t>0133</t>
  </si>
  <si>
    <t>Frequency of Accreditation/Evaluation
   01526 - Annual
   00411 - Bi-annual
   00412 - Semi-annual
   00413 - Ad hoc/no fixed schedule
   09999 - Other</t>
  </si>
  <si>
    <t>Fringe Benefit Type</t>
  </si>
  <si>
    <t>An indication of the type of compensation or benefit in a form other than direct wages, provided in whole or in part by an employer to the employee.</t>
  </si>
  <si>
    <t>0505</t>
  </si>
  <si>
    <t>Fringe Benefit Type
   01501 - Social Security Old Age Insurance
   01502 - Social Security Survivor Insurance
   01503 - Social Security Disability Insurance
   01504 - Medicare for the Aged and Disabled Hospital Insurance
   01505 - Medicare for the Aged and Disabled Supplementary Medical Insurance
   01506 - Other Social Security benefits
   01507 - Employee Retirement Income Security Act (ERISA)
   01508 - Defined benefit plan
   01509 - Defined contribution plan
   01510 - Other pension plan
   01511 - Individual retirement account (IRA)
   01512 - Health insurance - health maintenance organization (HMO)
   01513 - Health insurance - preferred provider organization (PPO)
   01514 - Other health plan
   01515 - Dental care plan
   02313 - Prescription drug plan
   01516 - Vision plan
   01517 - Mental health and substance abuse benefits
   01518 - Retiree health insurance
   01519 - Health promotion program
   01520 - Consolidated Omnibus Budget Reconciliation Act (COBRA)
   01521 - Worker's compensation
   01522 - Non-occupational temporary disability insurance plan
   01523 - Short-term disability plan - employment-based private program
   02314 - Long-term disability plan - employment-based private program
   01606 - Sick leave
   01597 - Annual leave
   01527 - Leave sharing/leave bank
   01599 - Compensatory leave time
   01600 - Family and medical leave
   01530 - Other leave
   01531 - Uniform and laundry fees
   01532 - Transportation subsidy
   01533 - Parking subsidy
   01534 - Recreation subsidies
   01535 - Child care
   01536 - Car
   01537 - Housing allowances
   01538 - Tuition for children of staff
   01539 - Employee assistance program
   01540 - Long-term care insurance
   01541 - Group life insurance plan
   01542 - Survivor benefits
   01543 - Educational assistance benefits
   02312 - Legal service plan
   01545 - Dependent care
   01546 - Stock ownership plan
   01573 - Profit sharing plan
   01548 - Other direct subsidies
   09999 - Other</t>
  </si>
  <si>
    <t>FTP Address</t>
  </si>
  <si>
    <t>The File Transfer Protocol address to let users find particular files on servers connected to the internet</t>
  </si>
  <si>
    <t>1392</t>
  </si>
  <si>
    <t>Full Service Kitchen Type</t>
  </si>
  <si>
    <t>The type of kitchen housed in the facility as defined by whether it prepares food to be served onsite and/or at additional locations.</t>
  </si>
  <si>
    <t>1101</t>
  </si>
  <si>
    <t>Full Service Kitchen Type
   03247 - Central kitchen
   03248 - Production kitchen
   03249 - Self-contained kitchen
   03250 - Non-production kitchen</t>
  </si>
  <si>
    <t>Full-time Equivalent (FTE) Status</t>
  </si>
  <si>
    <t>The actual full-time equivalent of a student's course load (e.g., 0.25, 0.50, 0.75, or 1.00).</t>
  </si>
  <si>
    <t>0622</t>
  </si>
  <si>
    <t>Full-time/Part-time Session</t>
  </si>
  <si>
    <t>An indication of the course load status (e.g., full-time equivalency) instructional options available to students at the education institution.</t>
  </si>
  <si>
    <t>0134</t>
  </si>
  <si>
    <t>Full-time/Part-time Session
   00843 - Full-time
   00844 - Part-time
   00119 - Both full-time and part-time</t>
  </si>
  <si>
    <t>Function Code</t>
  </si>
  <si>
    <t>The purpose of the program activities to which an individual is assigned as related to students. (Note: Refer to the Financial Accounting Handbook for Local and State School System 2003 for updated function codes at http://www.nces.ed.gov/pubs2004/h2r2/ch_6_4.asp#1).</t>
  </si>
  <si>
    <t>0568</t>
  </si>
  <si>
    <t>Functional Age of Building</t>
  </si>
  <si>
    <t>The number of years since a comprehensive upgrade of ALL major building systems and components, such that it functions as a modern building.</t>
  </si>
  <si>
    <t>1519</t>
  </si>
  <si>
    <t>Future Entry Date</t>
  </si>
  <si>
    <t>The month, date, and year on which an individual is anticipated to being receiving instructional services.</t>
  </si>
  <si>
    <t>1350</t>
  </si>
  <si>
    <t>GIS Location</t>
  </si>
  <si>
    <t>The unique geocoded designation of a building or site.</t>
  </si>
  <si>
    <t>0861</t>
  </si>
  <si>
    <t>Governmental Jurisdiction Name</t>
  </si>
  <si>
    <t>The name of the governmental jurisdiction.</t>
  </si>
  <si>
    <t>0311</t>
  </si>
  <si>
    <t>Governmental Jurisdiction Type</t>
  </si>
  <si>
    <t>The type of governmental jurisdiction.</t>
  </si>
  <si>
    <t>0312</t>
  </si>
  <si>
    <t>Governmental Jurisdiction Type
   02384 - City Council Ward
   02386 - County Commissioner District
   02387 - State Board of Education District
   02388 - State Legislative District
   02385 - Congressional District</t>
  </si>
  <si>
    <t>GPS Position</t>
  </si>
  <si>
    <t>The global positioning system location.</t>
  </si>
  <si>
    <t>1414</t>
  </si>
  <si>
    <t>Grade Level Assessed</t>
  </si>
  <si>
    <t>The grade level or grade spans assessed.</t>
  </si>
  <si>
    <t>0140</t>
  </si>
  <si>
    <t>Graduation Testing Status</t>
  </si>
  <si>
    <t>An indication of the status of the student with regard to test requirements for graduation.</t>
  </si>
  <si>
    <t>1434</t>
  </si>
  <si>
    <t>Promotion Testing Status
   13420 - Alternate Assessment
   03446 - Not tested
   13421 - Tested and Failed
   13422 - Tested and Passed</t>
  </si>
  <si>
    <t>Grievance Action</t>
  </si>
  <si>
    <t>Any action taken by the employer as a result of a grievance filed by an employee.</t>
  </si>
  <si>
    <t>0554</t>
  </si>
  <si>
    <t>Grievance Date</t>
  </si>
  <si>
    <t>The month, day, and year on which a grievance was filed by an employee.</t>
  </si>
  <si>
    <t>0553</t>
  </si>
  <si>
    <t>Grievance Description</t>
  </si>
  <si>
    <t>Any statement or official expression submitted by an employee as a grievance about his or her employment.</t>
  </si>
  <si>
    <t>0552</t>
  </si>
  <si>
    <t>Grievance Outcome</t>
  </si>
  <si>
    <t>An indication of the action(s) taken or not taken by the employer as a result of a grievance filed by an employee.</t>
  </si>
  <si>
    <t>0556</t>
  </si>
  <si>
    <t>Grievance Resolution Date</t>
  </si>
  <si>
    <t>The month, day, and year on which a resolution of a grievance was announced.</t>
  </si>
  <si>
    <t>0555</t>
  </si>
  <si>
    <t>Gross Income Amount</t>
  </si>
  <si>
    <t>The amount of income and supplemental pay earned before deductions for the specific time period.</t>
  </si>
  <si>
    <t>0523</t>
  </si>
  <si>
    <t>Harassment, Nonsexual Violation</t>
  </si>
  <si>
    <t>Repeatedly annoying or attacking a student or group of students or other personnel which creates an intimidating or hostile educational or work environment.</t>
  </si>
  <si>
    <t>1299</t>
  </si>
  <si>
    <t>Harassment, Nonsexual Violation
   04647 - Bullying
   04648 - Hazing
   09999 - Other</t>
  </si>
  <si>
    <t>Hazardous Components Abatement</t>
  </si>
  <si>
    <t>A description of the removal and control of hazardous materials from a construction site.</t>
  </si>
  <si>
    <t>1878</t>
  </si>
  <si>
    <t>Hazardous Material/Condition</t>
  </si>
  <si>
    <t>A description of the seriousness a threat or hazardous material poses.</t>
  </si>
  <si>
    <t>0998</t>
  </si>
  <si>
    <t>Hazardous Material/Condition Testing Date</t>
  </si>
  <si>
    <t>The month, day, and year that the site or building is tested for a specific hazardous material.</t>
  </si>
  <si>
    <t>0997</t>
  </si>
  <si>
    <t>Hazardous Materials or Condition Type</t>
  </si>
  <si>
    <t>The type of hazardous materials or conditions tested for at a site or building.</t>
  </si>
  <si>
    <t>0996</t>
  </si>
  <si>
    <t>Hazardous Materials or Condition Type
   02898 - Asbestos
   02899 - Lead
   02900 - Mold
   02901 - Underground storage tanks (USTs)
   02902 - Radon
   02903 - Pesticides
   13656 - Carbon Monoxide
   13657 - Chlorofluorocarbons
   13658 - Concentrated animal feeding operations (CAFOs)
   13659 - Criteria Air Pollutants
   13660 - Drip Lines
   13661 - Ground Level Ozone
   13662 - Hazardous Air Pollutants
   13663 - Hazardous, industrial, or municipal waste sites
   13664 - Hydrochlorofluorocarbons
   13665 - Mercury
   13666 - Methane
   13667 - Nitrogen Oxides
   13668 - Particulate Matter
   13669 - Polychlorinated biphenyls (PCBs)
   13670 - Propellants
   13671 - Refrigerants
   13672 - Sediment, sludge, reuse material
   13673 - Sulfur dioxide
   13674 - Vapor intrusion
   13675 - Volatile organic compounds
   09999 - Other</t>
  </si>
  <si>
    <t>Head of Household</t>
  </si>
  <si>
    <t>The individual with primary responsibility for the maintenance of a residence.</t>
  </si>
  <si>
    <t>0602</t>
  </si>
  <si>
    <t>Head of Household
   01685 - Agency official
   01686 - Foster parent(s)
   01687 - Institution official
   01688 - Non-parental relative
   01689 - Non-relative owner of property
   00850 - Parent/guardian
   01690 - Prison official
   01691 - School official
   01692 - Spouse
   00126 - Student
   09999 - Other</t>
  </si>
  <si>
    <t>Health Care History Episode Date</t>
  </si>
  <si>
    <t>The month, day, and year of diagnosis, treatment, or update of any health condition an individual may have experienced.</t>
  </si>
  <si>
    <t>0753</t>
  </si>
  <si>
    <t>Health Care Plan</t>
  </si>
  <si>
    <t>The description or title of the health care plan by which the individual is covered.</t>
  </si>
  <si>
    <t>0348</t>
  </si>
  <si>
    <t>Health Condition Progress Report</t>
  </si>
  <si>
    <t>A periodic update on a continuing health concern or medical treatment an individual may be experiencing.</t>
  </si>
  <si>
    <t>0752</t>
  </si>
  <si>
    <t>Heating Generation System</t>
  </si>
  <si>
    <t>The method by which the heat is distributed and delivered throughout the room(s) or building.</t>
  </si>
  <si>
    <t>0889</t>
  </si>
  <si>
    <t>Heating Distribution System
   02477 - Steam radiator
   02478 - Hot water radiator
   02479 - Heat pump
   02480 - Unit ventilators
   02481 - Unit heaters/baseboard heaters
   02482 - Central duct system
   02483 - Open plenum system
   02484 - Forced air
   02485 - Displacement ventilation 
   09999 - Other</t>
  </si>
  <si>
    <t>Historic Status</t>
  </si>
  <si>
    <t>An indication of whether or not a building is eligible to be or has been declared a landmark or historic building.</t>
  </si>
  <si>
    <t>0871</t>
  </si>
  <si>
    <t>Historic Status
   02412 - Locally eligible, not yet designated
   02413 - State eligible, not yet designated
   02414 - Nationally eligible, not yet designated
   02415 - Ineligible
   02416 - Not evaluated
   02417 - Locally designated
   02418 - State designated
   02419 - Nationally designated</t>
  </si>
  <si>
    <t>Home Schooled</t>
  </si>
  <si>
    <t>An indication that the student is receiving educational instruction offered in a home environment, as required by local and state law, for reasons other than health.</t>
  </si>
  <si>
    <t>1140</t>
  </si>
  <si>
    <t>Honor or Award</t>
  </si>
  <si>
    <t>A description of educational or professional honors (e.g., Teacher of the Year) or awards (e.g., scholarships) earned by an individual.</t>
  </si>
  <si>
    <t>0389</t>
  </si>
  <si>
    <t>Honors Title</t>
  </si>
  <si>
    <t>The title of the honors received.</t>
  </si>
  <si>
    <t>1423</t>
  </si>
  <si>
    <t>Hospital Preference</t>
  </si>
  <si>
    <t>The hospital to which an individual prefers to be taken under emergency conditions or, in the case of a minor the hospital to which the parent/guardian prefers the individual to be taken.</t>
  </si>
  <si>
    <t>0349</t>
  </si>
  <si>
    <t>Hours of Leave Used</t>
  </si>
  <si>
    <t>The number of hours of leave an individual has taken.</t>
  </si>
  <si>
    <t>0548</t>
  </si>
  <si>
    <t>4.2</t>
  </si>
  <si>
    <t>Hours of Public Use per Week</t>
  </si>
  <si>
    <t>The number of hours that all or part of a building is used for purposes other than general education by the community or other organizations.</t>
  </si>
  <si>
    <t>0955</t>
  </si>
  <si>
    <t>Hours of Service per Day</t>
  </si>
  <si>
    <t>The average number of hours per work day that an individual is expected to work as outlined specifically in his or her employment agreement.</t>
  </si>
  <si>
    <t>0477</t>
  </si>
  <si>
    <t>Hours of Service per Week</t>
  </si>
  <si>
    <t>The average number of hours per week that an individual is expected to work as outlined specifically in his or her employment agreement.</t>
  </si>
  <si>
    <t>0479</t>
  </si>
  <si>
    <t>HVAC System</t>
  </si>
  <si>
    <t>The building service system that provides for heating, ventilation and air-conditioning.</t>
  </si>
  <si>
    <t>1532</t>
  </si>
  <si>
    <t>HVAC System
   13585 - Air distribution system
   13586 - Controls and instrumentation
   13587 - Cooling generation systems
   13588 - Energy supply
   13589 - Heat generating system
   13590 - Other HVAC systems and equipment
   13591 - Systems testing and balancing
   13592 - Terminal and package units</t>
  </si>
  <si>
    <t>IFSP Service Provision Method</t>
  </si>
  <si>
    <t>The manner by which a service is provided, in terms of individual or group basis, as listed on the IFSP.</t>
  </si>
  <si>
    <t>1234</t>
  </si>
  <si>
    <t>Illness Type</t>
  </si>
  <si>
    <t>A description of the specific illness or ailment which causes a student to leave school. (Note: The International Classification of Diseases (ICD) is maintained by the World Health Organization. The ICD is revised periodically to incorporate changes in the medical field, the most updated and detailed list of International Statistical Classification of Diseases and Related Health Problems can be found at http://www.who.int/classifications/apps/icd/icd10online).</t>
  </si>
  <si>
    <t>0647</t>
  </si>
  <si>
    <t>Immunization Status</t>
  </si>
  <si>
    <t>The current immunization status as well as an indication of circumstances or situations affecting the immunizations of an individual.</t>
  </si>
  <si>
    <t>0355</t>
  </si>
  <si>
    <t>Immunization Status Code
   01104 - First inoculation
   01105 - Second inoculation
   01106 - Third inoculation
   01107 - Fourth inoculation
   01108 - Fifth inoculation
   01109 - Sixth inoculation
   01110 - Seventh inoculation
   01111 - Eighth inoculation
   01112 - Ninth inoculation
   01113 - Medical exemption
   01114 - Personal exemption
   01115 - Religious exemption
   02392 - Legal/state exemption
   01116 - Already had the disease</t>
  </si>
  <si>
    <t>Immunizations Mandated by State Law for Participation</t>
  </si>
  <si>
    <t>An indication that an immunization is specifically required by an organization or governing body. Some diseases for which immunizations are most frequently required include: Diphtheria, Hepatitis B, Influenza, Mumps, Pertussis (whooping cough), Poliomyelitis, Rubella (German measles), Rubeola (measles), Smallpox, Tetanus, Tuberculosis (BCG), and Rh. Immune Globulin.</t>
  </si>
  <si>
    <t>0353</t>
  </si>
  <si>
    <t>Required/Not Required
   01102 - Required
   01103 - Not required</t>
  </si>
  <si>
    <t>Improvement Plan Focus Area</t>
  </si>
  <si>
    <t>The main focus area under which strategies can be grouped in the Improvement Plan.</t>
  </si>
  <si>
    <t>1381</t>
  </si>
  <si>
    <t>Improvement Plan Goals</t>
  </si>
  <si>
    <t>A broad statement that describes a desired outcome(s) of the Improvement Plan.  The desired outcome establishes the organizations long-term priorities and influences the development of short-term objectives.</t>
  </si>
  <si>
    <t>1385</t>
  </si>
  <si>
    <t>Improvement Plan Model</t>
  </si>
  <si>
    <t>The established model used in the improvement effort.</t>
  </si>
  <si>
    <t>1382</t>
  </si>
  <si>
    <t>Improvement Plan Objective</t>
  </si>
  <si>
    <t>A statement of measureable outcomes that defines an end result expected to be accomplished.</t>
  </si>
  <si>
    <t>1383</t>
  </si>
  <si>
    <t>Improvement Plan Strategies</t>
  </si>
  <si>
    <t>A statement of action(s) that describe the means to be used to achieve the goals and objectives of the Improvement Plan.</t>
  </si>
  <si>
    <t>1380</t>
  </si>
  <si>
    <t>Improvement Plan Vision</t>
  </si>
  <si>
    <t>A statement of where and what the organization wants to be in the future.</t>
  </si>
  <si>
    <t>1384</t>
  </si>
  <si>
    <t>Inappropriate use of Medication Violation</t>
  </si>
  <si>
    <t>Use, possession, or distribution of any prescription or over-the-counter medication, (e.g., aspirin, cough syrup, caffeine pills, nasal sprays) in violation of school policy.</t>
  </si>
  <si>
    <t>1300</t>
  </si>
  <si>
    <t>Inappropriate use of Medication Violation
   04653 - Sale of medication
   04654 - Distribution of medication
   04655 - Use of medication in violation of school rules
   04656 - Possession of medication in violation of school rules
   04657 - Suspicion of use of medication in violation of school rules
   09999 - Other</t>
  </si>
  <si>
    <t>Incident Recording Mechanism</t>
  </si>
  <si>
    <t>The mechanism by which evidence of an incident or offense may have been recorded (e.g., a hallway video camera, e-mail server, or police report.)</t>
  </si>
  <si>
    <t>1126</t>
  </si>
  <si>
    <t>Indebtedness Amount</t>
  </si>
  <si>
    <t>The amount of indebtedness allowed by law to be carried by the school district.</t>
  </si>
  <si>
    <t>1019</t>
  </si>
  <si>
    <t>Indoor Athletic/Physical Education Space Type</t>
  </si>
  <si>
    <t>The indoor space designed, located, furnished, and equipped for instruction and support of a physical education curriculum and athletic program.</t>
  </si>
  <si>
    <t>0934</t>
  </si>
  <si>
    <t>Indoor Athletic/Physical Education Space Type
   02984 - Gymnasium
   02709 - Auxiliary gymnasium
   02710 - Weight training room
   02711 - Wrestling room
   02712 - Dance studio
   02713 - Team room
   02714 - Pool/natatorium
   02715 - Locker room
   02716 - Equipment storage
   02717 - Press box
   02718 - Multipurpose space
   02719 - Health classroom
   02720 - Playtorium (auditorium/gymnasium)
   09999 - Other</t>
  </si>
  <si>
    <t>Induction Program Mentor</t>
  </si>
  <si>
    <t>The name of the individual who offered guidance and assistance to the individual during the induction period.</t>
  </si>
  <si>
    <t>0404</t>
  </si>
  <si>
    <t>Ineligibility Reason</t>
  </si>
  <si>
    <t>A description of the reason an individual is not covered by or is not eligible to receive an employee benefit.</t>
  </si>
  <si>
    <t>0507</t>
  </si>
  <si>
    <t>Information Source</t>
  </si>
  <si>
    <t>The individual or agency providing information about a student.</t>
  </si>
  <si>
    <t>0653</t>
  </si>
  <si>
    <t>Initial Credential Issuance Requirements</t>
  </si>
  <si>
    <t>An indication of any requirements necessary for an individual to receive an initial credential.</t>
  </si>
  <si>
    <t>0400</t>
  </si>
  <si>
    <t>Initial Credential Issuance Requirements
   01243 - Education completion
   01262 - Fee payment
   01245 - Practical experience
   01246 - References
   01265 - Background/security verification
   01248 - Test/assessment
   01249 - Completion of induction program
   01250 - Completion of professional development plan
   01251 - Professional development/in-service credits
   01252 - Portfolio completed successfully
   01253 - Advisor approval
   01254 - Fingerprinting
   01255 - Tuberculosis screening
   01256 - Drug testing
   01257 - Chest x-ray
   01258 - Oath of allegiance
   01259 - Compliance with state tax laws
   09998 - None
   09999 - Other</t>
  </si>
  <si>
    <t>Injury Circumstances</t>
  </si>
  <si>
    <t>A description of the circumstances surrounding the injury of an individual, including information collected from a witness.</t>
  </si>
  <si>
    <t>0357</t>
  </si>
  <si>
    <t>Injury Description</t>
  </si>
  <si>
    <t>A description of an injury that was sustained that might or does affect an individual's performance.</t>
  </si>
  <si>
    <t>0356</t>
  </si>
  <si>
    <t>Inspection Score Results</t>
  </si>
  <si>
    <t>The description of a meaningful raw score of statistical expression of the performance on an inspection.</t>
  </si>
  <si>
    <t>1107</t>
  </si>
  <si>
    <t>Inspection Violation</t>
  </si>
  <si>
    <t>A description of the standard violation(s) found in the inspection.</t>
  </si>
  <si>
    <t>1108</t>
  </si>
  <si>
    <t>Installation Date</t>
  </si>
  <si>
    <t>The year in which the system, component, equipment, or fixture was originally installed.</t>
  </si>
  <si>
    <t>0911</t>
  </si>
  <si>
    <t>Institutional Equipment</t>
  </si>
  <si>
    <t>Equipment that is installed for use in support of instructional program such as kilns for art, planetarium equipment for astronomy, fitness equipment for physical education.</t>
  </si>
  <si>
    <t>1526</t>
  </si>
  <si>
    <t>Instructional Minutes in Period</t>
  </si>
  <si>
    <t>The number of minutes to be counted for instruction for the bell period.</t>
  </si>
  <si>
    <t>1463</t>
  </si>
  <si>
    <t>Instructional Space Factor</t>
  </si>
  <si>
    <t>A designation as to whether the space is considered an instructional space under state or local guidelines.</t>
  </si>
  <si>
    <t>0946</t>
  </si>
  <si>
    <t>Instructional Space Factor
   02811 - Instructional space
   02812 - Noninstructional space</t>
  </si>
  <si>
    <t>Insurance Deductible</t>
  </si>
  <si>
    <t>The dollar amount a school district must pay before its insurance will compensate it for loss.</t>
  </si>
  <si>
    <t>1032</t>
  </si>
  <si>
    <t>Intended Administration End Date</t>
  </si>
  <si>
    <t>The ending date of the time period in which the form is intended to be administered.</t>
  </si>
  <si>
    <t>1441</t>
  </si>
  <si>
    <t>Interior Ceiling Finish</t>
  </si>
  <si>
    <t>The type of covering, structural or not, of the interior ceilings.</t>
  </si>
  <si>
    <t>1533</t>
  </si>
  <si>
    <t>Interior Finish Type
   02545 - Painted gypsum board
   02546 - Painted plaster
   02547 - Painted concrete masonry unit
   02548 - Glazed concrete masonry unit
   02549 - Glazed brick or tile
   02550 - Vinyl wall covering
   02551 - Wood flooring
   02552 - Synthetic sheetgood composite tile flooring
   02553 - Carpet
   02554 - Terrazzo flooring
   02555 - Vinyl asbestos tile (VAT)
   02556 - Quarry tile
   02557 - Sealed concrete
   02558 - Acoustical tile
   02559 - Exposed structure - painted
   02560 - Ceramic tile
   09999 - Other</t>
  </si>
  <si>
    <t>Interior Doors</t>
  </si>
  <si>
    <t>A door that closes off rooms within a building.</t>
  </si>
  <si>
    <t>1535</t>
  </si>
  <si>
    <t>Interior Finish Type</t>
  </si>
  <si>
    <t>The type of covering, structural or not, of the interior walls, ceilings, and floors.</t>
  </si>
  <si>
    <t>0902</t>
  </si>
  <si>
    <t>Interior Floor Finish</t>
  </si>
  <si>
    <t>The type of covering, structural or not, of the interior floors.</t>
  </si>
  <si>
    <t>1537</t>
  </si>
  <si>
    <t>Interior Floor Finish
   02553 - Carpet
   02560 - Ceramic tile
   02556 - Quarry tile
   02557 - Sealed concrete
   02552 - Synthetic sheetgood composite tile flooring
   02554 - Terrazzo flooring
   02555 - Vinyl asbestos tile (VAT)
   02551 - Wood flooring
   09999 - Other</t>
  </si>
  <si>
    <t>Interior Wall Finish</t>
  </si>
  <si>
    <t>The type of covering, structural or not, of the interior walls.</t>
  </si>
  <si>
    <t>1538</t>
  </si>
  <si>
    <t>Interior Wall Finish
   02559 - Exposed structure - painted
   02549 - Glazed brick or tile
   02548 - Glazed concrete masonry unit
   02547 - Painted concrete masonry unit
   02545 - Painted gypsum board
   02546 - Painted plaster
   02555 - Vinyl asbestos tile (VAT)
   02550 - Vinyl wall covering
   09999 - Other</t>
  </si>
  <si>
    <t>International Dialing Code</t>
  </si>
  <si>
    <t>The international code for the telephone number.</t>
  </si>
  <si>
    <t>0151</t>
  </si>
  <si>
    <t>Internship/Apprenticeship Beginning Date</t>
  </si>
  <si>
    <t>The month, day, and year on which an individual began an experience as an intern or apprentice.</t>
  </si>
  <si>
    <t>0443</t>
  </si>
  <si>
    <t>Internship/Apprenticeship Description</t>
  </si>
  <si>
    <t>A description of the type of internship or apprenticeship (including student or practice teaching) formally served by an individual.</t>
  </si>
  <si>
    <t>0442</t>
  </si>
  <si>
    <t>Internship/Apprenticeship Ending Date</t>
  </si>
  <si>
    <t>The month, day, and year on which an individual finished an experience as an intern or apprentice.</t>
  </si>
  <si>
    <t>0444</t>
  </si>
  <si>
    <t>Internship/Apprenticeship Results</t>
  </si>
  <si>
    <t>A description of the outcomes or recommendations resulting from completion of an internship or apprenticeship.</t>
  </si>
  <si>
    <t>0445</t>
  </si>
  <si>
    <t>IP Address</t>
  </si>
  <si>
    <t>A numerical identification and logical address that is assigned to devices participating in a computer network utilizing the Internet Protocol for communication between its nodes</t>
  </si>
  <si>
    <t>1390</t>
  </si>
  <si>
    <t>Item Content Standard</t>
  </si>
  <si>
    <t>An indication as to whether an assessment item conforms to a standard.</t>
  </si>
  <si>
    <t>1354</t>
  </si>
  <si>
    <t>Assessment Standard Indicator
   00430 - Local standard
   00431 - Statewide standard
   00432 - Regional standard
   00434 - Association standard
   00435 - School standard
   00438 - Other standard
   09998 - None
   09999 - Other</t>
  </si>
  <si>
    <t>Item Diagnostic Statement</t>
  </si>
  <si>
    <t>Psychometric purpose or design-related comment about the question.</t>
  </si>
  <si>
    <t>1479</t>
  </si>
  <si>
    <t>Item Number of Attempts</t>
  </si>
  <si>
    <t>The number of times a student changes their answer or attempts a response.</t>
  </si>
  <si>
    <t>1480</t>
  </si>
  <si>
    <t>Item Response Location</t>
  </si>
  <si>
    <t>The location of the response or additional response.</t>
  </si>
  <si>
    <t>1476</t>
  </si>
  <si>
    <t>Job Classification</t>
  </si>
  <si>
    <t>A description of the specific group of duties and responsibilities of a position.</t>
  </si>
  <si>
    <t>0557</t>
  </si>
  <si>
    <t>Job Classification
   04706 - Official-administrative
   04722 - Professional educational
   04736 - Professional other
   04800 - Paraprofessionals
   04816 - Technical Job Classification
   04830 - Office/clerical/administrative support
   04850 - Crafts and trades
   04863 - Operative
   04866 - Laborer
   04874 - Service work
   09999 - Other</t>
  </si>
  <si>
    <t>Job Type</t>
  </si>
  <si>
    <t>The type of trade needed to meet work order job requirements.</t>
  </si>
  <si>
    <t>0988</t>
  </si>
  <si>
    <t>Job Type
   02860 - Carpentry
   02861 - Custodial
   02862 - Electrical
   02863 - Safety and environmental
   02864 - Glazing
   02865 - Grounds
   02866 - Energy management
   02867 - Masonry
   02868 - Painting
   02869 - Plumbing
   02870 - Roofing
   02871 - HVAC
   13676 - Electronic Systems/ Security
   13677 - Locksmith
   13678 - Technology
   09999 - Other</t>
  </si>
  <si>
    <t>Joint Development Type</t>
  </si>
  <si>
    <t>The type of development where two or more entities partner to plan, site, design, and/or build a new school or renovate an existing school to better support the joint use of the building and/or land.</t>
  </si>
  <si>
    <t>1555</t>
  </si>
  <si>
    <t>Joint Development Type
   13689 - Shared
   13690 - Dedicated</t>
  </si>
  <si>
    <t>Joint Use Rationale</t>
  </si>
  <si>
    <t>The reasons for permitting and participating in joint-use.</t>
  </si>
  <si>
    <t>1567</t>
  </si>
  <si>
    <t>Joint Use Rationale
   13709 - Raise revenue
   13710 - Increase programs and services for students
   13711 - Increase programs and services for the community
   13712 - Increase utilization of under used space</t>
  </si>
  <si>
    <t>Joint Use Scheduling Type</t>
  </si>
  <si>
    <t>The type of designation of non school district users by the amount of time they have access to public school for joint use.</t>
  </si>
  <si>
    <t>1557</t>
  </si>
  <si>
    <t>Joint Use Scheduling Type
   13694 - Drop-in use
   13695 - One-time event use
   13696 - Short-term lease
   13697 - Long term lease</t>
  </si>
  <si>
    <t>Joint User Type</t>
  </si>
  <si>
    <t>The types of users sharing school district controlled, owned, or utilized facilities.</t>
  </si>
  <si>
    <t>1566</t>
  </si>
  <si>
    <t>Joint User Types
   13704 - Individuals
   13705 - Civic groups
   13706 - Other public agencies
   13707 - Private non-profit organizations
   13708 - Private for-profit corporations</t>
  </si>
  <si>
    <t>Knife Type</t>
  </si>
  <si>
    <t>The type of knife used as a weapon.</t>
  </si>
  <si>
    <t>1294</t>
  </si>
  <si>
    <t>Knife Type
   04611 - Knife with blade length less than 2.5 inches
   04612 - Knife with blade length greater than or equal to 3 inches
   04614 - Other knife</t>
  </si>
  <si>
    <t>Laborer Job Classification</t>
  </si>
  <si>
    <t>A general job classification that describes staff that performs tasks requiring some manual skills which can be conducted with no special training. This includes individuals performing lifting, digging, mixing, loading, and pulling operations.</t>
  </si>
  <si>
    <t>1166</t>
  </si>
  <si>
    <t>Laborer Job Classification
   04867 - Construction laborer
   04868 - Freight, stock, and materials handlers
   04869 - Garbage collector
   04870 - Gardener
   04871 - Groundskeeper
   04872 - Garage/parking lot attendant
   04873 - Vehicle washer/equipment cleaner
   09999 - Other</t>
  </si>
  <si>
    <t>Last Check Date</t>
  </si>
  <si>
    <t>The month, day, and year that the condition of a system, component, equipment, or fixture was last checked.</t>
  </si>
  <si>
    <t>0916</t>
  </si>
  <si>
    <t>Last Service Date</t>
  </si>
  <si>
    <t>The month, day, and year a system, component, equipment, or fixture was last serviced for repair or routine maintenance.</t>
  </si>
  <si>
    <t>0917</t>
  </si>
  <si>
    <t>Last/Surname at Birth</t>
  </si>
  <si>
    <t>The original surname of an individual as identified at birth before any subsequent changes.</t>
  </si>
  <si>
    <t>0157</t>
  </si>
  <si>
    <t>Learning Standard Benchmark</t>
  </si>
  <si>
    <t>The level within the hierarchy or a learning standard that follows the subject area and the standard.</t>
  </si>
  <si>
    <t>1505</t>
  </si>
  <si>
    <t>Learning Standard Document Organization</t>
  </si>
  <si>
    <t>Name of organization represented by the document.</t>
  </si>
  <si>
    <t>1496</t>
  </si>
  <si>
    <t>Learning Standard Document Source</t>
  </si>
  <si>
    <t>Defines source of standard document. This is the descriptive type of the organization listed in Organization. It serves to describe the type of the standards contained within the document.</t>
  </si>
  <si>
    <t>1495</t>
  </si>
  <si>
    <t>Learning Standard Document Source Code
   13492 - National standard
   13493 - State standard
   00432 - Regional standard
   13494 - District standard
   13495 - Site standard
   13496 - Classroom standard
   13497 - Publisher standard</t>
  </si>
  <si>
    <t>The learning standard to which the assessment is aligned.</t>
  </si>
  <si>
    <t>1735</t>
  </si>
  <si>
    <t>100</t>
  </si>
  <si>
    <t>Learning Standard Number</t>
  </si>
  <si>
    <t>This is the specific number of the standard.</t>
  </si>
  <si>
    <t>1504</t>
  </si>
  <si>
    <t>Learnng Standard Document Date</t>
  </si>
  <si>
    <t>The date of the Learning Standard document.</t>
  </si>
  <si>
    <t>1499</t>
  </si>
  <si>
    <t>Lease Amount (Facilities)</t>
  </si>
  <si>
    <t>The amount of money the school must pay to rent the facility that it is in.</t>
  </si>
  <si>
    <t>1570</t>
  </si>
  <si>
    <t>Lease Amount Category (Facilities)</t>
  </si>
  <si>
    <t>The category of payment that a school must pay tp rent the facility that it is in.</t>
  </si>
  <si>
    <t>1569</t>
  </si>
  <si>
    <t>Lease Amount Category (Facilities)
   13720 - Base rent
   13721 - Credit
   13722 - Escalator</t>
  </si>
  <si>
    <t>Lease Type (Equipment)</t>
  </si>
  <si>
    <t>The type of agreement that allows the use and possession of equipment or equipment systems from a third party in return for a regularly scheduled installment payment over an agreed-upon period.</t>
  </si>
  <si>
    <t>1036</t>
  </si>
  <si>
    <t>Lease Type (Equipment)
   02973 - Capital lease
   02974 - Master lease
   02975 - Operating lease</t>
  </si>
  <si>
    <t>Lease Type (Facility)</t>
  </si>
  <si>
    <t>The type of agreement that allows the use and possession of a school, building, or other facility from a third party in return for a regularly scheduled installment payment over an agreed-upon period.</t>
  </si>
  <si>
    <t>1571</t>
  </si>
  <si>
    <t>Lease Type (Facility)
   13723 - Building lease
   13724 - Ground lease
   13725 - Lease build to suit
   13726 - Lease shell with significant leasehold improvements
   13727 - Triple-net lease</t>
  </si>
  <si>
    <t>Leave Accrued</t>
  </si>
  <si>
    <t>The actual number of hours of leave earned but not yet taken by an individual.</t>
  </si>
  <si>
    <t>0547</t>
  </si>
  <si>
    <t>Leave Balance</t>
  </si>
  <si>
    <t>The current number of hours of leave available for use by an individual.</t>
  </si>
  <si>
    <t>0551</t>
  </si>
  <si>
    <t>Leave Beginning Date</t>
  </si>
  <si>
    <t>The month, day, and year on which the individual begins his or her leave.</t>
  </si>
  <si>
    <t>0549</t>
  </si>
  <si>
    <t>Leave Ending Date</t>
  </si>
  <si>
    <t>The month, day, and year on which the individual ends his or her leave.</t>
  </si>
  <si>
    <t>0550</t>
  </si>
  <si>
    <t>Leave Payment Status</t>
  </si>
  <si>
    <t>An indication as to whether an individual receives compensation from the employer during a time of leave.</t>
  </si>
  <si>
    <t>0545</t>
  </si>
  <si>
    <t>Leave Payment Status
   01611 - With pay
   01612 - Without pay</t>
  </si>
  <si>
    <t>Leave Substitution Status</t>
  </si>
  <si>
    <t>An indication of the type of substitution provided for an individual's job assignment during the period of his/her absence.</t>
  </si>
  <si>
    <t>0544</t>
  </si>
  <si>
    <t>Leave Substitution Status
   01608 - No substitution
   01609 - Substitution by an individual without proof of required credentials
   01610 - Substitution by an individual with proof of required credentials</t>
  </si>
  <si>
    <t>LEED Eligibility Standards for Alterations and Additions</t>
  </si>
  <si>
    <t>LEED standards for the level of work in alterations and additions required to be eligible for LEED certification for existing buildings.</t>
  </si>
  <si>
    <t>1549</t>
  </si>
  <si>
    <t>LEED Eligibility Standards for Alterations and Additions
   13630 - Maximum alterations/additions
   13631 - Minimum alterations/additions</t>
  </si>
  <si>
    <t>Lesson Activity Begin Date</t>
  </si>
  <si>
    <t>The first month, day, and year of the lesson activity.</t>
  </si>
  <si>
    <t>0160</t>
  </si>
  <si>
    <t>Lesson Activity Description</t>
  </si>
  <si>
    <t>A description of the lesson activity.</t>
  </si>
  <si>
    <t>0161</t>
  </si>
  <si>
    <t>Lesson Activity Duration</t>
  </si>
  <si>
    <t>An estimate of the duration of time for the lesson.</t>
  </si>
  <si>
    <t>0162</t>
  </si>
  <si>
    <t>Lesson Activity End Date</t>
  </si>
  <si>
    <t>The last month, day, and year of the lesson activity.</t>
  </si>
  <si>
    <t>0163</t>
  </si>
  <si>
    <t>Lesson Activity Name</t>
  </si>
  <si>
    <t>The name of the lesson activity.</t>
  </si>
  <si>
    <t>0164</t>
  </si>
  <si>
    <t>Lesson Activity Objective</t>
  </si>
  <si>
    <t>The objectives of the lesson activity.</t>
  </si>
  <si>
    <t>0165</t>
  </si>
  <si>
    <t>Lesson Duration</t>
  </si>
  <si>
    <t>0166</t>
  </si>
  <si>
    <t>Lesson Name</t>
  </si>
  <si>
    <t>The name of the lesson.</t>
  </si>
  <si>
    <t>0167</t>
  </si>
  <si>
    <t>Lesson Objective</t>
  </si>
  <si>
    <t>A description of the learning objective(s) of the lesson.</t>
  </si>
  <si>
    <t>0168</t>
  </si>
  <si>
    <t>Lesson Plan</t>
  </si>
  <si>
    <t>A description of the lesson plan.</t>
  </si>
  <si>
    <t>0169</t>
  </si>
  <si>
    <t>Library/Media Center Specialty Space Type</t>
  </si>
  <si>
    <t>The primary and auxiliary space designed to provide and support student and staff access to books, periodicals, software, videos, and the Internet.</t>
  </si>
  <si>
    <t>0933</t>
  </si>
  <si>
    <t>Library/Media Center Specialty Space Type
   02703 - Collections room
   02704 - Reading room
   02705 - Distance learning lab
   02706 - Copy center
   02707 - Study room
   02708 - Workroom
   13632 - Reception/checkout desk
   09999 - Other</t>
  </si>
  <si>
    <t>Life-cycle Cost</t>
  </si>
  <si>
    <t>The total cost of acquiring, owning, operating, and disposing of a building, facility, or piece of equipment over its useful life.</t>
  </si>
  <si>
    <t>1028</t>
  </si>
  <si>
    <t>Limitation Beginning Date</t>
  </si>
  <si>
    <t>The month, day, and year on which an authorized evaluator recommends that the limitation of activity be instituted.</t>
  </si>
  <si>
    <t>0785</t>
  </si>
  <si>
    <t>Limitation Cause</t>
  </si>
  <si>
    <t>A description of the reason for imposing or allowing the restriction or limitation on an individual's school activities.</t>
  </si>
  <si>
    <t>0784</t>
  </si>
  <si>
    <t>Limitation Description</t>
  </si>
  <si>
    <t>A description of any specific modified activity, including alternative placement (e.g., homebound and special programs) permitted or prescribed for an individual.</t>
  </si>
  <si>
    <t>0783</t>
  </si>
  <si>
    <t>Limitation Ending Date</t>
  </si>
  <si>
    <t>The month, day, and year on which an authorized evaluator recommends that the limitation of activity be disregarded.</t>
  </si>
  <si>
    <t>0786</t>
  </si>
  <si>
    <t>Local Funding Source Type</t>
  </si>
  <si>
    <t>The source of the local funds for the project.</t>
  </si>
  <si>
    <t>1881</t>
  </si>
  <si>
    <t>Local Funding Source Type
   14910 - Bond
   14911 - Capital Project Fund
   14912 - Department of Defense Grant
   14913 - Federal
   14914 - Impact Fees
   14915 - Insurance
   14916 - Levy
   14917 - Property Sale
   14918 - Reserve Funds</t>
  </si>
  <si>
    <t>Local Funding Type</t>
  </si>
  <si>
    <t>The type of funding from local entities that serves public health, education, social services, developmental disabilities, or other.</t>
  </si>
  <si>
    <t>1283</t>
  </si>
  <si>
    <t>Local Funding Type
   06078 - Local Part C lead agency
   06079 - Local public health agency
   00066 - Local education agency 
   06081 - Local social services agency
   06082 - Local developmental disabilities agency
   06083 - Other local agency
   01555 - Community organization, business, or group
   09999 - Other</t>
  </si>
  <si>
    <t>Locale Code</t>
  </si>
  <si>
    <t>Locale code is a variable that NCES has created for general description, sampling, and other statistical purposes.  Locale codes are derived to describe a school''s location ranging from `large city` to `rural.`  These urban-centric locale codes are based on the physical location represented by an address that is matched against a geographic database maintained by the Census Bureau.  See Appendix D for a history of locale codes.</t>
  </si>
  <si>
    <t>0839</t>
  </si>
  <si>
    <t>Locale Code
   08655 - City, Large
   08656 - City, Midsize
   08657 - City, Small
   08658 - Suburb, Large
   08659 - Suburb, Midsize
   08660 - Suburb, Small
   08661 - Town, Fringe
   08662 - Town, Distant
   08663 - Town, Remote
   08664 - Rural, Fringe
   08665 - Rural, Distant
   08666 - Rural, Remote</t>
  </si>
  <si>
    <t>Location of Hazardous Materials/Conditions</t>
  </si>
  <si>
    <t>The location at which the identified hazardous material is found.</t>
  </si>
  <si>
    <t>0999</t>
  </si>
  <si>
    <t>Maintenance Standard</t>
  </si>
  <si>
    <t>The standard for maintenance of a component, system, or building.</t>
  </si>
  <si>
    <t>0979</t>
  </si>
  <si>
    <t>Maintenance Standard
   02836 - Run to fail
   02837 - Routine
   02989 - Emergency maintenance repair
   02838 - Preventive
   02839 - Predictive</t>
  </si>
  <si>
    <t>Make-up Day</t>
  </si>
  <si>
    <t>The month, day, and year that students are given instruction during the whole/part-day instruction that is scheduled solely to make up for emergency days or early dismissal days.</t>
  </si>
  <si>
    <t>0175</t>
  </si>
  <si>
    <t>Make-up Time</t>
  </si>
  <si>
    <t>The number of minutes that students are given instruction during the whole/part-day of make-up time being reported.</t>
  </si>
  <si>
    <t>0176</t>
  </si>
  <si>
    <t>Mandate Authority</t>
  </si>
  <si>
    <t>The authority that mandates through law, regulation, or standard that pertains to a specific mandate.</t>
  </si>
  <si>
    <t>1403</t>
  </si>
  <si>
    <t>Mandate Authority
   13390 - District/Local
   00859 - Federal
   00391 - State</t>
  </si>
  <si>
    <t>Marital Status for Tax Withholding</t>
  </si>
  <si>
    <t>An indication of the marital condition of an individual for tax purposes.</t>
  </si>
  <si>
    <t>0860</t>
  </si>
  <si>
    <t>Marital Status for Tax Withholding
   01041 - Married
   00142 - Single
   00210 - Married but withholding at single rate</t>
  </si>
  <si>
    <t>Marking Period Beginning Date</t>
  </si>
  <si>
    <t>The month, day, and year that the marking period begins.</t>
  </si>
  <si>
    <t>0177</t>
  </si>
  <si>
    <t>Marking Period Ending Date</t>
  </si>
  <si>
    <t>The month, day, and year that the marking period ends.</t>
  </si>
  <si>
    <t>0178</t>
  </si>
  <si>
    <t>Maternal Last Name</t>
  </si>
  <si>
    <t>The last name of the female parent.</t>
  </si>
  <si>
    <t>1314</t>
  </si>
  <si>
    <t>Maximum Leave Allowed</t>
  </si>
  <si>
    <t>The maximum number of hours of leave that an individual can accrue during a calendar or fiscal year.</t>
  </si>
  <si>
    <t>0546</t>
  </si>
  <si>
    <t>Maximum Number of Seats</t>
  </si>
  <si>
    <t>The most number of seats the class can maintain.</t>
  </si>
  <si>
    <t>1190</t>
  </si>
  <si>
    <t>Meal Service Transaction Date</t>
  </si>
  <si>
    <t>The month, day, and year on which the student received a particular meal or food service.</t>
  </si>
  <si>
    <t>1070</t>
  </si>
  <si>
    <t>Means of Introduction for Employment</t>
  </si>
  <si>
    <t>The manner in which an individual was initially introduced to an employer or the way in which the employer became aware of an individual's availability for employment.</t>
  </si>
  <si>
    <t>0457</t>
  </si>
  <si>
    <t>Means of Introduction for Employment
   01410 - Advertisement
   01411 - Assignment/appointment
   01412 - Employee-initiated effort
   01413 - Employment agency
   00357 - Peace Corps/Overseas Military
   01414 - Recruitment effort
   01415 - Staff recommendation
   01416 - Student teaching or internship
   01417 - Educator database service/network
   01418 - Work-related organization recommendation
   01419 - Internet
   09999 - Other</t>
  </si>
  <si>
    <t>Mechanical Conveying Systems</t>
  </si>
  <si>
    <t>Mechanical means for moving people and equipment within buildings.</t>
  </si>
  <si>
    <t>1539</t>
  </si>
  <si>
    <t>Mechanical Conveying System
   02516 - Elevator
   02517 - Escalator
   13593 - Lift
   13594 - Moving Walk
   13595 - Other conveying system</t>
  </si>
  <si>
    <t>Mechanical System</t>
  </si>
  <si>
    <t>The major manufactured systems required to operate a building.</t>
  </si>
  <si>
    <t>0896</t>
  </si>
  <si>
    <t>Mechanical System
   02454 - Cooling generation system
   02453 - Heating generation system
   02455 - Air distribution system
   09999 - Other</t>
  </si>
  <si>
    <t>Medical Examination Date</t>
  </si>
  <si>
    <t>The month, day, and year on which a health evaluation occurred.</t>
  </si>
  <si>
    <t>0341</t>
  </si>
  <si>
    <t>Medical Examination Instrument Description/Title</t>
  </si>
  <si>
    <t>The description or title of an evaluative instrument (e.g., a specific chart or mechanical device) that has been used to identify or evaluate an individual's health condition (e.g., Snellen Illiterate "E" Test, Snellen Alphabet Test, Pure Tone Audiometric Test, Speech Discrimination Test-Unaided and Aided, Mantoux Tuberculosis test, or sickle cell anemia blood test).</t>
  </si>
  <si>
    <t>0755</t>
  </si>
  <si>
    <t>Medical Examination Type</t>
  </si>
  <si>
    <t>A designation of the specific type of test administered to an individual for the purpose of screening or evaluating a medical condition, process, or impairment.</t>
  </si>
  <si>
    <t>0340</t>
  </si>
  <si>
    <t>Medical Examination Type
   01076 - Vision evaluation
   01077 - Hearing evaluation
   01078 - Speech and language evaluation
   01079 - Routine physical examination/screening
   01080 - Special physical examination
   01081 - Physical examination for sports participation
   01082 - Employment evaluation
   01083 - Psychological evaluation
   09999 - Other</t>
  </si>
  <si>
    <t>Medical Examination Unit of Measure</t>
  </si>
  <si>
    <t>The scale or standard by which the score or results of a medical examination are measured or compared (e.g., fractional notation referring to distance/smallest line read for vision, decibels for hearing loss, or hertz for sound frequency).</t>
  </si>
  <si>
    <t>0758</t>
  </si>
  <si>
    <t>12</t>
  </si>
  <si>
    <t>Medical Laboratory Procedure Results</t>
  </si>
  <si>
    <t>Significant or relevant conclusions drawn by qualified personnel about an individual's medical condition based on information gained from medical laboratory procedures.</t>
  </si>
  <si>
    <t>0777</t>
  </si>
  <si>
    <t>Medical Treatment</t>
  </si>
  <si>
    <t>A medical procedure (including surgery) an individual has undergone which might or does affect his or her school performance.</t>
  </si>
  <si>
    <t>0748</t>
  </si>
  <si>
    <t>Medical Waiver</t>
  </si>
  <si>
    <t>The description or special notation, if, for any reason, an individual has been granted a waiver and is not required to submit to certain medical examinations or treatments.</t>
  </si>
  <si>
    <t>0350</t>
  </si>
  <si>
    <t>Meeting Date</t>
  </si>
  <si>
    <t>The month, day, and year on which the meeting takes place.</t>
  </si>
  <si>
    <t>1368</t>
  </si>
  <si>
    <t>Meeting Outcome</t>
  </si>
  <si>
    <t>A description of the outcome of the meeting.</t>
  </si>
  <si>
    <t>1474</t>
  </si>
  <si>
    <t>Metro Status Code (MSC)</t>
  </si>
  <si>
    <t>The classification of the institution's service area relative to a Metropolitan Statistical Area (MSA).</t>
  </si>
  <si>
    <t>0182</t>
  </si>
  <si>
    <t>Metro Status Code (MSC)
   02366 - Primarily serves a central city of a Metropolitan Statistical Area (MSA)
   02367 - Serves a Metropolitan Statistical Area (MSA) but not primarily its central city
   02368 - Does not serve a Metropolitan Statistical Area (MSA)</t>
  </si>
  <si>
    <t>Metropolitan/Micropolitan Statistical Area (MSA) Code</t>
  </si>
  <si>
    <t>The Office of Management and Budget (OMB) defines the Metropolitan Statistical Areas (MSAs) as having at least one urbanized area of 50,000 or more population, plus adjacent territory that has a high degree of social and economic integration with the core as measured by commuting ties. Micropolitan Statistical Areas are defined as having at least one urban cluster of at least 10,000 but less than 50,000 population, plus adjacent territory that has a high degree of social and economic integration with the core as measured by commuting ties. The MSA codes are 5 digits in length, falling within the 10000 to 59999 range, which replaces the 4-digit code previously used.</t>
  </si>
  <si>
    <t>0183</t>
  </si>
  <si>
    <t>MSA Codes
   07702 - 10020
   07703 - 10100
   07704 - 10140
   07705 - 10180
   07706 - 10220
   07707 - 10260
   07708 - 10300
   07709 - 10380
   07710 - 10420
   07711 - 10460
   07712 - 10500
   07713 - 10540
   07714 - 10580
   07715 - 10620
   07716 - 10660
   07717 - 10700
   07718 - 10740
   07719 - 10760
   07720 - 10780
   07721 - 10820
   07722 - 10860
   07723 - 10880
   07724 - 10900
   07725 - 10940
   07726 - 10980
   07727 - 11020
   07728 - 11060
   07729 - 11100
   07730 - 11140
   07731 - 11180
   07732 - 11220
   07733 - 11260
   07734 - 11300
   07735 - 11340
   07736 - 11380
   07737 - 11420
   07738 - 11460
   07739 - 11500
   07740 - 11540
   07741 - 11580
   07742 - 11620
   07743 - 11660
   07744 - 11700
   07745 - 11740
   07746 - 11780
   07747 - 11820
   07748 - 11860
   07749 - 11900
   07750 - 11940
   07751 - 11980
   07752 - 12020
   07753 - 12060
   07754 - 12100
   07755 - 12140
   07756 - 12180
   07757 - 12220
   07758 - 12260
   07759 - 12300
   07760 - 12380
   07761 - 12420
   07762 - 12460
   07763 - 12540
   07764 - 12580
   07765 - 12620
   07766 - 12660
   07767 - 12700
   07768 - 12740
   07769 - 12780
   07770 - 12820
   07771 - 12860
   07772 - 12900
   07773 - 12940
   07774 - 12980
   07775 - 13020
   07776 - 13060
   07777 - 13100
   07778 - 13140
   07779 - 13180
   07780 - 13220
   07781 - 13260
   07782 - 13300
   07783 - 13340
   07784 - 13380
   07785 - 13420
   07786 - 13460
   07787 - 13500
   07788 - 13540
   07789 - 13620
   07790 - 13660
   07791 - 13700
   07792 - 13740
   07793 - 13780
   07794 - 13820
   07795 - 13860
   07796 - 13900
   07797 - 13940
   07798 - 13980
   07799 - 14020
   07800 - 14060
   07801 - 14100
   07802 - 14140
   07803 - 14180
   07804 - 14220
   07805 - 14260
   07806 - 14300
   07807 - 14340
   07808 - 14380
   07809 - 14420
   07810 - 14460
   07811 - 14500
   07812 - 14540
   07813 - 14580
   07814 - 14600
   07815 - 14620
   07816 - 14660
   07817 - 14700
   07818 - 14740
   07819 - 14780
   07820 - 14820
   07821 - 14860
   07822 - 14940
   07823 - 15020
   07824 - 15060
   07825 - 15100
   07826 - 15140
   07827 - 15180
   07828 - 15220
   07829 - 15260
   07830 - 15340
   07831 - 15380
   07832 - 15420
   07833 - 15460
   07834 - 15500
   07835 - 15540
   07836 - 15580
   07837 - 15620
   07838 - 15660
   07839 - 15700
   07840 - 15740
   07841 - 15780
   07842 - 15820
   07843 - 15860
   07844 - 15900
   07845 - 15940
   07846 - 15980
   07847 - 16020
   07848 - 16060
   07849 - 16100
   07850 - 16180
   07851 - 16220
   07852 - 16260
   07853 - 16300
   07854 - 16340
   07855 - 16380
   07856 - 16420
   07857 - 16460
   07858 - 16500
   07859 - 16540
   07860 - 16580
   07861 - 16620
   07862 - 16660
   07863 - 16700
   07864 - 16740
   07865 - 16820
   07866 - 16860
   07867 - 16900
   07868 - 16940
   07869 - 16980
   07870 - 17020
   07871 - 17060
   07872 - 17140
   07873 - 17180
   07874 - 17200
   07875 - 17220
   07876 - 17260
   07877 - 17300
   07878 - 17340
   07879 - 17380
   07880 - 17420
   07881 - 17460
   07882 - 17500
   07883 - 17540
   07884 - 17580
   07885 - 17620
   07886 - 17660
   07887 - 17700
   07888 - 17740
   07889 - 17780
   07890 - 17820
   07891 - 17860
   07892 - 17900
   07893 - 17940
   07894 - 17980
   07895 - 18020
   07896 - 18060
   07897 - 18100
   07898 - 18140
   07899 - 18180
   07900 - 18220
   07901 - 18260
   07902 - 18300
   07903 - 18340
   07904 - 18380
   07905 - 18420
   07906 - 18460
   07907 - 18500
   07908 - 18580
   07909 - 18620
   07910 - 18660
   07911 - 18700
   07912 - 18740
   07913 - 18820
   07914 - 18860
   07915 - 18900
   07916 - 18940
   07917 - 18980
   07918 - 19020
   07919 - 19060
   07920 - 19100
   07921 - 19140
   07922 - 19180
   07923 - 19220
   07924 - 19260
   07925 - 19300
   07926 - 19340
   07927 - 19380
   07928 - 19460
   07929 - 19500
   07930 - 19540
   07931 - 19580
   07932 - 19620
   07933 - 19660
   07934 - 19700
   07935 - 19740
   07936 - 19760
   07937 - 19780
   07938 - 19820
   07939 - 19860
   07940 - 19900
   07941 - 19940
   07942 - 19980
   07943 - 20020
   07944 - 20060
   07945 - 20100
   07946 - 20140
   07947 - 20180
   07948 - 20220
   07949 - 20260
   07950 - 20300
   07951 - 20340
   07952 - 20380
   07953 - 20420
   07954 - 20460
   07955 - 20500
   07956 - 20540
   07957 - 20580
   07958 - 20620
   07959 - 20660
   07960 - 20700
   07961 - 20740
   07962 - 20780
   07963 - 20820
   07964 - 20900
   07965 - 20940
   07966 - 20980
   07967 - 21020
   07968 - 21060
   07969 - 21120
   07970 - 21140
   07971 - 21220
   07972 - 21260
   07973 - 21300
   07974 - 21340
   07975 - 21380
   07976 - 21420
   07977 - 21460
   07978 - 21500
   07979 - 21540
   07980 - 21580
   07981 - 21640
   07982 - 21660
   07983 - 21700
   07984 - 21740
   07985 - 21780
   07986 - 21820
   07987 - 21860
   07988 - 21900
   07989 - 21940
   07990 - 21980
   07991 - 22020
   07992 - 22060
   07993 - 22100
   07994 - 22140
   07995 - 22180
   07996 - 22220
   07997 - 22260
   07998 - 22280
   07999 - 22300
   08000 - 22340
   08001 - 22380
   08002 - 22420
   08003 - 22500
   08004 - 22520
   08005 - 22540
   08006 - 22580
   08007 - 22620
   08008 - 22660
   08009 - 22700
   08010 - 22780
   08011 - 22800
   08012 - 22820
   08013 - 22840
   08014 - 22860
   08015 - 22900
   08016 - 22980
   08017 - 23020
   08018 - 23060
   08019 - 23140
   08020 - 23180
   08021 - 23240
   08022 - 23300
   08023 - 23340
   08024 - 23380
   08025 - 23420
   08026 - 23460
   08027 - 23500
   08028 - 23540
   08029 - 23580
   08030 - 23620
   08031 - 23660
   08032 - 23700
   08033 - 23780
   08034 - 23820
   08035 - 23860
   08036 - 23900
   08037 - 23940
   08038 - 23980
   08039 - 24020
   08040 - 24100
   08041 - 24140
   08042 - 24180
   08043 - 24220
   08044 - 24260
   08045 - 24300
   08046 - 24340
   08047 - 24380
   08048 - 24420
   08049 - 24460
   08050 - 24500
   08051 - 24540
   08052 - 24580
   08053 - 24620
   08054 - 24660
   08055 - 24700
   08056 - 24740
   08057 - 24780
   08058 - 24820
   08059 - 24860
   08060 - 24900
   08061 - 24940
   08062 - 24980
   08063 - 25020
   08064 - 25060
   08065 - 25100
   08066 - 25180
   08067 - 25220
   08068 - 25260
   08069 - 25300
   08070 - 25340
   08071 - 25380
   08072 - 25420
   08073 - 25460
   08074 - 25500
   08075 - 25540
   08076 - 25580
   08077 - 25620
   08078 - 25660
   08079 - 25700
   08080 - 25720
   08081 - 25740
   08082 - 25760
   08083 - 25780
   08084 - 25820
   08085 - 25860
   08086 - 25900
   08087 - 25940
   08088 - 25980
   08089 - 26020
   08090 - 26100
   08091 - 26140
   08092 - 26180
   08093 - 26220
   08094 - 26260
   08095 - 26300
   08096 - 26340
   08097 - 26380
   08098 - 26420
   08099 - 26460
   08100 - 26480
   08101 - 26500
   08102 - 26540
   08103 - 26580
   08104 - 26620
   08105 - 26660
   08106 - 26700
   08107 - 26740
   08108 - 26780
   08109 - 26820
   08110 - 26860
   08111 - 26900
   08112 - 26940
   08113 - 26980
   08114 - 27020
   08115 - 27060
   08116 - 27100
   08117 - 27140
   08118 - 27180
   08119 - 27220
   08120 - 27260
   08121 - 27300
   08122 - 27340
   08123 - 27380
   08124 - 27420
   08125 - 27460
   08126 - 27500
   08127 - 27540
   08128 - 27580
   08129 - 27620
   08130 - 27660
   08131 - 27700
   08132 - 27740
   08133 - 27780
   08134 - 27860
   08135 - 27900
   08136 - 27940
   08137 - 27980
   08138 - 28020
   08139 - 28060
   08140 - 28100
   08141 - 28140
   08142 - 28180
   08143 - 28260
   08144 - 28300
   08145 - 28340
   08146 - 28380
   08147 - 28420
   08148 - 28500
   08149 - 28540
   08150 - 28580
   08151 - 28620
   08152 - 28660
   08153 - 28700
   08154 - 28740
   08155 - 28780
   08156 - 28820
   08157 - 28860
   08158 - 28900
   08159 - 28940
   08160 - 28980
   08161 - 29020
   08162 - 29060
   08163 - 29100
   08164 - 29140
   08165 - 29180
   08166 - 29220
   08167 - 29260
   08168 - 29300
   08169 - 29340
   08170 - 29380
   08171 - 29420
   08172 - 29460
   08173 - 29500
   08174 - 29540
   08175 - 29580
   08176 - 29620
   08177 - 29660
   08178 - 29700
   08179 - 29740
   08180 - 29780
   08181 - 29820
   08182 - 29860
   08183 - 29900
   08184 - 29940
   08185 - 29980
   08186 - 30020
   08187 - 30060
   08188 - 30100
   08189 - 30140
   08190 - 30220
   08191 - 30260
   08192 - 30280
   08193 - 30300
   08194 - 30340
   08195 - 30380
   08196 - 30420
   08197 - 30460
   08198 - 30500
   08199 - 30580
   08200 - 30620
   08201 - 30660
   08202 - 30700
   08203 - 30740
   08204 - 30780
   08205 - 30820
   08206 - 30860
   08207 - 30900
   08208 - 30940
   08209 - 30980
   08210 - 31020
   08211 - 31060
   08212 - 31100
   08213 - 31140
   08214 - 31180
   08215 - 31260
   08216 - 31300
   08217 - 31340
   08218 - 31380
   08219 - 31420
   08220 - 31460
   08221 - 31500
   08222 - 31540
   08223 - 31580
   08224 - 31620
   08225 - 31660
   08226 - 31700
   08227 - 31740
   08228 - 31820
   08229 - 31860
   08230 - 31900
   08231 - 31940
   08232 - 31980
   08233 - 32020
   08234 - 32060
   08235 - 32100
   08236 - 32140
   08237 - 32180
   08238 - 32220
   08239 - 32260
   08240 - 32270
   08241 - 32280
   08242 - 32300
   08243 - 32340
   08244 - 32380
   08245 - 32420
   08246 - 32460
   08247 - 32500
   08248 - 32540
   08249 - 32580
   08250 - 32620
   08251 - 32660
   08252 - 32700
   08253 - 32740
   08254 - 32780
   08255 - 32820
   08256 - 32860
   08257 - 32900
   08258 - 32940
   08259 - 32980
   08260 - 33020
   08261 - 33060
   08262 - 33100
   08263 - 33140
   08264 - 33180
   08265 - 33220
   08266 - 33260
   08267 - 33300
   08268 - 33340
   08269 - 33380
   08270 - 33420
   08271 - 33460
   08272 - 33500
   08273 - 33540
   08274 - 33580
   08275 - 33620
   08276 - 33660
   08277 - 33700
   08278 - 33740
   08279 - 33780
   08280 - 33820
   08281 - 33860
   08282 - 33940
   08283 - 33980
   08284 - 34020
   08285 - 34060
   08286 - 34100
   08287 - 34140
   08288 - 34180
   08289 - 34220
   08290 - 34260
   08291 - 34300
   08292 - 34340
   08293 - 34380
   08294 - 34420
   08295 - 34460
   08296 - 34500
   08297 - 34540
   08298 - 34580
   08299 - 34620
   08300 - 34660
   08301 - 34700
   08302 - 34740
   08303 - 34780
   08304 - 34820
   08305 - 34860
   08306 - 34900
   08307 - 34940
   08308 - 34980
   08309 - 35020
   08310 - 35060
   08311 - 35100
   08312 - 35140
   08313 - 35220
   08314 - 35260
   08315 - 35300
   08316 - 35340
   08317 - 35380
   08318 - 35420
   08319 - 35460
   08320 - 35500
   08321 - 35580
   08322 - 35620
   08323 - 35660
   08324 - 35700
   08325 - 35740
   08326 - 35820
   08327 - 35860
   08328 - 35900
   08329 - 35940
   08330 - 35980
   08331 - 36020
   08332 - 36060
   08333 - 36100
   08334 - 36140
   08335 - 36180
   08336 - 36220
   08337 - 36260
   08338 - 36300
   08339 - 36340
   08340 - 36380
   08341 - 36420
   08342 - 36460
   08343 - 36500
   08344 - 36540
   08345 - 36580
   08346 - 36620
   08347 - 36660
   08348 - 36700
   08349 - 36740
   08350 - 36780
   08351 - 36820
   08352 - 36860
   08353 - 36900
   08354 - 36940
   08355 - 36980
   08356 - 37020
   08357 - 37060
   08358 - 37100
   08359 - 37140
   08360 - 37220
   08361 - 37260
   08362 - 37300
   08363 - 37340
   08364 - 37380
   08365 - 37420
   08366 - 37460
   08367 - 37500
   08368 - 37540
   08369 - 37580
   08370 - 37620
   08371 - 37660
   08372 - 37700
   08373 - 37740
   08374 - 37780
   08375 - 37800
   08376 - 37820
   08377 - 37860
   08378 - 37900
   08379 - 37940
   08380 - 37980
   08381 - 38020
   08382 - 38060
   08383 - 38100
   08384 - 38180
   08385 - 38200
   08386 - 38220
   08387 - 38260
   08388 - 38300
   08389 - 38340
   08390 - 38380
   08391 - 38420
   08392 - 38460
   08393 - 38500
   08394 - 38540
   08395 - 38580
   08396 - 38620
   08397 - 38660
   08398 - 38700
   08399 - 38740
   08400 - 38780
   08401 - 38820
   08402 - 38860
   08403 - 38900
   08404 - 38940
   08405 - 39020
   08406 - 39060
   08407 - 39100
   08408 - 39140
   08409 - 39220
   08410 - 39260
   08411 - 39300
   08412 - 39340
   08413 - 39380
   08414 - 39420
   08415 - 39460
   08416 - 39500
   08417 - 39540
   08418 - 39580
   08419 - 39660
   08420 - 39700
   08421 - 39740
   08422 - 39780
   08423 - 39820
   08424 - 39860
   08425 - 39900
   08426 - 39940
   08427 - 39980
   08428 - 40060
   08429 - 40080
   08430 - 40100
   08431 - 40140
   08432 - 40180
   08433 - 40220
   08434 - 40260
   08435 - 40300
   08436 - 40340
   08437 - 40380
   08438 - 40420
   08439 - 40460
   08440 - 40500
   08441 - 40540
   08442 - 40580
   08443 - 40620
   08444 - 40660
   08445 - 40700
   08446 - 40740
   08447 - 40760
   08448 - 40780
   08449 - 40820
   08450 - 40860
   08451 - 40900
   08452 - 40940
   08453 - 40980
   08454 - 41060
   08455 - 41100
   08456 - 41140
   08457 - 41180
   08458 - 41220
   08459 - 41260
   08460 - 41420
   08461 - 41460
   08462 - 41500
   08463 - 41540
   08464 - 41580
   08465 - 41620
   08466 - 41660
   08467 - 41700
   08468 - 41740
   08469 - 41780
   08470 - 41820
   08471 - 41860
   08472 - 41900
   08473 - 41940
   08474 - 41980
   08475 - 42020
   08476 - 42060
   08477 - 42100
   08478 - 42140
   08479 - 42180
   08480 - 42220
   08481 - 42300
   08482 - 42340
   08483 - 42380
   08484 - 42420
   08485 - 42460
   08486 - 42500
   08487 - 42540
   08488 - 42580
   08489 - 42620
   08490 - 42660
   08491 - 42680
   08492 - 42700
   08493 - 42740
   08494 - 42780
   08495 - 42820
   08496 - 42860
   08497 - 42900
   08498 - 42940
   08499 - 42980
   08500 - 43060
   08501 - 43100
   08502 - 43140
   08503 - 43180
   08504 - 43220
   08505 - 43260
   08506 - 43300
   08507 - 43320
   08508 - 43340
   08509 - 43380
   08510 - 43420
   08511 - 43460
   08512 - 43500
   08513 - 43540
   08514 - 43580
   08515 - 43620
   08516 - 43660
   08517 - 43700
   08518 - 43740
   08519 - 43780
   08520 - 43860
   08521 - 43900
   08522 - 43940
   08523 - 43980
   08524 - 44020
   08525 - 44060
   08526 - 44100
   08527 - 44140
   08528 - 44180
   08529 - 44220
   08530 - 44260
   08531 - 44300
   08532 - 44340
   08533 - 44380
   08534 - 44420
   08535 - 44500
   08536 - 44540
   08537 - 44580
   08538 - 44620
   08539 - 44660
   08540 - 44700
   08541 - 44740
   08542 - 44780
   08543 - 44860
   08544 - 44900
   08545 - 44940
   08546 - 44980
   08547 - 45000
   08548 - 45020
   08549 - 45060
   08550 - 45140
   08551 - 45180
   08552 - 45220
   08553 - 45260
   08554 - 45300
   08555 - 45340
   08556 - 45380
   08557 - 45460
   08558 - 45500
   08559 - 45540
   08560 - 45580
   08561 - 45620
   08562 - 45640
   08563 - 45660
   08564 - 45700
   08565 - 45740
   08566 - 45780
   08567 - 45820
   08568 - 45860
   08569 - 45900
   08570 - 45940
   08571 - 45980
   08572 - 46020
   08573 - 46060
   08574 - 46100
   08575 - 46140
   08576 - 46180
   08577 - 46220
   08578 - 46260
   08579 - 46300
   08580 - 46340
   08581 - 46380
   08582 - 46420
   08583 - 46460
   08584 - 46500
   08585 - 46540
   08586 - 46580
   08587 - 46620
   08588 - 46660
   08589 - 46700
   08590 - 46740
   08591 - 46780
   08592 - 46820
   08593 - 46860
   08594 - 46900
   08595 - 46980
   08596 - 47020
   08597 - 47080
   08598 - 47180
   08599 - 47220
   08600 - 47260
   08601 - 47300
   08602 - 47340
   08603 - 47380
   08604 - 47420
   08605 - 47460
   08606 - 47500
   08607 - 47540
   08608 - 47580
   08609 - 47620
   08610 - 47660
   08611 - 47700
   08612 - 47780
   08613 - 47820
   08614 - 47900
   08615 - 47920
   08616 - 47940
   08617 - 47980
   08618 - 48020
   08619 - 48060
   08620 - 48100
   08621 - 48140
   08622 - 48180
   08623 - 48260
   08624 - 48300
   08625 - 48460
   08626 - 48500
   08627 - 48540
   08628 - 48580
   08629 - 48620
   08630 - 48660
   08631 - 48700
   08632 - 48740
   08633 - 48780
   08634 - 48820
   08635 - 48900
   08636 - 48940
   08637 - 48980
   08638 - 49020
   08639 - 49060
   08640 - 49100
   08641 - 49180
   08642 - 49260
   08643 - 49300
   08644 - 49340
   08645 - 49380
   08646 - 49420
   08647 - 49460
   08648 - 49500
   08649 - 49540
   08650 - 49620
   08651 - 49660
   08652 - 49700
   08653 - 49740
   08654 - 49780</t>
  </si>
  <si>
    <t>Middle Initial</t>
  </si>
  <si>
    <t>The first letter of the secondary name given to an individual at birth, baptism, or during another naming ceremony.</t>
  </si>
  <si>
    <t>0844</t>
  </si>
  <si>
    <t>1</t>
  </si>
  <si>
    <t>Migrant Certificate of Eligibility (COE) Status</t>
  </si>
  <si>
    <t>An indication as to whether a migrant student has completed the COE, which records, usually on a single form, all eligible students in a family who arrived on the same date in the same state or district where the student, parent, guardian, or spouse, obtained or sought qualifying agricultural or fishing work.</t>
  </si>
  <si>
    <t>0592</t>
  </si>
  <si>
    <t>Migrant Certificate of Eligibility
   01650 - Certificate of eligibility completed
   01651 - Certificate of eligibility not completed</t>
  </si>
  <si>
    <t>Migrant Classification Subgroup</t>
  </si>
  <si>
    <t>An indication of the status of a migrant student, as further specified by the migratory pattern (e.g., interstate or intrastate) and industry (e.g., agriculture or fishing) by which his or her family is influenced.</t>
  </si>
  <si>
    <t>0591</t>
  </si>
  <si>
    <t>Migrant Classification Subgroup
   03159 - Currently migratory agricultural
   03160 - Formerly migratory agricultural
   03161 - Currently migratory fishing
   03162 - Formerly migratory fishing
   03163 - Not migratory</t>
  </si>
  <si>
    <t>Migrant Expected Graduation Institution</t>
  </si>
  <si>
    <t>An indicator that identifies whether the institution is the school or facility from which a migrant student expects to graduate. Only one school or facility may be designated for graduation at any one point in time.</t>
  </si>
  <si>
    <t>1084</t>
  </si>
  <si>
    <t>Migrant QAD to City</t>
  </si>
  <si>
    <t>The city in which the new school district was located when the migrant student's qualifying move occurred.</t>
  </si>
  <si>
    <t>1081</t>
  </si>
  <si>
    <t>Migrant QAD to State</t>
  </si>
  <si>
    <t>The state in which the new school district was located when the migrant student's qualifying move occurred.</t>
  </si>
  <si>
    <t>1083</t>
  </si>
  <si>
    <t>Migrant Qualifying Work Type</t>
  </si>
  <si>
    <t>The type of qualifying agricultural or fishing activity the migrant student and/or the migrant student's family performs.</t>
  </si>
  <si>
    <t>1076</t>
  </si>
  <si>
    <t>Migrant Qualifying Work Type
   03164 - Production
   03165 - Processing</t>
  </si>
  <si>
    <t>Migrant Residency Date</t>
  </si>
  <si>
    <t>The month, day, and year on which a migrant student entered the school district. The residency date and the qualifying arrival date (QAD) are the same only if the most current move enables the worker to obtain or seek qualifying agricultural or fishing employment. A subsequent move for a reason other than obtaining qualifying work would create a new residency date, but would not change the qualifying arrival date. The residency date is always the same as or after the date of the qualifying arrival date.</t>
  </si>
  <si>
    <t>0593</t>
  </si>
  <si>
    <t>Migrant to Join Date</t>
  </si>
  <si>
    <t>The month, day, and year on which the student moved, which is either before or after the date the parent, guardian, or spouse moved to seek qualifying work. When the student's move precedes the worker's move, the qualifying arrival and residency dates are the date the worker arrived. When the student's move follows the worker's move, the qualifying arrival and residency dates are the date the student arrived. As a rule of thumb, the student's move should be within a year of the worker's move.</t>
  </si>
  <si>
    <t>0596</t>
  </si>
  <si>
    <t>Mortgage Interest Amount</t>
  </si>
  <si>
    <t>The amount the borrower pays the lender to compensate the lender for the use of money to purchase a building or facility.</t>
  </si>
  <si>
    <t>1573</t>
  </si>
  <si>
    <t>Mortgage Interest Type</t>
  </si>
  <si>
    <t>The type of interest paid on a mortgage to the lender to compensate the lender for the use of money to purchase a building or facility.</t>
  </si>
  <si>
    <t>1574</t>
  </si>
  <si>
    <t>Mortgage Interest Type
   13730 - Add-on interest
   13731 - Adjustable-Rate Mortgage (ARM)
   13732 - Balloon Mortgage
   13733 - Deferred Interest
   13734 - Fixed Payment Mortgage
   13735 - Fixed-rate Mortgage
   13736 - Floating Rate
   13737 - Fully Amortizing Mortgage
   13738 - Graduated-payment Mortgage (GPM)
   13739 - Interest-only loan
   13740 - Open-end Mortgage</t>
  </si>
  <si>
    <t>Mortgage Type</t>
  </si>
  <si>
    <t>The status of a mortgage as it relates to priority of payment.</t>
  </si>
  <si>
    <t>1575</t>
  </si>
  <si>
    <t>Mortgage Type
   13741 - Junior Mortgage
   13742 - Multiple
   13743 - Senior or first mortgage</t>
  </si>
  <si>
    <t>Movable Furnishings</t>
  </si>
  <si>
    <t>Furniture which is not permanently installed in a space and can be relocated by simply carrying it from one location to another.</t>
  </si>
  <si>
    <t>1531</t>
  </si>
  <si>
    <t>Name of Country</t>
  </si>
  <si>
    <t>The name of the country in which an address is located.</t>
  </si>
  <si>
    <t>0185</t>
  </si>
  <si>
    <t>Name of Response Agency</t>
  </si>
  <si>
    <t>The local, state, or federal agency other than the LEA that has primary responsibility for responding to an emergency situation.</t>
  </si>
  <si>
    <t>0970</t>
  </si>
  <si>
    <t>Naturally Occuring Hazard Type</t>
  </si>
  <si>
    <t>Type of natural hazard that can affect the health, safety and operation of school facilities and their occupants.</t>
  </si>
  <si>
    <t>1554</t>
  </si>
  <si>
    <t>Naturally Occuring Hazard Type
   13678 - Arsenic
   13679 - Earthquake prone area
   13680 - Floodplain
   13681 - Liquifaction, landslide areas
   13682 - Naturally Occurring Abestos (NOA)
   13683 - Sinkholes, Karst terrain</t>
  </si>
  <si>
    <t>Nature of Complaint</t>
  </si>
  <si>
    <t>The nature of any statement or official expression submitted by another individual against the employee about his or her employment.</t>
  </si>
  <si>
    <t>0577</t>
  </si>
  <si>
    <t>Nature of Prior Employment</t>
  </si>
  <si>
    <t>The descriptive name (e.g., teaching, office/clerical, custodial) of the occupation or job duties performed by an individual.</t>
  </si>
  <si>
    <t>0435</t>
  </si>
  <si>
    <t>Neglected or Delinquent Participation Total Day Count</t>
  </si>
  <si>
    <t>The total number of instructional days the student was enrolled in this neglected or delinquent program during this reporting period.</t>
  </si>
  <si>
    <t>1506</t>
  </si>
  <si>
    <t>Net Area of Instructional Space</t>
  </si>
  <si>
    <t>The area of space directly used for instruction excluding circulation, administration, student services, and building support.</t>
  </si>
  <si>
    <t>0951</t>
  </si>
  <si>
    <t>Network Connection Type</t>
  </si>
  <si>
    <t>The type of link between a computer and an external network.</t>
  </si>
  <si>
    <t>1088</t>
  </si>
  <si>
    <t>Connection Type
   03193 - Dial-up via modem
   03194 - Wired LAN and router
   03195 - Wireless LAN and router
   03196 - Cable modem
   03197 - Satellite/modem hybrid link
   03198 - Full satellite/two-way link</t>
  </si>
  <si>
    <t>Next Service Date</t>
  </si>
  <si>
    <t>The month, day, and year a major component, system, equipment, or fixture is scheduled to be serviced for preventive or routine maintenance.</t>
  </si>
  <si>
    <t>0914</t>
  </si>
  <si>
    <t>Nickname</t>
  </si>
  <si>
    <t>A familiar form of a proper name, a descriptive name, or other colloquial name given instead of or in addition to an individual's formal name.</t>
  </si>
  <si>
    <t>0189</t>
  </si>
  <si>
    <t>Non Traditional Program Enrollee Status</t>
  </si>
  <si>
    <t>An indication that the student who is enrolled in a non-traditional program is a members of the underrepresented gender group.</t>
  </si>
  <si>
    <t>1764</t>
  </si>
  <si>
    <t>Non-course Graduation Requirement Date Met</t>
  </si>
  <si>
    <t>The month, day, and year on which the student met the non-course graduation requirement.</t>
  </si>
  <si>
    <t>0687</t>
  </si>
  <si>
    <t>Non-course Graduation Requirement Scores/Results</t>
  </si>
  <si>
    <t>The results from the student's completion of the non-course graduation requirement (e.g., pass/fail, letter grade, percentage scale, and rank).</t>
  </si>
  <si>
    <t>0688</t>
  </si>
  <si>
    <t>Non-course Graduation Requirement Type</t>
  </si>
  <si>
    <t>The type of non-course graduation requirement that the student must meet in order to graduate.</t>
  </si>
  <si>
    <t>0686</t>
  </si>
  <si>
    <t>Non-Course Graduation Requirement Code
   02010 - State graduation test
   02011 - Service learning/community service
   02012 - Thesis/dissertation
   02013 - Special skill test
   02014 - Career-related work experience
   09999 - Other</t>
  </si>
  <si>
    <t>Non-educator Credential Type</t>
  </si>
  <si>
    <t>An indication of the type of non-educator certificate, license, or permit that is issued by a government agency, professional association, or other organization to perform services other than teaching or other educator responsibilities (e.g., school board member, school nurse, registrar, database administrator, computer support personnel, psychologist). (Note: The Council of Licensure, Enforcement, and Regulation provides links to regulatory boards and colleges and listings of regulatory entities of each state at www.clearhq.org.)</t>
  </si>
  <si>
    <t>0392</t>
  </si>
  <si>
    <t>Non-educator Credential Type
   04969 - Abstractor
   04970 - Accountant, Certified Public
   04971 - Accountant, Chartered
   04972 - Accountant, General
   04973 - Accountant, Management
   04974 - Accountant, Public
   04975 - Accounting Practitioner
   04976 - Acupuncture Assistant
   04977 - Acupuncturist
   04978 - Adult Care Home, Manager
   04979 - Agrologist
   04980 - Alligator Parts Dealer
   04981 - Ambulance Attendant
   04982 - Ambulance Driver
   04983 - Applied Science Technician
   04984 - Applied Science Technologist
   04985 - Appraiser, Public
   04986 - Arborist
   04742 - Architect
   04988 - Architecture Student
   04989 - Armored Car Personnel
   04990 - Art Therapist
   04991 - Artificial Inseminator of Animals
   04992 - Asbestos Abatement Air Monitor  
   04993 - Asbestos Abatement Consultant
   04994 - Asbestos Abatement Field Technician
   04995 - Asbestos Abatement Inspector
   04996 - Asbestos Abatement Management Planner
   04997 - Asbestos Abatement Project Designer
   04998 - Asbestos Abatement Project Manager
   04999 - Asbestos Abatement Project Monitor
   05000 - Asbestos Abatement Supervisor
   05001 - Asbestos Abatement Training Provider
   05002 - Asbestos Abatement Worker
   05003 - Assayer
   05004 - Assessor
   05005 - Athlete Agent
   04743 - Athletic trainer
   05007 - Athletic Trainer, Apprentice
   05008 - Attorney
   05009 - Auction Clerk
   05010 - Auction House Operator
   05011 - Auctioneer
   05012 - Auctioneer Apprentice
   04745 - Audiologist
   05014 - Bail Bond Agent
   05015 - Bail Bond Runner
   05016 - Bail Bond Permittee
   05017 - Bail Solicitor
   05018 - Bait Dealer
   05019 - Barber
   05020 - Barber Apprentice
   05021 - Barber Instructor
   05022 - Barber Student
   05023 - Barber Technician
   05024 - Beekeeper
   05025 - Blaster
   05026 - Boiler Engineer
   05027 - Boiler Inspector
   05028 - Boiler Installer
   05029 - Boiler Maker
   05030 - Boiler Operator
   05031 - Boiler Repairer
   05032 - Boiler Welder
   05033 - Boxer
   05034 - Boxing Announcer
   05035 - Boxing Judge
   05036 - Boxing Manager
   05037 - Boxing Matchmaker
   05038 - Boxing Physician
   05039 - Boxing Promoter
   05040 - Boxing Referee
   05041 - Boxing Second
   05042 - Boxing Timekeeper
   05043 - Boxing Trainer
   05044 - Breath Analyzer Operator
   05045 - Breeder, Fur Bearing Animals
   05046 - Breeder, Game
   05047 - Breeder, Game Birds
   05048 - Breeder, Game Fish
   05049 - Breeder, Wild Animals &amp; Birds
   05050 - Building Code Officer
   05051 - Building Inspector
   05052 - Butter Grader
   05053 - Buttermaker
   05054 - Cemetery Real Estate Broker/Salesperson
   05055 - Cesspool Cleaner
   05056 - Cheese Grader
   05057 - Cheesemaker
   05058 - Chemist 
   05059 - Chick Dealer
   05060 - Child Care Center Administrator
   05061 - Child Care Provider
   05062 - Child Health Associate
   05063 - Chiropodist
   05064 - Chiropractic Assistant
   05065 - Chiropractic Trainee
   05066 - Chiropractor
   05067 - Clinical Laboratory Assistant
   05068 - Clinical Laboratory Director
   05069 - Clinical Laboratory Specialist
   05070 - Clinical Laboratory Supervisor
   05071 - Clinical Laboratory Technician
   05072 - Clinical Laboratory Technologist
   05073 - Clinical Laboratory Trainee
   05074 - Collection Agency Manager
   05075 - Collection Agency Solicitor
   05076 - Collection Agent
   05077 - Communications Pathologist
   05078 - Compost Operator
   05079 - Compressed Natural Gas Technician
   05080 - Concrete Technician
   05081 - Constable
   05082 - Construction Supervisor
   05083 - Contractor, Aerial Pesticide Applicator
   05084 - Contractor, Air Conditioning
   05085 - Contractor, Asbestos Abatement
   05086 - Contractor, Boiler
   05087 - Contractor, Building Moving/Demolition
   05088 - Contractor, Cabinet &amp; Mill Work
   05089 - Contractor, Carpentry
   05090 - Contractor, Chimney Cleaning
   05091 - Contractor, Communications
   05092 - Contractor, Concrete
   05093 - Contractor, Dewatering Well
   05094 - Contractor, Drywall
   05095 - Contractor, Earthwork &amp; Paving
   05096 - Contractor, Electrical
   05097 - Contractor, Elevator
   05098 - Contractor, Engineering
   05099 - Contractor, Excavation
   05100 - Contractor, Fencing
   05101 - Contractor, Fire Protection System
   05102 - Contractor, Flooring
   05103 - Contractor, General
   05104 - Contractor, Glass &amp; Glazing
   05105 - Contractor, Hazardous Materials
   05106 - Contractor, Heavy
   05107 - Contractor, Institutional
   05108 - Contractor, Insulation and Acoustical
   05109 - Contractor, Lathing
   05110 - Contractor, Lead Abatement
   05111 - Contractor, Limited Specialty
   05112 - Contractor, Liquefied Petroleum Gas
   05113 - Contractor, Low Voltage
   05114 - Contractor, Manufactured housing
   05115 - Contractor, Masonry
   05116 - Contractor, Mechanical
   05117 - Contractor, Metal Roofing
   05118 - Contractor, Oilburner
   05119 - Contractor, Ornamental Metal
   05120 - Contractor, Painting &amp; Decorating
   05121 - Contractor, Pest Control (Structural)
   05122 - Contractor, Pesticide
   05123 - Contractor, Pipefitter
   05124 - Contractor, Pipeline
   05125 - Contractor, Plastering
   05126 - Contractor, Plastering, Drywall &amp; Acoustical
   05127 - Contractor, Plumbing
   05128 - Contractor, Plumbing &amp; Heating
   05129 - Contractor, Plumbing, Heating &amp; AC
   05130 - Contractor, Pollutant Storage Systems
   05131 - Contractor, Public Works
   05132 - Contractor, Pump Installation
   05133 - Contractor, Refrigeration
   05134 - Contractor, Residential
   05135 - Contractor, Roofing
   05136 - Contractor, Roofing, Siding &amp; Sheet Metal
   05137 - Contractor, Sanitary System
   05138 - Contractor, Security Alarm
   05139 - Contractor, Sheet Metal
   05140 - Contractor, Sign
   05141 - Contractor, Solar
   05142 - Contractor, Specialty
   05143 - Contractor, Specialty Electrical
   05144 - Contractor, Specialty Structure
   05145 - Contractor, Sprinklerfitter
   05146 - Contractor, Steel
   05147 - Contractor, Swimming Pool
   05148 - Contractor, Terrazzo &amp; Marble
   05149 - Contractor, Tile
   05150 - Contractor, Tile, Marble &amp; Mosaic
   05151 - Contractor, Tree Services
   05152 - Contractor, Utility
   05153 - Contractor, Water Conditioning
   05154 - Contractor, Welding
   05155 - Contractor, Well Drilling
   05156 - Contractor, Wrecking
   05157 - Cosmetologist
   05158 - Cosmetology Apprentice
   05159 - Cosmetology Instructor
   05160 - Cosmetology Student
   05161 - Cosmetology Technician
   05162 - Cosmetology: Braider
   05163 - Cosmetology: Cosmetician
   05164 - Cosmetology: Esthetician
   05165 - Cosmetology: Esthetician Instructor
   05166 - Cosmetology: Facialist
   05167 - Cosmetology: Make-up Artist
   05168 - Cosmetology: Manicurist
   05169 - Cosmetology: Manicurist Instructor
   05170 - Cosmetology: Shampooist
   05171 - Cosmetology: Wig Specialist
   05172 - Cotton Buyer
   05173 - Counselor Supervisor
   05174 - Counselor, Associate
   05175 - Counselor, Clinical
   05176 - Counselor, Pastoral
   05177 - Counselor, Professional
   05178 - Counselor, Registered Substance Abuse
   05179 - Counselor, Substance Abuse
   05180 - Court/Shorthand Reporter
   05181 - Crane operator
   05182 - Cytotechnologist
   05183 - Dental Assistant
   04753 - Dental hygienist
   05185 - Dental Laboratory Technician
   05186 - Dental Specialist
   05187 - Dental Technician
   05188 - Dental Therapist
   04754 - Dentist
   05190 - Denturist
   05191 - Dietetic Technician
   05192 - Dietician
   04819 - Drafter
   05194 - Egg Dealer
   05195 - Egg Grader
   05196 - Egg Handler
   05197 - Egg Processor
   05198 - Electrical Administrator
   05199 - Electrical Inspector
   05200 - Electrical Sign Installer, Journeyman
   05201 - Electrical Sign Installer, Master
   04854 - Electrician
   05203 - Electrician, Apprentice
   05204 - Electrician, Elevator
   05205 - Electrician Helper
   05206 - Electrician, Industrial Maintenance
   05207 - Electrician, Journeyman
   05208 - Electrician, Limited
   05209 - Electrician, Lineman
   05210 - Electrician, Maintenance
   05211 - Electrician, Master
   05212 - Electrician, Residential
   05213 - Electrician, Specialty
   05214 - Electrician, Supervising
   05215 - Electrician, Supervising Specialty
   05216 - Electrologist
   05217 - Electrology Instructor
   05218 - Electroneuromyographer
   05219 - Elevator Constructor
   05220 - Elevator Inspector
   05221 - Elevator Mechanic
   05222 - Elevator Mechanic, Apprentice
   05224 - Embalmer
   05225 - Embalmer Apprentice
   05226 - Embryo Transfer Technician (cattle)
   05227 - Emergency Medical Services Instructor
   05228 - Emergency Medical Technician (EMT)
   05229 - EMT: Ambulance
   05230 - EMT: Cardiac
   05231 - EMT: Defibrillator
   05232 - EMT: Intermediate
   05233 - EMT: IV
   05234 - EMT Shock Trauma
   05235 - Employment Agency Manager
   05236 - Employment Agent
   05237 - Employment Counselor
   05238 - Engineer Technologist
   05239 - Engineer, Acoustical
   05240 - Engineer, Aeronautic/Aerospace
   05241 - Engineer, Agricultural
   05242 - Engineer, Architectural
   05243 - Engineer, Architectural Marine
   05244 - Engineer, Astronautical
   05245 - Engineer, Ceramic
   05246 - Engineer, Chemical
   05247 - Engineer, Civil
   05248 - Engineer, Construction
   05249 - Engineer, Consulting
   05250 - Engineer, Control Systems
   05251 - Engineer, Corrosion
   05252 - Engineer, Electrical
   05253 - Engineer, Electronic
   05254 - Engineer, Engineering Plastics
   05255 - Engineer, Environmental
   05256 - Engineer, Fire Protection
   05257 - Engineer, Geodetic
   05258 - Engineer, Geological
   05259 - Engineer, Geotechnical
   05260 - Engineer, Highway
   05261 - Engineer, Hoisting
   05262 - Engineer, HVAC
   05263 - Engineer, Hydraulic
   05264 - Engineer, Industrial
   05265 - Engineer, Instrumental
   05266 - Engineer, Manufacturing
   05267 - Engineer, Marine
   05268 - Engineer, Materials
   05269 - Engineer, Mechanical
   05270 - Engineer, Metallurgical
   05271 - Engineer, Mining
   05272 - Engineer, Naval Architecture
   05273 - Engineer, Nuclear
   05274 - Engineer, Petroleum
   05275 - Engineer, Plastics
   05276 - Engineer, Plumbing
   05277 - Engineer, Professional
   05278 - Engineer, Quality
   05279 - Engineer, Railroad
   05280 - Engineer, Refrigeration
   05281 - Engineer, Safety
   05282 - Engineer, Sanitary
   05283 - Engineer, Structural
   05284 - Engineer, Systems
   05285 - Engineer, Textile
   05286 - Engineer, Traffic
   05287 - Engineer, Transportation
   05288 - Engineer-in-Training
   05289 - Engineer/Surveyor
   05290 - Explosives Dealer
   05291 - Explosives Handler
   05292 - Feed Dealer
   05293 - Fertilizer Dealer
   05294 - Fire Inspector
   05295 - Fire Investigator
   05296 - Fire Protection Company Manager
   05297 - Fire Protection System Inspector
   05298 - Fire Protection System Installer
   05299 - Fire Protection Systems Seller
   05300 - Firefighter
   05301 - Firefighter Training Instructor
   05302 - Fireworks Handler
   05303 - First Responder
   05304 - First Responder: Defibrillation
   05305 - Fish Dealer
   05306 - Fish Farmer
   05307 - Fisher, Commercial
   05308 - Forest Engineer
   05309 - Forest Product Operator
   05310 - Forester
   05311 - Franchise Broker/Dealer
   05312 - Frog Dealer
   05313 - Fund Raiser, Professional
   05314 - Funeral Arranger, Pre-need
   05315 - Funeral Attendant
   05316 - Funeral Direct Disposer
   05317 - Funeral Director
   05318 - Funeral Director Apprentice
   05319 - Funeral Director, Assistant
   05320 - Funeral Director/Embalmer
   05321 - Funeral Director/Embalmer Apprentice
   05322 - Funeral Service Intern
   05323 - Funeral Service Practitioner
   05324 - Fur Buyer
   05325 - Fur Dealer
   05326 - Fur Processor
   05327 - Fur Trapper
   05328 - Gaming Employee
   05329 - Gaming Equipment Distributor
   05330 - Gaming Establishment Owner
   05331 - Gaming Manager
   05332 - Gaming Operator
   05333 - Gas Fitter
   05334 - Geochemist
   05335 - Geologist
   05336 - Geologist, Engineering
   05337 - Geophysicists
   05338 - Ginner, Public
   05339 - Ginseng Dealer
   05340 - Ginseng Grower
   05341 - Grain Dealer
   05342 - Grain Sampler/Grader
   05343 - Grain Tester
   05344 - Grain Warehouse Operator
   05345 - Greyhound Racing Employee
   05346 - Groundwater Professional
   05347 - Guard Dog Handler
   05348 - Guide/Outfitter
   05349 - Hairdresser
   05350 - Hairdresser Instructor 
   05351 - Harness Racing Driver
   05352 - Harness Racing Employee
   05353 - Hazardous Material Management Consultant
   05354 - Hazardous Waste Management Specialist
   05355 - Hazardous Waste Transporter
   05356 - Health Facility Administrator
   05357 - Health Officer, Public
   05358 - Health Physics Services Vendor
   05359 - Hearing Aid Dealer/Fitter
   05360 - Hearing Aid Dealer/Fitter Trainee
   05361 - Hemodialysis Technician
   05362 - Hoisting Machinery Operator
   05363 - Home Health Aide
   05364 - Home Improvement Salesperson
   05365 - Home Management Provider
   05366 - Homeopath
   05367 - Horse Racing Employee
   05368 - Horse Racing Jockey
   05369 - Horticulturist
   05370 - Hunter Education Instructor
   05371 - Hypnotherapist
   05372 - Incinerator Operator
   05373 - Infra-Red Analyzer Repair Technician
   05374 - Instructor, Guide Dogs for the Blind
   05375 - Insurance Adjuster
   05376 - Insurance Adjuster/Appraiser
   05377 - Insurance Administrator
   05378 - Insurance Agent
   05379 - Insurance Broker
   05380 - Insurance Consultant
   05381 - Insurance Escrow Officer
   05382 - Insurance Representative
   05383 - Insurance Solicitor
   05384 - Insurance: Financial Planner
   05385 - Insurance: Reinsurance Intermediary
   05386 - Insurance: Stock Agent
   05387 - Insurance: Surplus Lines Agent
   05388 - Insurance: Surplus Lines Broker/Agent
   05389 - Insurance: Third Party Administrator
   05390 - Interior Designer
   05391 - Irrigator
   05392 - Kickboxer
   05393 - Kinesiological Electromyographer
   05394 - Labor Contractor
   05395 - Land Surveyor 
   05396 - Land Surveyor-in-Training 
   05397 - Landfarming Operator 
   05398 - Landfill Operator 
   05399 - Landscape Architect 
   05400 - Landscape Contractor
   03054 - Law enforcement officer
   05402 - Law Enforcement Training Instructor  
   05403 - Lead Abatement Supervisor
   05404 - Lead Abatement Training Provider
   05405 - Lead Abatement Worker
   05406 - Lead Inspector, Environmental
   05407 - Lead Inspector-Technician, Environmental
   05408 - Lead Technician, Environmental
   05409 - Librarian
   05410 - Liquefied Petroleum Gas Dealer
   05411 - Liquefied Petroleum Gas Installer/Repairer
   05412 - Liquefied Petroleum Gas Safety Supervisor
   05413 - Liquefied Petroleum Gas Truck Driver
   05414 - Livestock Agent
   05415 - Livestock Auction Operator
   05416 - Livestock Auctioneer
   05417 - Livestock Buyer/Broker
   05418 - Livestock Dealer
   05419 - Livestock Dealer Representative
   05420 - Livestock Hauler
   05421 - Lobbyist
   05422 - Manufactured Home Broker
   05423 - Manufactured Home Dealer/Salesperson
   05424 - Manufactured Home Inspector
   05425 - Manufactured Home Installer
   05426 - Manufactured Home Mechanic
   05427 - Marital Mediator
   05428 - Marriage and Family Therapist
   05429 - Marriage and Family Therapist Intern
   05430 - Massage Therapist
   05431 - Mechanical Inspector
   05432 - Mechanical Journeyman
   05433 - Mechanical Master
   05434 - Medical Assistant
   05435 - Medical Physicist
   05436 - Medication Aide
   05437 - Microbiologist, Public Health
   05438 - Midwife, Direct Entry
   05439 - Milk Dealer
   05440 - Milk Distributor
   05441 - Milk Equipment Installer
   05442 - Milk Gathering Plant Manager
   05443 - Milk Grader/Sampler/Hauler
   05444 - Milk Inspector
   05445 - Milk Laboratory Technician
   05446 - Milk Pasteurizer
   05447 - Milk Processing Plant Operator
   05448 - Milk Tank Calibrator
   05449 - Milk Tester
   05450 - Mine Belt Examiner
   05451 - Mine Blaster
   05452 - Mine Electrician
   05453 - Mine Examiner
   05454 - Mine Fire Boss
   05455 - Mine Foreman
   05456 - Mine Hoisting Engineer
   05457 - Mine Inspector
   05458 - Mine Manager
   05459 - Mine Operator
   05460 - Mine Shot Firer
   05461 - Mine Superintendent
   05462 - Mine Supervisor
   05463 - Mine Surface Blaster
   05464 - Mine Surveyor
   05465 - Miner
   05466 - Mobile Home Park Manager
   05467 - Mobile Home Park Owner
   05468 - Money Broker
   05469 - Mortgage Banker
   05470 - Mortgage Lender/Broker
   05471 - Motor Vehicle Brake Mechanic
   05472 - Motor Vehicle Emissions Inspector
   05473 - Motor Vehicle Emissions Mechanic
   05474 - Motor Vehicle Inspector
   05475 - Motor Vehicle Lamp Mechanic
   05476 - Motor Vehicle Mechanic
   05477 - Motor Vehicle Representative
   05478 - Motor Vehicle Salesperson, New
   05479 - Motor Vehicle Salesperson, Used
   05480 - Municipal Auditor
   05481 - Mussel Dealer
   05482 - Mussel Sheller
   05483 - Naprapath
   05484 - Naturopath
   05485 - Notary Public
   05486 - Nuclear Medicine Technician
   05487 - Nuclear Medicine Technologist
   05488 - Nuclear Power Operator
   05489 - Nurse Anesthetist
   05490 - Nurse Midwife
   04769 - Nurse Practitioner
   05492 - Nurse Specialist, Clinical
   05493 - Nurse, Licensed Practical
   05494 - Nurse, Psychiatric
   05495 - Nurse, Public Health
   05496 - Nurse, Registered
   05497 - Nursery Agent
   05498 - Nursery Dealer
   05499 - Nursery Grower
   05500 - Nursing Assistant
   05501 - Nursing Home Administrator
   05502 - Nutrition Counselor
   05503 - Nutritionist
   04770 - Occupational therapist
   05505 - Occupational Therapy Assistant
   05506 - Oculist
   05507 - Off-Track Betting Employee
   05508 - Oil Burner Technician
   05509 - Oil Burner Technician Apprentice
   05510 - Optician
   05511 - Optician Apprentice
   05512 - Optician, Technician
   04772 - Optometrist
   05514 - Osteopath
   05515 - Osteopath Assistant
   05516 - Paramedic
   05517 - Pawnbroker
   05518 - Pest Control Applicator, Structural
   05519 - Pest Control Operator, Structural
   05520 - Pesticide Applicator
   05521 - Pesticide Applicator, Aerial
   05522 - Pesticide Dealer
   05523 - Pesticide Operator
   05524 - Pharmaceutical Clerk
   05525 - Pharmacist
   05526 - Pharmacy Assistant
   05527 - Pharmacy Intern
   04774 - Physical therapist
   05529 - Physical Therapy Assistant
   04775 - Physician
   05532 - Pilot, Marine
   05533 - Pipe Layer
   05534 - Pipe Mechanic
   05535 - Pipefitter, Apprentice
   05536 - Pipefitter, Journeyman
   05537 - Pipefitter, Master
   04860 - Plumber
   05539 - Plumber, Apprentice
   05540 - Plumber, Journeyman
   05541 - Plumber, Master
   05542 - Plumbing, Inspector
   05543 - Podiatrist
   05544 - Polygraph Examiner
   05545 - Polygraph Intern
   05546 - Pre-School Program Director
   05547 - Private Investigator
   05548 - Private Investigator Agency Owner
   05549 - Private Investigator Trainee
   05550 - Produce Dealer
   05551 - Produce Dealers Agent
   05552 - Produce Packer
   05553 - Property Tax Agent
   05554 - Prosthetist 
   05555 - Psychiatric Aide 
   05556 - Psychological Examiner 
   04779 - Psychologist
   04812 - Psychologist assistant
   05559 - Psychologist Associate 
   05560 - Psychologist Intern 
   05561 - Psychologist, Clinical 
   05562 - Psychologist, Consulting 
   05563 - Pump Installer 
   05564 - Radiation Machine Inspector
   05565 - Radiation Therapist
   05566 - Radiographer, Industrial
   05567 - Radiologic Technician
   05568 - Radiologic Technologist
   05569 - Radiology Practical Technologist
   05570 - Radon Measurement Specialist
   05571 - Radon Mitigation Specialist
   05572 - Real Estate Appraiser
   05573 - Real Estate Appraiser Intern
   05574 - Real Estate Appraiser, Certified
   05575 - Real Estate Appraiser, General
   05576 - Real Estate Appraiser, Registered
   05577 - Real Estate Appraiser, Residential
   05578 - Real Estate Associate Broker
   05579 - Real Estate Auctioneer
   05580 - Real Estate Broker
   05581 - Real Estate Escrow Officer
   05582 - Real Estate Inspector
   05583 - Real Estate Instructor
   05584 - Real Estate Property Manager
   05585 - Real Estate Salesperson
   05586 - Real Estate Timeshare Salesperson
   04781 - Recreational therapist
   05588 - Reflexology Therapist
   05589 - Refrigeration &amp; Air Condition Technician
   05590 - Refrigeration Journeyman
   05591 - Refrigeration Technician
   05592 - Refrigeration Trainee
   04785 - Rehabilitation counselor
   05594 - Repossessor Employee
   05595 - Repossessor Qualified Manager
   05596 - Reptile/Amphibian Collector
   05597 - Research Animal Dealer
   05598 - Residential Care Administrator
   05599 - Residential Designer
   05600 - Respiratory Care Technician
   05601 - Respiratory Care Trainee
   04787 - Respiratory therapist
   05603 - Sanitarian
   05604 - Sanitarian Intern
   05605 - School Administrator
   05606 - School Audiologist
   05607 - School Business Official
   05608 - School Counselor
   05609 - School Dance Therapist
   05610 - School Guidance Counselor
   05611 - School Librarian
   05612 - School Music Therapist
   05613 - School Nurse
   05614 - School Occupational Therapist
   05615 - School Physical Therapist
   05616 - School Principal
   05617 - School Psychologist
   05618 - School Social Worker
   05619 - School Speech Pathologist
   05620 - School Superintendent
   05621 - School Supervisor
   05622 - Seafood Dealer
   05623 - Securities Agent
   05624 - Securities Broker/Dealer
   05625 - Securities: Agent of Issuer
   05626 - Securities: Investment Advisor
   05627 - Securities: Investment Advisor Representative
   05628 - Security Alarm Company Manager
   05629 - Security Alarm Employee/Installer
   05630 - Security Alarm Salesperson
   04885 - Security guard
   05632 - Security Guard Agency Operator
   05633 - Security Guard Agency Owner
   05634 - Seed Broker
   05635 - Seed Dealer
   05636 - Seed Labeler
   05637 - Seed Processor
   05638 - Seed Seller
   05639 - Septic Tank Installer
   05640 - Septic Tank Pumper
   05641 - Septic Tank Site Technician
   05642 - Sewage Disposal System Installer
   05643 - Sewage Hauler
   05644 - Sewer/Water Apprentice
   05645 - Sewer/Water Installer
   05646 - Shell Fisher
   05647 - Shooting Preserve Operator
   05648 - Social Service Aide
   05649 - Social Service Worker
   05650 - Social Work Associate
   05651 - Social Work Technician
   04788 - Social worker
   05653 - Social Worker, Clinical
   05654 - Social Worker, Independent
   05655 - Soil Classifier
   05656 - Soil Classifier-in-Training
   05657 - Soil Scientist
   05658 - Soil Tester
   05659 - Solid Fuel Burner Technician, Apprentice
   05660 - Solid Fuel Burner Technician, Master
   05661 - Speech-Language Pathologists
   05662 - Speech Pathology Aide
   05663 - Sprinklerfitter, Journeyman
   05664 - Sprinklerfitter, Apprentice
   05665 - Steam Engineer
   05666 - Storage Tank Inspector
   05667 - Storage Tank Installer
   05668 - Storage Tank Installer/Remover
   05669 - Subcontractor
   05670 - Sweet Potato Dealer
   05671 - Tattoo Artist
   05672 - Tax Consultant
   05673 - Tax Preparer
   05674 - Taxidermist
   05675 - Travel Agent
   05676 - Tree Injector
   05677 - Tree Surgeon
   05678 - TV/Radio Antenna Installer
   05679 - TV/Radio Service Dealer
   05680 - TV/Radio Service Technician
   05681 - TV/Radio Service Technician Apprentice
   05682 - Underground Storage Tank Cathodic Protector
   05683 - Underground Storage Tank Consultant
   05684 - Underground Storage Tank Inspector
   05685 - Underground Storage Tank Installer/Remover
   05686 - Underground Storage Tank Reliner
   05687 - Underground Storage Tank Repairer
   05688 - Underground Storage Tank Site Assessor
   05689 - Underground Storage Tank Subsurface Evaluator  
   05690 - Underground Storage Tank Supervisor
   05691 - Underground Storage Tank Tester
   05692 - Underground Storage Tank Upgrader
   05693 - Underground Storage Tank: Soil Sampler
   05694 - Uniform Dwelling Code Inspector
   05695 - Urban Planner
   05696 - Veterinarian
   05697 - Veterinary Euthanasia Technician
   05698 - Veterinary Technician
   05699 - Voice Stress Analyst
   05700 - Warehouser
   05701 - Waste Disposal Inspector
   05702 - Waste Disposal Operator
   05703 - Wastewater Collection Operator
   05704 - Wastewater Treatment Operator
   05705 - Water Conditioning Installer
   05706 - Water Distribution Operator
   05707 - Water Rights Surveyor
   05708 - Water Treatment Installer
   05709 - Water Treatment Operator
   05710 - Weatherization Inspector
   05711 - Weighmaster
   05712 - Weights and Measures Mechanic
   05713 - Welder
   05714 - Well Driller
   05715 - Well Drilling Operator
   05716 - Well Monitoring Supervisor
   05717 - Well Operator
   05718 - Wireman, Residential
   05719 - Workers Compensation Adjuster
   05720 - Wrestler
   05721 - Wrestling Judge
   05722 - Wrestling Manager
   05723 - Wrestling Matchmaker
   05724 - Wrestling Promoter
   05725 - Wrestling Referee
   05726 - Wrestling Second
   05727 - Wrestling Timekeeper
   05728 - X-Ray Machine Servicer
   05729 - X-Ray Machine Operator
   05730 - X-Ray Technician
   05731 - X-Ray Technologist</t>
  </si>
  <si>
    <t>Non-resident Attendance Rationale</t>
  </si>
  <si>
    <t>The reason that the student attends a school outside of his or her usual attendance area.</t>
  </si>
  <si>
    <t>0599</t>
  </si>
  <si>
    <t>Non-Resident Attendance Rationale
   01657 - Attending an area alternative school
   01658 - Attending an area magnet program 
   01659 - Attending an area special education school
   01660 - Attending an area vocational/technical school
   01661 - Attending a private school
   01662 - Court-mandated juvenile system assignment
   01663 - Home schooling
   01664 - Local education agency (LEA) assignment
   01665 - Migrant education program participation
   01666 - Open school enrollment
   01667 - Voucher
   01668 - Charter school</t>
  </si>
  <si>
    <t>Non-teaching Educator Credential Type</t>
  </si>
  <si>
    <t>An indication of the type of non-teaching educator certificate, license, or permit that is issued by a government agency, professional association, or other organization to hold certain administrative or education support positions. This credential often also requires the possession of a valid teaching credential (e.g., superintendents, principals, assistant principals, supervisors). (Note: The Council of Licensure, Enforcement, and Regulation provides links to regulatory boards and colleges and listings of regulatory entities of each state at www.clearhq.org.)</t>
  </si>
  <si>
    <t>0393</t>
  </si>
  <si>
    <t>Nontax Revenue Type</t>
  </si>
  <si>
    <t>The source of revenue for capital projects that are voluntarily contributed.</t>
  </si>
  <si>
    <t>1025</t>
  </si>
  <si>
    <t>Nontax Revenue Type
   02969 - Individual contributions
   02970 - Corporate contributions
   02971 - Foundation contributions
   02972 - Payments in lieu of tax contributions
   13744 - Capital lease proceeds
   13745 - Cash
   13746 - Gains or losses on the sale of capital assets
   13747 - Loan proceeds
   13748 - Loans
   13749 - Miscellaneous revenues from other local governmental units
   13750 - Miscellaneous revenues from other school districts
   13751 - Other long-term debt proceeds
   13752 - Proceeds from the disposal of real or personal property
   13753 - Rentals
   13754 - Revenue for/on behalf of the school district from an intermediate governmental jurisdiction
   13755 - Revenue for/on behalf of the school district from the federal government
   13756 - Revenue for/on behalf of the school district from the state
   09999 - Other</t>
  </si>
  <si>
    <t>Norming Period</t>
  </si>
  <si>
    <t>The time of year when the assessment was given to a sample of students for the purpose of establishing a standard of performance for that group of students (e.g., fall, mid-year, or spring).</t>
  </si>
  <si>
    <t>0192</t>
  </si>
  <si>
    <t>Notice of Recommended Educational Placement Date</t>
  </si>
  <si>
    <t>Date the Notice of Recommended Educational Placement was signed and approved by the parent/guardian of the student.</t>
  </si>
  <si>
    <t>1219</t>
  </si>
  <si>
    <t>Number of Days of Membership</t>
  </si>
  <si>
    <t>The number of days a student is present plus the number of days absent when school is in session during a given reporting period.</t>
  </si>
  <si>
    <t>0635</t>
  </si>
  <si>
    <t>Number of Field Test Items</t>
  </si>
  <si>
    <t>The number of field test items on the assessment form. Field test items are those that are not included when deriving a student's score.</t>
  </si>
  <si>
    <t>1144</t>
  </si>
  <si>
    <t>Number of Forms Used in Assessment</t>
  </si>
  <si>
    <t>The number of different test forms that were in the assessment.</t>
  </si>
  <si>
    <t>1145</t>
  </si>
  <si>
    <t>Number of Hours in School Day</t>
  </si>
  <si>
    <t>The number of hours (or portion of hours) in the day in which the school is normally in session.</t>
  </si>
  <si>
    <t>0195</t>
  </si>
  <si>
    <t>Number of Hours Worked per Weekend</t>
  </si>
  <si>
    <t>An estimated average number of hours an individual works or expects to work for an employer over a Saturday and Sunday.</t>
  </si>
  <si>
    <t>0707</t>
  </si>
  <si>
    <t>Number of Hours Worked per Work Week</t>
  </si>
  <si>
    <t>An estimated average number of hours an individual works or expects to work for an employer between Monday and Friday.</t>
  </si>
  <si>
    <t>0706</t>
  </si>
  <si>
    <t>Number of Items Revised</t>
  </si>
  <si>
    <t>The number of test items that were changed since the previous or original version.</t>
  </si>
  <si>
    <t>0196</t>
  </si>
  <si>
    <t>Number of Marking Periods</t>
  </si>
  <si>
    <t>The number of marking period(s) during the school year.</t>
  </si>
  <si>
    <t>0197</t>
  </si>
  <si>
    <t>Number of Periods per Day</t>
  </si>
  <si>
    <t>The number of class periods in a normal school day for the specific classes/grades covered by the school calendar.</t>
  </si>
  <si>
    <t>0198</t>
  </si>
  <si>
    <t>Number of Stories</t>
  </si>
  <si>
    <t>The number of stories in a building, excluding the basement if its ceiling is less than three feet above ground level.</t>
  </si>
  <si>
    <t>0876</t>
  </si>
  <si>
    <t>Number of Students in Class</t>
  </si>
  <si>
    <t>The number of students for the classroom for which the individual is responsible for providing learning experiences and care during a particular time period or in a given discipline.</t>
  </si>
  <si>
    <t>0857</t>
  </si>
  <si>
    <t>Number of Tardies</t>
  </si>
  <si>
    <t>The number of instances an individual is late during a given reporting period.</t>
  </si>
  <si>
    <t>0639</t>
  </si>
  <si>
    <t>Number of Teaching Stations</t>
  </si>
  <si>
    <t>The number of teaching stations, as defined by how many spaces have, or could have, a teacher assigned to them for classroom instruction.</t>
  </si>
  <si>
    <t>0952</t>
  </si>
  <si>
    <t>Number of Tracks</t>
  </si>
  <si>
    <t>The number of tracks in a year-round school.</t>
  </si>
  <si>
    <t>0201</t>
  </si>
  <si>
    <t>Number of Units Required for Credential Renewal</t>
  </si>
  <si>
    <t>The number of professional development or re-certification units required to renew a credential.</t>
  </si>
  <si>
    <t>0406</t>
  </si>
  <si>
    <t>Obscene Behavior Violation</t>
  </si>
  <si>
    <t>Language or actions, written, oral, physical, or electronic, in violation of community or school standards.4662 Displays of affection in violation of school policy.</t>
  </si>
  <si>
    <t>1301</t>
  </si>
  <si>
    <t>Obscene Behavior Violation
   04663 - Obscene written messages
   04664 - Drawing obscene pictures
   04665 - Obscene electronic communication
   04666 - Obscene gestures
   04667 - Obscene language/profanity
   09999 - Other</t>
  </si>
  <si>
    <t>Office Held</t>
  </si>
  <si>
    <t>The title of a position of trust and leadership held by an individual in an organization, association, or public political office.</t>
  </si>
  <si>
    <t>0454</t>
  </si>
  <si>
    <t>Office Term Beginning Date</t>
  </si>
  <si>
    <t>The month, day, and year on which an individual's term of office (for a leadership position) in an organization, association, or political office began.</t>
  </si>
  <si>
    <t>0455</t>
  </si>
  <si>
    <t>Office Term Ending Date</t>
  </si>
  <si>
    <t>The month, day, and year on which an individual's term of office (for a leadership position) in an organization, association, or political office ended.</t>
  </si>
  <si>
    <t>0456</t>
  </si>
  <si>
    <t>Office/Clerical/Administrative Support Job Classification</t>
  </si>
  <si>
    <t>A general job classification that describes staff that performs the activities of preparing, transferring, transcribing, systematizing, or preserving communications, records, and transactions.</t>
  </si>
  <si>
    <t>1163</t>
  </si>
  <si>
    <t>Technical Job Classification
   04817 - Audiometrist
   04818 - Computer technician
   04819 - Drafter
   04820 - Engineering aide
   04821 - Graphic artist
   04822 - Inspector
   04823 - Licensed practical nurse
   04824 - Media technologist
   04825 - Photographer
   04826 - Psychometrist
   04827 - Purchasing agent
   04828 - Speech language technician
   04829 - Supervisor
   09999 - Other</t>
  </si>
  <si>
    <t>Official-Administrative Job Classification</t>
  </si>
  <si>
    <t>A general job classification that describes staff that performs management activities that require developing broad policies and executing those policies through direction of individuals at all levels. This includes high-level administrative activities performed directly for policy makers.</t>
  </si>
  <si>
    <t>1158</t>
  </si>
  <si>
    <t>Official-Administrative Job Classification
   04707 - Administrative/supervisory/ancillary services officer
   04708 - Board of education/school board/board of trustees member
   04709 - Commandant of cadets
   04710 - Dean/dean of instructions/dean of students/dean of boys/dean of girls/dean of student activities
   04711 - Deputy/associate/vice /assistant principal
   04712 - Deputy/associate/assistant superintendent/ commissioner
   04713 - Executive assistant
   04714 - Instructional program director/coordinator/consultant
   04715 - Manager
   04716 - Non instructional program director/coordinator/consultant
   04717 - Ombudsperson
   04718 - Principal/headmaster/headmistress/head of school
   04719 - School president
   04720 - School site council member
   04721 - Superintendent/commissioner
   09999 - Other</t>
  </si>
  <si>
    <t>Operations/Maintenance Space Type</t>
  </si>
  <si>
    <t>The area designed primarily for conducting activities concerned with maintaining the grounds, buildings, and equipment.</t>
  </si>
  <si>
    <t>0941</t>
  </si>
  <si>
    <t>Operations/Maintenance Space Type
   02777 - Custodian office
   02778 - Custodial closet
   02779 - Mechanical room
   02780 - Boiler room
   02781 - Fan room
   02782 - Systems control room
   02783 - Electrical closet
   02784 - Communications closet
   02785 - Server room
   02786 - Storage - flammable materials
   02787 - Storage - maintenance equipment
   02788 - Storage - hazardous materials
   02789 - Student toilet
   02790 - Public toilet
   02791 - Staff toilet
   09999 - Other</t>
  </si>
  <si>
    <t>Operative Job Classification</t>
  </si>
  <si>
    <t>A general job classification that describes staff that performs tasks requiring an intermediate level of manual skills which can be mastered in a few weeks through limited training to operate machines. This includes bus drivers and vehicle operators.</t>
  </si>
  <si>
    <t>1165</t>
  </si>
  <si>
    <t>Operative Job Classification
   04864 - Bus driver
   04865 - Other vehicle operator
   09999 - Other</t>
  </si>
  <si>
    <t>Optimum Number of Seats</t>
  </si>
  <si>
    <t>The number of seats that is most favorable to the class.</t>
  </si>
  <si>
    <t>1191</t>
  </si>
  <si>
    <t>Originating Location of Instruction/Service</t>
  </si>
  <si>
    <t>The type of location from which the instruction or service originates.</t>
  </si>
  <si>
    <t>1125</t>
  </si>
  <si>
    <t>Location of Instruction/Service
   00675 - School
   00341 - Other K-12 educational institution
   00342 - Postsecondary facility
   03018 - Library/media center
   00752 - Community facility
   00997 - Business
   00754 - Hospital
   00753 - Home of student
   03506 - Mobile
   09999 - Other</t>
  </si>
  <si>
    <t>Originating Location of Instruction/Service Description</t>
  </si>
  <si>
    <t>A description of the location at which instruction or service originates (e.g., room number, building site, campus designation, or address).</t>
  </si>
  <si>
    <t>1124</t>
  </si>
  <si>
    <t>Other Debt Type</t>
  </si>
  <si>
    <t>Other types of borrowing instruments.</t>
  </si>
  <si>
    <t>1576</t>
  </si>
  <si>
    <t>Other Debt Type
   13757 - Bridge financing or bridge loan
   13758 - Installment Debt</t>
  </si>
  <si>
    <t>Other equipment</t>
  </si>
  <si>
    <t>Equipment that is installed for special safety reasons, such as fume hoods in the science rooms.</t>
  </si>
  <si>
    <t>1527</t>
  </si>
  <si>
    <t>Other Site Systems and Equipment</t>
  </si>
  <si>
    <t>Description of additional site systems and equipment necessary for site development.</t>
  </si>
  <si>
    <t>1879</t>
  </si>
  <si>
    <t>Outdoor Athletic/Physical Education Space Type</t>
  </si>
  <si>
    <t>The outdoor space designed, located, furnished, and equipped for instruction and support of a physical education curriculum and athletic program.</t>
  </si>
  <si>
    <t>0935</t>
  </si>
  <si>
    <t>Outdoor Athletic/Physical Education Space Type
   02721 - Multipurpose grassy play field
   02722 - Concessions/restrooms
   02985 - Field house
   02723 - Track/fields
   02724 - Bleacher seating
   02725 - Tennis courts
   02726 - Paved outdoor basketball courts
   02727 - Fitness trail
   02728 - Baseball field
   02729 - Softball field
   02730 - Football field
   02731 - Soccer field
   02732 - Other sports field
   09999 - Other</t>
  </si>
  <si>
    <t>Outdoor/Non-athletic Space Type</t>
  </si>
  <si>
    <t>The outdoor space located, designed, furnished, and equipped primarily for recreation,play and outdoor environmental education.</t>
  </si>
  <si>
    <t>1118</t>
  </si>
  <si>
    <t>Outdoor/Non-Athletic Space Type
   03407 - Schoolyard Garden
   02433 - Playground
   03409 - Sandbox
   13633 - Outdoor classroom
   13634 - Outdoor seating
   13635 - Natural habitat area
   13636 - Splash play area
   13629 - Kitchen garden</t>
  </si>
  <si>
    <t>Overall Diagnosis/Interpretation of Hearing</t>
  </si>
  <si>
    <t>An appraisal of an individual's hearing, including consideration of both test results and other factors.</t>
  </si>
  <si>
    <t>0761</t>
  </si>
  <si>
    <t>Overall Diagnosis/Interpretation of Hearing
   02108 - No significant hearing impairment
   02109 - Mild hearing impairment
   02110 - Moderate hearing impairment
   02111 - Moderate severe hearing impairment
   02112 - Severe hearing impairment
   02113 - Profound hearing impairment</t>
  </si>
  <si>
    <t>Overall Diagnosis/Interpretation of Speech and Language</t>
  </si>
  <si>
    <t>An appraisal of an individual's speech and language, including consideration of both test results and other factors.</t>
  </si>
  <si>
    <t>0762</t>
  </si>
  <si>
    <t>Overall Diagnosis/Interpretation of Speech
   02114 - No significant speech impairment
   02115 - Articulation disorder
   02116 - Fluency disorder
   02117 - Voice disorder
   02118 - Language disorder
   09999 - Other</t>
  </si>
  <si>
    <t>Overall Diagnosis/Interpretation of Vision</t>
  </si>
  <si>
    <t>An appraisal of an individual's vision, including consideration of both test results and other factors.</t>
  </si>
  <si>
    <t>0760</t>
  </si>
  <si>
    <t>Overall Diagnosis/Interpretation of Vision
   02104 - No significant visual impairment
   02105 - Slight or mild visual impairment
   02106 - Partially seeing
   02107 - Blind</t>
  </si>
  <si>
    <t>Overall Health Status</t>
  </si>
  <si>
    <t>The state of a child''s physical, mental, and social well-being and not merely the absence of disease or infirmity.</t>
  </si>
  <si>
    <t>1227</t>
  </si>
  <si>
    <t>Overall Health Status
   06007 - Excellent
   06005 - Very good
   06066 - Good
   06034 - Fair
   06050 - Poor</t>
  </si>
  <si>
    <t>Overtime Identifier</t>
  </si>
  <si>
    <t>The amount of time at which an individual begins to earn overtime pay rather than base pay.</t>
  </si>
  <si>
    <t>0501</t>
  </si>
  <si>
    <t>Ownership Entity Name</t>
  </si>
  <si>
    <t>The name of the public or private entity that holds legal title to the building and/or site.</t>
  </si>
  <si>
    <t>0869</t>
  </si>
  <si>
    <t>Ownership Entity Type</t>
  </si>
  <si>
    <t>The public or private entity that holds legal title to the building and/or site.</t>
  </si>
  <si>
    <t>0868</t>
  </si>
  <si>
    <t>Paraprofessionals Job Classification</t>
  </si>
  <si>
    <t>A general job classification that describes staff that staff work alongside and assists professional individuals.</t>
  </si>
  <si>
    <t>1161</t>
  </si>
  <si>
    <t>Paraprofessionals Job Classification
   04801 - Assistant counselor
   04802 - Bilingual aide
   04803 - Bilingual special education aide
   04804 - Career aide
   04805 - Child care giver
   04806 - Computer aide
   04807 - Extra curricular activity aide
   04808 - Financial aid specialist
   04809 - Monitor/prefect
   04810 - Library aide
   04811 - Media center aide
   04812 - Psychologist assistant
   04813 - Teaching/classroom aide
   04814 - Teaching assistant
   04815 - Tutor
   09999 - Other</t>
  </si>
  <si>
    <t>Part-day Instructional Time</t>
  </si>
  <si>
    <t>The number of minutes that students were given instruction during the part-day being reported (e.g., student early dismissal, student late arrival day, emergency day).</t>
  </si>
  <si>
    <t>0203</t>
  </si>
  <si>
    <t>Participation Status</t>
  </si>
  <si>
    <t>An indication as to whether an individual is participating in an educational course or program or is involved in a staff development activity.</t>
  </si>
  <si>
    <t>0365</t>
  </si>
  <si>
    <t>Participation Status
   01119 - Currently enrolled/involved
   01120 - Previously enrolled/involved
   01121 - Program completed</t>
  </si>
  <si>
    <t>Partitions</t>
  </si>
  <si>
    <t>Something that divides or separates, as a wall dividing one room or cubicle from another.</t>
  </si>
  <si>
    <t>1536</t>
  </si>
  <si>
    <t>Pay Grade</t>
  </si>
  <si>
    <t>Identification of the class of an individual's position grouped by salary range.</t>
  </si>
  <si>
    <t>0492</t>
  </si>
  <si>
    <t>Pay Range</t>
  </si>
  <si>
    <t>The pay rates assigned to a class or group of positions which define the appropriate compensation options.</t>
  </si>
  <si>
    <t>0494</t>
  </si>
  <si>
    <t>Pay Step</t>
  </si>
  <si>
    <t>An identification of the class of an individual's position within a grade, which is grouped by a salary range.</t>
  </si>
  <si>
    <t>0493</t>
  </si>
  <si>
    <t>Payment Required per Pay Period</t>
  </si>
  <si>
    <t>The monetary amount that must be paid each pay period in order for an individual to be covered by or participate in an employee benefit program.</t>
  </si>
  <si>
    <t>0521</t>
  </si>
  <si>
    <t>Payment Source(s)</t>
  </si>
  <si>
    <t>The individual or organization responsible for paying the expenses for the student's education.</t>
  </si>
  <si>
    <t>0629</t>
  </si>
  <si>
    <t>Payroll Calculation Cycle</t>
  </si>
  <si>
    <t>The time element that governs the amount calculated in payroll to an employee.</t>
  </si>
  <si>
    <t>0526</t>
  </si>
  <si>
    <t>Payroll Deduction Type</t>
  </si>
  <si>
    <t>The type of deduction to be withheld from the employee's paycheck.</t>
  </si>
  <si>
    <t>0527</t>
  </si>
  <si>
    <t>Payroll Deduction Type
   01561 - Federal income tax
   01562 - State income tax
   01563 - Local income tax
   01564 - Social Security FICA
   01565 - Medicare
   01566 - State teacher retirement system
   01567 - State public employee retirement system
   01568 - Industrial/professional insurance
   01569 - Group medical insurance
   01570 - Group dental insurance
   01571 - Term life insurance
   01572 - Permanent life insurance
   01573 - Profit sharing plan
   01574 - Retirement plan - 401(k) or 403(b)
   01575 - Charity
   01576 - Annuity
   01577 - Child/dependent care benefits reimbursement
   01578 - Child support disbursement unit
   01579 - Alimony payment
   01580 - Credit union
   01581 - Recreation fee
   01582 - Parking fee
   01583 - Uninsured medical expenses
   01584 - Section 457
   01585 - Loan repayment
   09999 - Other</t>
  </si>
  <si>
    <t>Payroll Tax Treatment Status</t>
  </si>
  <si>
    <t>An indication of whether a payroll deduction is made prior to or after taxes have been withheld, according to rules of the taxing authorities.</t>
  </si>
  <si>
    <t>0528</t>
  </si>
  <si>
    <t>Payroll Tax Treatment Status
   01586 - Pre-tax
   01587 - After tax
   01588 - Non-taxed</t>
  </si>
  <si>
    <t>Percent of Total Time</t>
  </si>
  <si>
    <t>A derived number expressing the time spent fulfilling an assignment as a percentage of the total work time possible for an individual.</t>
  </si>
  <si>
    <t>0832</t>
  </si>
  <si>
    <t>3.2</t>
  </si>
  <si>
    <t>Percent Voters Against Bond Question</t>
  </si>
  <si>
    <t>The percent of voters who voted against the most current bond referendum question(s).</t>
  </si>
  <si>
    <t>1023</t>
  </si>
  <si>
    <t>Percent Voters for Bond Question</t>
  </si>
  <si>
    <t>The percent of voters who voted in favor of the most current bond referendum question(s).</t>
  </si>
  <si>
    <t>1022</t>
  </si>
  <si>
    <t>Percentage of Time by Medium of Instruction</t>
  </si>
  <si>
    <t>The percentage of time that the medium of instruction is utilized by the teacher to instruct and by which the student receives instructional communication from his or her teacher(s).</t>
  </si>
  <si>
    <t>0204</t>
  </si>
  <si>
    <t>Percentage Ranking</t>
  </si>
  <si>
    <t>The academic percentage rank of a student in relation to his or her graduating class (e.g., 95%, 80%, 50%).</t>
  </si>
  <si>
    <t>0678</t>
  </si>
  <si>
    <t>Performance Benchmark</t>
  </si>
  <si>
    <t>A description of the performance levels that are used to track progress and performance.</t>
  </si>
  <si>
    <t>0205</t>
  </si>
  <si>
    <t>Performance Rating</t>
  </si>
  <si>
    <t>Indicator of performance status in relation to benchmarks (e.g., score, grade).</t>
  </si>
  <si>
    <t>0206</t>
  </si>
  <si>
    <t>Performing Arts Specialty Space Type</t>
  </si>
  <si>
    <t>The space designed, located, furnished, and equipped for instruction and support of music and drama curricula and productions.</t>
  </si>
  <si>
    <t>0929</t>
  </si>
  <si>
    <t>Performing Arts Specialty Space Type
   02768 - Auditorium (fixed seats)
   02772 - Backstage room/green room
   02650 - Band room
   02651 - Practice room
   02652 - Choral room
   02653 - Drama classroom
   02654 - Blackbox theater
   02655 - Instrument storage
   02656 - Keyboard laboratory
   02657 - Television studio
   02658 - Multipurpose music room
   02659 - Multimedia production center
   02660 - Radio/television broadcast studios
   02769 - Control room
   02770 - Costume storage area
   02771 - Set storage area
   13637 - Balcony
   09999 - Other</t>
  </si>
  <si>
    <t>Period Use in Attendance Calculations</t>
  </si>
  <si>
    <t>An indicator of whether the bell period should be included in attendance calculations.</t>
  </si>
  <si>
    <t>1464</t>
  </si>
  <si>
    <t>Perpetrator ID</t>
  </si>
  <si>
    <t>Identifies the perpetrator of the incident, when a student or staff member, by use of a pre-existing school or district unique identifier.</t>
  </si>
  <si>
    <t>1051</t>
  </si>
  <si>
    <t>Person Employed in Multiple Jobs</t>
  </si>
  <si>
    <t>The number of jobs held by a person.</t>
  </si>
  <si>
    <t>2150</t>
  </si>
  <si>
    <t/>
  </si>
  <si>
    <t>Person Relationship to Learner Qualifier Type</t>
  </si>
  <si>
    <t>A qualifier used with the element Person Relationship to Learner Type to further define the nature of the person''s relationship to a learner.</t>
  </si>
  <si>
    <t>1777</t>
  </si>
  <si>
    <t>Person Relationship to Learner Qualifier Type
   14761 - Adoptive
   14762 - Biological
   14763 - Foster
   14764 - Half
   14765 - Step
   09998 - None</t>
  </si>
  <si>
    <t>Placement Parental Consent Date</t>
  </si>
  <si>
    <t>Date the parent(s) consented to the proposed placement.</t>
  </si>
  <si>
    <t>1220</t>
  </si>
  <si>
    <t>Planned Assessment Participation</t>
  </si>
  <si>
    <t>The student''s planned level of participation in statewide assessments.</t>
  </si>
  <si>
    <t>1447</t>
  </si>
  <si>
    <t>Planned Assessment Participation Code
   13466 - Accommodations - Students with Disabilities
   13467 - Accommodations - Students with temporary or long-term disabilities and Section 504 students
   13468 - Accommodations - English Language Learners
   13469 - Exempted Students - Transfer
   13470 - Excused - Prior to Test
   13471 - Excused - During Testing</t>
  </si>
  <si>
    <t>Plumbing System</t>
  </si>
  <si>
    <t>The component of an on-site system for supplying, eliminating, and treating water.</t>
  </si>
  <si>
    <t>0887</t>
  </si>
  <si>
    <t>Plumbing System
   02462 - Water supply
   02463 - Drains
   02464 - Vents
   02465 - Sewage treatment
   02466 - Water source
   02467 - Parcel drainage
   02468 - Piping
   02469 - Water softeners
   02470 - Detention ponds
   02471 - Filtration system
   09999 - Other
   13596 - Domestic water distribution
   13597 - Plumbing fixtures
   13598 - Rain water drainage
   13599 - Sanitary waste</t>
  </si>
  <si>
    <t>Points/Mark Assistance</t>
  </si>
  <si>
    <t>An indication of the points/mark were earned with assistance.</t>
  </si>
  <si>
    <t>1208</t>
  </si>
  <si>
    <t>Points/Mark Value</t>
  </si>
  <si>
    <t>The number of points received. The results can be expressed as a number, percentile, range, level, etc.</t>
  </si>
  <si>
    <t>1204</t>
  </si>
  <si>
    <t>Points/Mark Value Description</t>
  </si>
  <si>
    <t>The description of the number of points/mark received. Points could be based on the entire assignment or are a certain part of the assignment (i.e., penmanship).</t>
  </si>
  <si>
    <t>1205</t>
  </si>
  <si>
    <t>Position Assessment Date</t>
  </si>
  <si>
    <t>The month, day, and year on which an assessment was administered for skills that are required for the position.</t>
  </si>
  <si>
    <t>0461</t>
  </si>
  <si>
    <t>Position Assessment Results</t>
  </si>
  <si>
    <t>An indication of the results of the assessment for skills that are required for the position.</t>
  </si>
  <si>
    <t>0462</t>
  </si>
  <si>
    <t>Position or Classification Number</t>
  </si>
  <si>
    <t>An indication of the level or category of an individual's position as assigned by the employer.</t>
  </si>
  <si>
    <t>0483</t>
  </si>
  <si>
    <t>Position Skills Assessed</t>
  </si>
  <si>
    <t>An indication of the type of an assessment administered to an individual for skills that are required for the position (e.g. keyboarding, spelling, grammar, editing, data entry, and driving).</t>
  </si>
  <si>
    <t>0460</t>
  </si>
  <si>
    <t>Preparation Description</t>
  </si>
  <si>
    <t>A description of the kind of formal training or coursework (e.g., courses, seminars, institutes) recommended for an individual''s development.</t>
  </si>
  <si>
    <t>0571</t>
  </si>
  <si>
    <t>Preparation Duration</t>
  </si>
  <si>
    <t>The approximate length of time in days, weeks, months, or years that the recommended training requires.</t>
  </si>
  <si>
    <t>0573</t>
  </si>
  <si>
    <t>Preparation Funding</t>
  </si>
  <si>
    <t>The source of funds used to pay for recommended training (e.g., an individual, an employer, or some other organization).</t>
  </si>
  <si>
    <t>0574</t>
  </si>
  <si>
    <t>Preparation Location</t>
  </si>
  <si>
    <t>The location where the recommended training takes place (e.g. within an organization, at an outside firm, or at an education institution).</t>
  </si>
  <si>
    <t>0572</t>
  </si>
  <si>
    <t>Previous Children Serviced</t>
  </si>
  <si>
    <t>An indication of the children an employee served prior to current employment.</t>
  </si>
  <si>
    <t>1273</t>
  </si>
  <si>
    <t>Previous Service Locations</t>
  </si>
  <si>
    <t>Locations in which an employee provided services prior to current employment.</t>
  </si>
  <si>
    <t>1275</t>
  </si>
  <si>
    <t>Previous Service Role</t>
  </si>
  <si>
    <t>An indication of the general role an individual performed in previous employment.</t>
  </si>
  <si>
    <t>1274</t>
  </si>
  <si>
    <t>Prior Year Status</t>
  </si>
  <si>
    <t>An indication of an individual's professional or personal experience during the year before an application for employment is filed.</t>
  </si>
  <si>
    <t>0466</t>
  </si>
  <si>
    <t>Prior Year Status
   01424 - Teaching in this school
   01425 - Teaching in another elementary or secondary school in this school system
   01426 - Teaching in a public elementary or secondary school in a different school system in this state
   01427 - Teaching in a public elementary or secondary school in another state
   01428 - Teaching in a private elementary or secondary school
   01429 - Student at a college or university
   01430 - Teaching in a preschool
   01431 - Teaching at a college or university
   01432 - Working in a position in the field of education, but not as a teacher
   01433 - Working in an occupation outside the field of education
   01434 - Caring for family members
   01435 - Military service
   01436 - Unemployed and seeking work
   01437 - Retired from another job
   09999 - Other</t>
  </si>
  <si>
    <t>Program Authorizing Date</t>
  </si>
  <si>
    <t>The month, day, and year on which the program is authorized to be conducted.</t>
  </si>
  <si>
    <t>0210</t>
  </si>
  <si>
    <t>Program Availability</t>
  </si>
  <si>
    <t>An indication as to when the program is provided to an individual or group of individuals.</t>
  </si>
  <si>
    <t>0211</t>
  </si>
  <si>
    <t>Program Availability
   00235 - Before school
   00231 - During school
   00236 - After school
   00234 - Weekend
   00237 - Summer
   00238 - In-school service day
   00239 - Evenings
   09999 - Other</t>
  </si>
  <si>
    <t>Program Beginning Date</t>
  </si>
  <si>
    <t>The month, day, and year on which the program or activity begins.</t>
  </si>
  <si>
    <t>0212</t>
  </si>
  <si>
    <t>Program Beneficiary</t>
  </si>
  <si>
    <t>The audience(s) for which the program is intended.</t>
  </si>
  <si>
    <t>0213</t>
  </si>
  <si>
    <t>Program Beneficiary
   00868 - State Education Agency
   00890 - Intermediate Education Unit
   00213 - Local Education Agencies/Local Administrative Unit
   00015 - School boards
   00026 - Schools
   00039 - Administrators
   00049 - Teachers
   00059 - Paraprofessionals/teacher aides
   00069 - Non-instructional staff
   00080 - Student teachers
   00102 - Preschool children
   00091 - Students
   00114 - Families
   00125 - Communities
   09999 - Other</t>
  </si>
  <si>
    <t>Program Benefit Targeting Type</t>
  </si>
  <si>
    <t>Degree and focus of the activities and services an individual, group of individuals, or organization receives as a result of a program.</t>
  </si>
  <si>
    <t>0080</t>
  </si>
  <si>
    <t>Program Benefit Targeting Type
   00147 - Direct
   00148 - Incidental
   00149 - Both direct and incidental</t>
  </si>
  <si>
    <t>Program Characterization</t>
  </si>
  <si>
    <t>The description of the program of work, series of courses, individual course, or training program in which an individual is involved.</t>
  </si>
  <si>
    <t>0859</t>
  </si>
  <si>
    <t>Program Delivery Structure</t>
  </si>
  <si>
    <t>The regularity with which a program is provided.</t>
  </si>
  <si>
    <t>0214</t>
  </si>
  <si>
    <t>Program Delivery Structure
   00220 - Fixed schedule
   00221 - Variable schedule
   00874 - One-time</t>
  </si>
  <si>
    <t>Program Description</t>
  </si>
  <si>
    <t>The description of instructional or non-instructional activities and procedures or services provided to the intended audience.</t>
  </si>
  <si>
    <t>0215</t>
  </si>
  <si>
    <t>Program Duration</t>
  </si>
  <si>
    <t>The actual (for fixed schedules) or average (for variable schedules) number of weeks per year that a program is provided to an individual or group of individuals.</t>
  </si>
  <si>
    <t>0216</t>
  </si>
  <si>
    <t>Program Eligibility Date</t>
  </si>
  <si>
    <t>Date student is eligible for beginning the support program(s).</t>
  </si>
  <si>
    <t>1215</t>
  </si>
  <si>
    <t>Program Ending Date</t>
  </si>
  <si>
    <t>The month, day, and year on which the program or activity ends.</t>
  </si>
  <si>
    <t>0217</t>
  </si>
  <si>
    <t>Program Frequency</t>
  </si>
  <si>
    <t>The actual (fixed) or average (variable) number of days per week that a program is provided to an individual or group of individuals.</t>
  </si>
  <si>
    <t>0219</t>
  </si>
  <si>
    <t>Program Frequency
   00351 - Less than 1 day per week
   00001 - 1 day per week
   00223 - 2 days per week
   00224 - 3 days per week
   00225 - 4 days per week
   00226 - 5 days per week
   00227 - 6 days per week
   00228 - 7 days per week
   00230 - Not scheduled
   06020 - More than once a day
   06021 - 1 to 4 times per month
   06022 - Once a month
   02326 - As needed
   02322 - Quarterly
   02323 - Semi-annually
   02324 - Annually
   09999 - Other</t>
  </si>
  <si>
    <t>Program Funding Beginning Date</t>
  </si>
  <si>
    <t>The month, day, and year on which the program funding begins.</t>
  </si>
  <si>
    <t>0220</t>
  </si>
  <si>
    <t>Program Funding Ending Date</t>
  </si>
  <si>
    <t>The month, day, and year on which the funding for a program ends.</t>
  </si>
  <si>
    <t>0221</t>
  </si>
  <si>
    <t>Program Funding Source</t>
  </si>
  <si>
    <t>Ultimate and intermediate providers of funds for a particular educational or service program or activity or for an individual's participation in the program or activity.</t>
  </si>
  <si>
    <t>0222</t>
  </si>
  <si>
    <t>Program Funding Source
   00797 - Federal government
   00617 - State government
   00622 - Local/community government
   00654 - College/University
   00675 - School
   00997 - Business
   00698 - Community
   00709 - Self in tuition and/or fees
   00720 - Parent/guardian in tuition and/or fees
   00731 - Parent/teacher organizations
   00739 - Individuals (endowments)
   00749 - Foundations and other charitable organizations
   00218 - Religious organization
   01899 - Parent/guardian's employer
   00772 - Unions
   00219 - Fraternal organization
   00786 - Insurance
   09999 - Other</t>
  </si>
  <si>
    <t>Program Funding Source Name</t>
  </si>
  <si>
    <t>The name of the organization providing funds for the program.</t>
  </si>
  <si>
    <t>0223</t>
  </si>
  <si>
    <t>Program Funds Received</t>
  </si>
  <si>
    <t>The total amount of funds received for a particular education program or activity or for the individual's participation in the education program or activity.</t>
  </si>
  <si>
    <t>0224</t>
  </si>
  <si>
    <t>Program Goal(s) or Purpose</t>
  </si>
  <si>
    <t>A description of the goals or broad purpose for the program, including expected outcomes.</t>
  </si>
  <si>
    <t>0225</t>
  </si>
  <si>
    <t>Program Intensity</t>
  </si>
  <si>
    <t>The actual (for fixed schedules) or average (for variable schedules) number of hours or portion of hours per week that a program is provided to an individual or group of individuals.</t>
  </si>
  <si>
    <t>0226</t>
  </si>
  <si>
    <t>Program Objectives</t>
  </si>
  <si>
    <t>A description of the specific outcomes expected from the program for each intended audience.</t>
  </si>
  <si>
    <t>0228</t>
  </si>
  <si>
    <t>Program of Study Relevance</t>
  </si>
  <si>
    <t>An indication as to whether the type of work is relevant to a student's current program of study or occupational goal.</t>
  </si>
  <si>
    <t>0698</t>
  </si>
  <si>
    <t>Program of Study Relevance
   02040 - Relevant
   02041 - Peripheral</t>
  </si>
  <si>
    <t>Program Placement Date</t>
  </si>
  <si>
    <t>Date student began the support program.</t>
  </si>
  <si>
    <t>1221</t>
  </si>
  <si>
    <t>Program Plan Date</t>
  </si>
  <si>
    <t>Date the most recent program plan was completed and approved by the team responsible for developing it.</t>
  </si>
  <si>
    <t>1217</t>
  </si>
  <si>
    <t>Program Plan Effective Date</t>
  </si>
  <si>
    <t>Date by which the plan must be implemented for the student.</t>
  </si>
  <si>
    <t>1218</t>
  </si>
  <si>
    <t>Provider Authority</t>
  </si>
  <si>
    <t>An indication of the relationship of the health care provider to the patient.</t>
  </si>
  <si>
    <t>0789</t>
  </si>
  <si>
    <t>Provider Authority
   02138 - School provider
   02139 - Personal/family provider
   02140 - Public agency provider
   09999 - Other</t>
  </si>
  <si>
    <t>Provider Occupation</t>
  </si>
  <si>
    <t>A designation of the occupation of an individual who is responsible for providing a student with health care (e.g., physician, surgeon, nurse, psychiatrist, pharmacist, or midwife).</t>
  </si>
  <si>
    <t>0787</t>
  </si>
  <si>
    <t>Provider Specialty</t>
  </si>
  <si>
    <t>A designation of the particular professional discipline in which a health care provider's training and experience is focused (e.g., orthopedic surgery, urology, or psychiatry).</t>
  </si>
  <si>
    <t>0788</t>
  </si>
  <si>
    <t>Public Education Mill Rate</t>
  </si>
  <si>
    <t>The millage rate used to calculate property tax revenue for K-12 public education.</t>
  </si>
  <si>
    <t>1026</t>
  </si>
  <si>
    <t>2.8</t>
  </si>
  <si>
    <t>Public Use Policy</t>
  </si>
  <si>
    <t>A description of the policy that enables the community or other organizations to use all or part of a building for purposes other than general education.</t>
  </si>
  <si>
    <t>0954</t>
  </si>
  <si>
    <t>Publication Description</t>
  </si>
  <si>
    <t>A description of the title, location/appearance, date, and/or other information related to an individual's publication.</t>
  </si>
  <si>
    <t>0428</t>
  </si>
  <si>
    <t>Publication Type</t>
  </si>
  <si>
    <t>An indication of the nature of an individual's professional public communication and/or performance.</t>
  </si>
  <si>
    <t>0427</t>
  </si>
  <si>
    <t>Publication Type
   01372 - Book
   01373 - Peer journal article
   01374 - Non-peer journal article
   01375 - Fine arts performance 
   01376 - Presentation/paper at a conference or professional association meeting
   01377 - Newspaper article
   09999 - Other</t>
  </si>
  <si>
    <t>Purchase Date</t>
  </si>
  <si>
    <t>The date the equipment was purchased.</t>
  </si>
  <si>
    <t>1110</t>
  </si>
  <si>
    <t>Purpose of Assessment Special Accommodation</t>
  </si>
  <si>
    <t>The primary reason the special accommodation for the assessment was offered to a student.</t>
  </si>
  <si>
    <t>1156</t>
  </si>
  <si>
    <t>Purpose of Assessment Special Accommodation
   03574 - Student's IEP status
   03575 - Student's LEP status
   03576 - Student's 504 status
   03577 - Student's IEP and LEP status
   09999 - Other</t>
  </si>
  <si>
    <t>Qualified Individual with Disabilities Status</t>
  </si>
  <si>
    <t>The qualified individual is an individual with a disability who, with or without reasonable modifications to rules, policies, or practices, the removal of architectural, communication, or transportation barriers, or the provision of auxiliary aids and services, meets the essential eligibility requirements for the receipt of services or the participation in programs or activities provided by a public entity.</t>
  </si>
  <si>
    <t>0771</t>
  </si>
  <si>
    <t>Qualitative Assessment IFSP Results</t>
  </si>
  <si>
    <t>Results of the qualitative assessment of a child''s improvement and progress toward IFSP goals and objectives, based on observation, service provider and parent report, etc.</t>
  </si>
  <si>
    <t>1243</t>
  </si>
  <si>
    <t>Quarterly Employment Record Earnings</t>
  </si>
  <si>
    <t>The quarterly amount paid to individuals found employed.</t>
  </si>
  <si>
    <t>2152</t>
  </si>
  <si>
    <t>Quarterly Employment Record Reference Quarter End Date</t>
  </si>
  <si>
    <t>The year, month, and day of the last day of the reference quarter.</t>
  </si>
  <si>
    <t>2153</t>
  </si>
  <si>
    <t>Quarterly Employment Record Reference Quarter Start Date</t>
  </si>
  <si>
    <t>The year, month, and day of the first day of the reference quarter.</t>
  </si>
  <si>
    <t>2154</t>
  </si>
  <si>
    <t>Readiness for Assignment of Greater Responsibility</t>
  </si>
  <si>
    <t>The degree to which an individual's capabilities would permit successful performance in an assignment of greater responsibility if and when such a position becomes available.</t>
  </si>
  <si>
    <t>0569</t>
  </si>
  <si>
    <t>Readiness for Assignment of Greater Responsibility
   02343 - Immediately eligible
   02344 - In the future
   02345 - Not ready
   09999 - Other</t>
  </si>
  <si>
    <t>Reason for Closure</t>
  </si>
  <si>
    <t>A description of the reason or reasons for temporary or permanent closure.</t>
  </si>
  <si>
    <t>0230</t>
  </si>
  <si>
    <t>Reason for Closure
   00008 - Low enrollment
   00009 - Inadequate facilities
   00010 - Financial difficulties
   00011 - Achievement requirements unmet
   00012 - Loss of accreditation
   00112 - Planned construction
   00115 - Re-organization by merging, splitting, or changes in authoritative agency
   00116 - Legislative mandates
   00117 - Emergency event
   09999 - Other</t>
  </si>
  <si>
    <t>Reason for Non-entrance in School</t>
  </si>
  <si>
    <t>The explanation as to why an individual of compulsory school attendance age or of school census age: 1) has never entered school; 2) has not completed his or her high school work in an approved manner at the close of the preceding regular school term; or 3) was not, for some other reason, in school membership at the close of the preceding term or did not enter any local elementary or secondary school for the current regular term.</t>
  </si>
  <si>
    <t>0654</t>
  </si>
  <si>
    <t>Reason for Non-Entrance
   01960 - Chose not to accept services
   01961 - Distance from residence to school
   01663 - Home schooling
   01963 - Receiving instruction elsewhere
   01964 - Religious reason
   01965 - Not eligible for services
   09999 - Other</t>
  </si>
  <si>
    <t>Reason for Variation</t>
  </si>
  <si>
    <t>Information that describes and explains aspects of service delivery that varied from recommendations.</t>
  </si>
  <si>
    <t>1237</t>
  </si>
  <si>
    <t>Reason for Variation
   06023 - Parent request
   06024 - New assessment information
   06025 - Consensus among team members</t>
  </si>
  <si>
    <t>Reason Not Eligible for Reemployment</t>
  </si>
  <si>
    <t>A description of the rationale for determining that an individual is not eligible for reemployment by the organization.</t>
  </si>
  <si>
    <t>0583</t>
  </si>
  <si>
    <t>Receiving Location of Instruction/Service Description</t>
  </si>
  <si>
    <t>A description of the location at which an individual receives instruction or service (e.g., room number, building site, campus designation, or address).</t>
  </si>
  <si>
    <t>0172</t>
  </si>
  <si>
    <t>Reemployment Eligibility</t>
  </si>
  <si>
    <t>The degree of satisfaction with an individual's past performance as it relates to future consideration of his or her possible rehiring in the organization.</t>
  </si>
  <si>
    <t>0582</t>
  </si>
  <si>
    <t>Reemployment Eligibility
   01627 - Eligible for reemployment
   01628 - Not eligible for reemployment
   01629 - Eligible on a conditional basis</t>
  </si>
  <si>
    <t>Reevaluation Date</t>
  </si>
  <si>
    <t>Date students will be reevaluated for continued placement in a support program(s).</t>
  </si>
  <si>
    <t>1214</t>
  </si>
  <si>
    <t>Referral Cause</t>
  </si>
  <si>
    <t>The specific condition or reason indicating that a referral is necessary or advisable (e.g., emotional problems, retarded reading skill development, difficulty with oral communication).</t>
  </si>
  <si>
    <t>0779</t>
  </si>
  <si>
    <t>Referral Completion Date</t>
  </si>
  <si>
    <t>The month, day, and year on which an individual is received, evaluated, and examined as a consequence of a referral.</t>
  </si>
  <si>
    <t>0781</t>
  </si>
  <si>
    <t>Referral Completion Report</t>
  </si>
  <si>
    <t>The description of the referral.</t>
  </si>
  <si>
    <t>0782</t>
  </si>
  <si>
    <t>Referral Provider Indicator</t>
  </si>
  <si>
    <t>An indication as to whether the health care provider is acting as a referring provider or a receiving provider.</t>
  </si>
  <si>
    <t>0790</t>
  </si>
  <si>
    <t>Referral Status
   02141 - Referring provider
   02142 - Receiving provider</t>
  </si>
  <si>
    <t>Referral Purpose</t>
  </si>
  <si>
    <t>The general reason an individual was referred for examination and assistance.</t>
  </si>
  <si>
    <t>0778</t>
  </si>
  <si>
    <t>Referral Purpose
   02136 - Physical, health, sensory, and related conditions
   02137 - School work or for intellectual, social, or emotional reasons</t>
  </si>
  <si>
    <t>Regional Funding Type</t>
  </si>
  <si>
    <t>The type of funding from regional entities that serves public health, education, social services, developmental disabilities, or other.</t>
  </si>
  <si>
    <t>1282</t>
  </si>
  <si>
    <t>Regional Funding Type
   06075 - Regional public health entity
   00214 - Regional or intermediate educational agency
   06076 - Regional social services entity
   06077 - Regional developmental disabilities entity
   09999 - Other</t>
  </si>
  <si>
    <t>Regular School</t>
  </si>
  <si>
    <t>A school providing instruction and educational services that do not focus primarily on special education, vocational/technical education, or alternative education.</t>
  </si>
  <si>
    <t>0316</t>
  </si>
  <si>
    <t>Regular School Period</t>
  </si>
  <si>
    <t>Indicator of whether the bell period is part of the regular school day (i.e. is not a before or after school or break period).</t>
  </si>
  <si>
    <t>1462</t>
  </si>
  <si>
    <t>Regulation Title</t>
  </si>
  <si>
    <t>The full, legally accepted or popularly accepted name or title of a regulation, including non-regulatory guidance.</t>
  </si>
  <si>
    <t>0238</t>
  </si>
  <si>
    <t>Related Emergency Needs</t>
  </si>
  <si>
    <t>Specification of possible or actual emergency care an individual may require.</t>
  </si>
  <si>
    <t>0791</t>
  </si>
  <si>
    <t>Related to Special Education Manifestation Hearing</t>
  </si>
  <si>
    <t>An indication of whether or not any of the disciplinary actions taken against a student were imposed as a consequence of the incident being related to a special education manifestation hearing.</t>
  </si>
  <si>
    <t>1058</t>
  </si>
  <si>
    <t>Relationship to Staff Member</t>
  </si>
  <si>
    <t>An indication of an employee's relationship with an individual or organization (e.g., a charity to which benefits are designated).</t>
  </si>
  <si>
    <t>0522</t>
  </si>
  <si>
    <t>Released Time</t>
  </si>
  <si>
    <t>The amount of time a school officially and regularly excuses a full-time student for part of a session. This may be for reasons such as need at home, work on special activity, approved employment, high school students taking college courses, religious instruction, and reduced schedule because of physical or emotional condition or doctor's appointments.</t>
  </si>
  <si>
    <t>0641</t>
  </si>
  <si>
    <t>Religious Affiliation</t>
  </si>
  <si>
    <t>The religion or religious group (e.g., the specific unified system of religious expression) with which the individual or institution most identifies.</t>
  </si>
  <si>
    <t>0240</t>
  </si>
  <si>
    <t>Religious Affiliation/Religious Background
   00019 - Amish
   00020 - Assembly of God
   00021 - Baptist
   00022 - Buddhist
   00023 - Calvinist
   00024 - Catholic
   00025 - Eastern Orthodox
   00027 - Episcopal
   00028 - Friends
   00029 - Greek Orthodox
   00030 - Hindu
   00031 - Islamic
   00032 - Jehovah's Witnesses
   00033 - Jewish
   00034 - Latter Day Saints
   00036 - Lutheran
   00038 - Mennonite
   00040 - Methodist
   00041 - Pentecostal
   00042 - Presbyterian
   02405 - Christian (no specific denomination)
   00043 - Other Christian denomination
   00044 - Seventh Day Adventist
   00045 - Tao
   00046 - Unitarian Universalist
   00047 - Christian Scientist
   00048 - Nazarene
   09998 - None
   09999 - Other</t>
  </si>
  <si>
    <t>Religious Consideration</t>
  </si>
  <si>
    <t>A restriction or other considerations for medical treatment because of the doctrines of an individual's religion.</t>
  </si>
  <si>
    <t>0345</t>
  </si>
  <si>
    <t>Report Date</t>
  </si>
  <si>
    <t>The month, day, and year on which a report is submitted.</t>
  </si>
  <si>
    <t>0241</t>
  </si>
  <si>
    <t>Report Title</t>
  </si>
  <si>
    <t>The description of the name or contents of the report.</t>
  </si>
  <si>
    <t>0242</t>
  </si>
  <si>
    <t>Report Type</t>
  </si>
  <si>
    <t>The type of report expected to be completed.</t>
  </si>
  <si>
    <t>0243</t>
  </si>
  <si>
    <t>Report Type
   00150 - Application
   00151 - Management report
   00152 - Regularly scheduled update report 
   00153 - Funding report
   00155 - Final report
   09999 - Other</t>
  </si>
  <si>
    <t>Reported to Law Enforcement</t>
  </si>
  <si>
    <t>An indication of whether the school resource officer or any other law enforcement official was notified about the incident, regardless of whether official action is taken.</t>
  </si>
  <si>
    <t>1047</t>
  </si>
  <si>
    <t>Reporting and Documentation</t>
  </si>
  <si>
    <t>The description of results of a qualitative assessment of a student's performance, progress, or development. Such observations and/or evaluations are often documented in the form of a parent or teacher report, or a student's performance portfolio, and may be used when planning education and care for the student.</t>
  </si>
  <si>
    <t>0718</t>
  </si>
  <si>
    <t>Repository Date</t>
  </si>
  <si>
    <t>Date document data was added to the repository</t>
  </si>
  <si>
    <t>1502</t>
  </si>
  <si>
    <t>Requested Date of Completion</t>
  </si>
  <si>
    <t>The month, day, and year that the school-based personnel initiating the work order request would like to have it completed.</t>
  </si>
  <si>
    <t>0989</t>
  </si>
  <si>
    <t>Required Application Experience Level</t>
  </si>
  <si>
    <t>An indication of the individual's level of skill or experience using the software application (e.g., expert, intermediate, novice or years of experience).</t>
  </si>
  <si>
    <t>0465</t>
  </si>
  <si>
    <t>Required Software Application Category</t>
  </si>
  <si>
    <t>An indication of the type of software application that is required for the position in question (e.g., spreadsheet, word processing, database, Internet use, web development, statistical analysis).</t>
  </si>
  <si>
    <t>0463</t>
  </si>
  <si>
    <t>Required Software Application Title</t>
  </si>
  <si>
    <t>An indication of the title of a software application required for the position in question.</t>
  </si>
  <si>
    <t>0464</t>
  </si>
  <si>
    <t>Residence after Exiting/Withdrawing from School</t>
  </si>
  <si>
    <t>The residence of the student immediately after exiting/withdrawing from school for an exit reason other than graduation.</t>
  </si>
  <si>
    <t>0652</t>
  </si>
  <si>
    <t>Residence after Exiting/Withdrawing from School
   01953 - Armed services
   01954 - New residence of family
   01955 - New residence of student
   01956 - No record of residence
   01957 - Non-educational institution
   01958 - Same residence
   01959 - Other educational institution
   09999 - Other</t>
  </si>
  <si>
    <t>Residence Block Number</t>
  </si>
  <si>
    <t>A number assigned to a particular block of residences.</t>
  </si>
  <si>
    <t>0597</t>
  </si>
  <si>
    <t>15</t>
  </si>
  <si>
    <t>Resident</t>
  </si>
  <si>
    <t>An indication as to whether or not the student''s legal residence was within the boundaries of the school during the time between the Start Date and End Date, inclusive.</t>
  </si>
  <si>
    <t>1470</t>
  </si>
  <si>
    <t>Resolution of Complaint</t>
  </si>
  <si>
    <t>Any action taken by the employer to resolve the complaint filed by another individual against the employee about his or her employment.</t>
  </si>
  <si>
    <t>0578</t>
  </si>
  <si>
    <t>Resource Author</t>
  </si>
  <si>
    <t>The name of the author of the resource.</t>
  </si>
  <si>
    <t>0246</t>
  </si>
  <si>
    <t>Resource Check Out Date</t>
  </si>
  <si>
    <t>The month, day, and year that the resource was taken out of the classroom.</t>
  </si>
  <si>
    <t>1197</t>
  </si>
  <si>
    <t>Resource Cost</t>
  </si>
  <si>
    <t>An indication of the cost of the resource.</t>
  </si>
  <si>
    <t>0247</t>
  </si>
  <si>
    <t>Resource Description</t>
  </si>
  <si>
    <t>The description of the resource.</t>
  </si>
  <si>
    <t>0248</t>
  </si>
  <si>
    <t>Resource Due Date</t>
  </si>
  <si>
    <t>The month, day, and year that the resource is due to be returned to the classroom.</t>
  </si>
  <si>
    <t>1198</t>
  </si>
  <si>
    <t>Resource Location</t>
  </si>
  <si>
    <t>A description of the location of a resource issued to student (e.g., location in library or URL, community resource, outside resource supplier).</t>
  </si>
  <si>
    <t>0249</t>
  </si>
  <si>
    <t>Resource Media</t>
  </si>
  <si>
    <t>The media type through which the resource is delivered.</t>
  </si>
  <si>
    <t>0250</t>
  </si>
  <si>
    <t>Resource Media
   00916 - Audiotape
   00917 - CD
   00918 - Diskette
   00919 - DVD
   00920 - Intranet/internet
   00921 - Print
   00923 - Television
   00924 - Videotape
   00146 - Film/filmstrip
   09999 - Other</t>
  </si>
  <si>
    <t>Resource Publisher</t>
  </si>
  <si>
    <t>The name of the organization that publishes the resource material.</t>
  </si>
  <si>
    <t>0251</t>
  </si>
  <si>
    <t>Resource Title</t>
  </si>
  <si>
    <t>The title of the resource used for instruction (e.g., textbook, Internet source, media, software).</t>
  </si>
  <si>
    <t>0253</t>
  </si>
  <si>
    <t>Resource Title Checked Out</t>
  </si>
  <si>
    <t>The title of the resource the student took out of the classroom.</t>
  </si>
  <si>
    <t>1196</t>
  </si>
  <si>
    <t>Response Form Design</t>
  </si>
  <si>
    <t>Information about how the nature of a student's response is captured.</t>
  </si>
  <si>
    <t>0254</t>
  </si>
  <si>
    <t>Response Form Design
   00442 - Collaborative/group activity
   00443 - Computer response
   03465 - Direct coding
   00444 - Constructed-response
   00445 - Laboratory experiment
   00446 - Selected response
   00447 - Performance
   01281 - Portfolio 
   09999 - Other</t>
  </si>
  <si>
    <t>Revenue from Community Service Activities Type</t>
  </si>
  <si>
    <t>Revenue from community service activities operated by a school district. For example, revenue received from a skating facility by a school district as a community service would be recorded in account code 1800. Multiple accounts may be established within the 1800 series to differentiate various activities.</t>
  </si>
  <si>
    <t>1577</t>
  </si>
  <si>
    <t>Revenue from Community Service Activities Type
   13759 - Event fees
   13760 - Lease revenue</t>
  </si>
  <si>
    <t>Roof Construction</t>
  </si>
  <si>
    <t>The uppermost exterior plane of a building structure.</t>
  </si>
  <si>
    <t>1540</t>
  </si>
  <si>
    <t>Roof Covering</t>
  </si>
  <si>
    <t>The design or structure of roof. The material used as the exposed surface of the roof.</t>
  </si>
  <si>
    <t>0900</t>
  </si>
  <si>
    <t>Roof Type
   02530 - Metal
   02531 - Slate
   02532 - Asphalt shingle
   02533 - Built-up
   02534 - Single-ply
   02535 - Terra cotta tile
   02536 - Membrane
   09999 - Other
   13600 - Green roof</t>
  </si>
  <si>
    <t>Routine Health Care Procedure Required at School</t>
  </si>
  <si>
    <t>A non-emergency health care procedure (e.g., scoliosis test) or medication administered by a qualified school staff member during the hours of school attendance or while he or she is under the guidance and care of school staff members.</t>
  </si>
  <si>
    <t>0751</t>
  </si>
  <si>
    <t>Rule/Regulation Violated</t>
  </si>
  <si>
    <t>A description of the rule, regulation, or standard that was violated when an incident occurred (e.g., the identification of a relevant law, conduct standard, or acceptable use policy).</t>
  </si>
  <si>
    <t>1148</t>
  </si>
  <si>
    <t>Safe Harbor Application for AYP</t>
  </si>
  <si>
    <t>An indication of whether the district or school met Adequate Yearly Progress (AYP) because of the state''s implementation of the Safe Harbor Provision.</t>
  </si>
  <si>
    <t>1098</t>
  </si>
  <si>
    <t>Safe Harbor Application for AYP
   14929 - AYP was met because Safe Harbor was applied
   14930 - AYP was not met even though Safe Harbor was applied
   14931 - Safe Harbor was not applied</t>
  </si>
  <si>
    <t>Salary for Overtime</t>
  </si>
  <si>
    <t>The amount paid to an individual in either a temporary or permanent position for services rendered that are additional to those performed in the normal work period for which he or she is compensated under regular or temporary salary or wage rate.</t>
  </si>
  <si>
    <t>0500</t>
  </si>
  <si>
    <t>Same Physical Location of Instruction</t>
  </si>
  <si>
    <t>An indication as to whether the originating and receiving locations of instruction are in the same physical location.</t>
  </si>
  <si>
    <t>1147</t>
  </si>
  <si>
    <t>Scale Score 25th Percentile</t>
  </si>
  <si>
    <t>Scale score at the 25th percentile.</t>
  </si>
  <si>
    <t>1814</t>
  </si>
  <si>
    <t>Scale Score 50th Percentile</t>
  </si>
  <si>
    <t>Scale score at the 50th percentile.</t>
  </si>
  <si>
    <t>1815</t>
  </si>
  <si>
    <t>Scale Score 75th Percentile</t>
  </si>
  <si>
    <t>Scale score at the 75th percentile.</t>
  </si>
  <si>
    <t>1816</t>
  </si>
  <si>
    <t>Scheduled Work Days Weekly</t>
  </si>
  <si>
    <t>The specific day(s) of a week that an individual is scheduled to perform for an employer (e.g., Monday, Wednesday, and Friday; Monday to Friday).</t>
  </si>
  <si>
    <t>0481</t>
  </si>
  <si>
    <t>Scheduled Work Months Annually</t>
  </si>
  <si>
    <t>The specific month(s) of a year that an individual is scheduled to perform for an employer (e.g., September to May; June, and August to December).</t>
  </si>
  <si>
    <t>0482</t>
  </si>
  <si>
    <t>Scheduled Work Time Daily</t>
  </si>
  <si>
    <t>The specific hours during a day that an individual is scheduled to work for an employer, including a starting and ending work time (e.g., 9:00 A.M. to 6:00 P.M., 1:00 P.M. to 5:00 P.M.).</t>
  </si>
  <si>
    <t>0480</t>
  </si>
  <si>
    <t>24</t>
  </si>
  <si>
    <t>School Attendance Area</t>
  </si>
  <si>
    <t>A description of the geographic area that is encompassed by the enrollment boundaries of the school.</t>
  </si>
  <si>
    <t>0961</t>
  </si>
  <si>
    <t>School Design Type</t>
  </si>
  <si>
    <t>The physical layout and character of a school facility, as determined by age groups served and educational programs provided.</t>
  </si>
  <si>
    <t>0921</t>
  </si>
  <si>
    <t>School Design Type
   02599 - Early childhood center
   02600 - Elementary school
   02601 - Middle school
   02602 - Junior high school
   02603 - Senior high school
   02604 - Career-technology education center
   02605 - Adult education school
   02606 - Special education school
   02607 - K-8 school
   02608 - 6-12 school
   02609 - Alternative school
   13638 - Performing arts school
   13639 - Science, technology, engineering and math (STEM) school
   09999 - Other</t>
  </si>
  <si>
    <t>School District of Residence Code</t>
  </si>
  <si>
    <t>A unique number or alphanumeric code assigned to the school district of residence.</t>
  </si>
  <si>
    <t>1134</t>
  </si>
  <si>
    <t>School District Subdivision</t>
  </si>
  <si>
    <t>The number, letter, or name that describes an organizational subdivision of a school district.</t>
  </si>
  <si>
    <t>0865</t>
  </si>
  <si>
    <t>School Food Services Eligibility Beginning Date</t>
  </si>
  <si>
    <t>The month, day, and year on which the student''s current food services eligibility status went into effect.</t>
  </si>
  <si>
    <t>1065</t>
  </si>
  <si>
    <t>School Food Services Eligibility Determination Indicator</t>
  </si>
  <si>
    <t>The means by which a student''s eligibility for free or reduced price school food services is determined.</t>
  </si>
  <si>
    <t>1067</t>
  </si>
  <si>
    <t>School Food Services Eligibility Status Determination
   03130 - Household size and income application
   03131 - Categorical eligibility application 
   03132 - Direct certification
   09999 - Other</t>
  </si>
  <si>
    <t>School Food Services Eligibility Ending Date</t>
  </si>
  <si>
    <t>The month, day, and year on which the student''s current food services eligibility status will no longer be in effect.</t>
  </si>
  <si>
    <t>1066</t>
  </si>
  <si>
    <t>School Food Services Participation Basis</t>
  </si>
  <si>
    <t>The basis on which eligibility for participation in a free or reduced price school food service program is established.</t>
  </si>
  <si>
    <t>1068</t>
  </si>
  <si>
    <t>School Food Services Participation Basis 
   03133 - Individual student eligibility
   03134 - Food services site eligibility
   09999 - Other</t>
  </si>
  <si>
    <t>School Health Emergency Action</t>
  </si>
  <si>
    <t>An emergency administration of medication, provision of medical procedures, or care for serious injuries (those requiring immediate attention from a health care provider and causing a student to miss more than one-half day of school) a student receives during the hours of school attendance or while he or she is under the guidance and care of school staff members.</t>
  </si>
  <si>
    <t>0749</t>
  </si>
  <si>
    <t>School Honor or Award</t>
  </si>
  <si>
    <t>A description of educational or professional honors or awards earned by the school.</t>
  </si>
  <si>
    <t>0255</t>
  </si>
  <si>
    <t>School Honor or Award
   00414 - National school of excellence
   00415 - State school of excellence
   01559 - Monetary
   00406 - Accreditation
   09999 - Other</t>
  </si>
  <si>
    <t>School Threat Violation</t>
  </si>
  <si>
    <t>Any threat (verbal, written, or electronic) by a person to bomb or use other substances or devices for the purpose of exploding, burning, causing damage to a school building or school property, or to harm students or staff.</t>
  </si>
  <si>
    <t>1302</t>
  </si>
  <si>
    <t>School Threat Violation
   04672 - Bomb threat
   04673 - Fire alarm
   04674 - Chemical/biological threat
   04675 - Terroristic threat
   09999 - Other</t>
  </si>
  <si>
    <t>School Use Type</t>
  </si>
  <si>
    <t>How a building is used for education, regardless of its intent or original design.</t>
  </si>
  <si>
    <t>0944</t>
  </si>
  <si>
    <t>School Use Type
   02599 - Early childhood center
   02600 - Elementary school
   02601 - Middle school
   02602 - Junior high school
   02603 - Senior high school
   02807 - Combination grades
   02043 - Special education
   02808 - Career-technical education
   02809 - Adult education
   02609 - Alternative school
   02810 - Upper elementary school
   13701 - Early childhood education
   13702 - Middle school education
   13703 - High school education
   09999 - Other</t>
  </si>
  <si>
    <t>Science Specialty Space Type</t>
  </si>
  <si>
    <t>The space designed, located, furnished, and equipped for instruction and experimentation in science.</t>
  </si>
  <si>
    <t>0930</t>
  </si>
  <si>
    <t>Science Specialty Space Type
   02661 - Biology laboratory
   02662 - Chemistry laboratory
   02663 - Environmental science laboratory
   02664 - Physics laboratory
   02665 - Planetarium
   02666 - Prep room
   02667 - Science lecture room
   02668 - Chemical storage room
   02669 - Miscellaneous storage room
   02435 - Outdoor classroom
   02670 - General science laboratory
   09999 - Other</t>
  </si>
  <si>
    <t>Scope of Assignment</t>
  </si>
  <si>
    <t>The range or extent of an individual's current assignment.</t>
  </si>
  <si>
    <t>0559</t>
  </si>
  <si>
    <t>Scope of Assignment
   01613 - Statewide
   01614 - More-than-agency wide
   01615 - Agency wide
   01616 - Multi-operational unit but less-than-agency wide
   01617 - Single operational unit</t>
  </si>
  <si>
    <t>Score Interpretation Information</t>
  </si>
  <si>
    <t>The type of unusual testing conditions that must be known to properly interpret an individual's test score.</t>
  </si>
  <si>
    <t>0717</t>
  </si>
  <si>
    <t>Score Interpretation Information
   02054 - Special circumstances 
   02055 - Nonstandard administration procedure/special accommodations made
   02056 - Experience only
   02057 - Diagnostic only
   02058 - Experience and diagnostic
   02059 - Alternative assessment for children with disabilities
   09999 - Other</t>
  </si>
  <si>
    <t>Score Range</t>
  </si>
  <si>
    <t>The lowest and highest individual scale scores obtained by a group of students who are in the reference group.</t>
  </si>
  <si>
    <t>0258</t>
  </si>
  <si>
    <t>Secondary Disability Type</t>
  </si>
  <si>
    <t>A secondary disability condition that is identified with an individual, as distinguished from a primary disability.</t>
  </si>
  <si>
    <t>0773</t>
  </si>
  <si>
    <t>Disability Type
   02121 - Autism
   02122 - Deaf-blindness
   02123 - Hearing Impairment
   02124 - Intellectual Disability
   02125 - Multiple disabilities
   02126 - Orthopedic impairment
   02128 - Specific learning disability
   02129 - Speech or language impairment
   02130 - Traumatic brain injury
   02131 - Visual impairment
   02132 - Other health impairment
   02134 - Developmental delay
   02127 - Emotional disturbance</t>
  </si>
  <si>
    <t>Section Count for Attendance</t>
  </si>
  <si>
    <t>An indicator of whether attendance in this section is collected and used in attendance calculations.</t>
  </si>
  <si>
    <t>1465</t>
  </si>
  <si>
    <t>Security System</t>
  </si>
  <si>
    <t>The type of system that protects the facility from intrusion.</t>
  </si>
  <si>
    <t>0894</t>
  </si>
  <si>
    <t>Security System
   02499 - Video
   02507 - Intrusion detection system
   02508 - Card access control system
   02509 - Keypad access control system
   02510 - Metal detector
   09999 - Other</t>
  </si>
  <si>
    <t>Seniority Date</t>
  </si>
  <si>
    <t>The month, day, and year on which an individual's seniority in a position was established.</t>
  </si>
  <si>
    <t>0471</t>
  </si>
  <si>
    <t>Served Facilities Identification Code</t>
  </si>
  <si>
    <t>A unique number or alphanumeric code assigned to a kitchen by a school, school system, state, or other agency or entity to identify facilities served by a central or production kitchen.</t>
  </si>
  <si>
    <t>1102</t>
  </si>
  <si>
    <t>Service Alternatives</t>
  </si>
  <si>
    <t>A professional opinion of an evaluator as to whether corrective or rehabilitative services are required for an individual (e.g., speech therapy) because of his or her condition or impairment.</t>
  </si>
  <si>
    <t>0763</t>
  </si>
  <si>
    <t>Service Alternatives
   02120 - Special assistance needed</t>
  </si>
  <si>
    <t>Service and Pedestrian Tunnels</t>
  </si>
  <si>
    <t>A description of passageways above- and below-ground that must be completed during site development.</t>
  </si>
  <si>
    <t>1880</t>
  </si>
  <si>
    <t>Service Category</t>
  </si>
  <si>
    <t>The type of service, typically designated by a state.</t>
  </si>
  <si>
    <t>1448</t>
  </si>
  <si>
    <t>Service Category Code
   13472 - Instructional service
   13473 - Related service (e.g. speech / language, vision)
   13474 - Transitional service
   13475 - Itinerant service
   09999 - Other</t>
  </si>
  <si>
    <t>Service Description</t>
  </si>
  <si>
    <t>The title (or description) which identifies a particular service that a student receives.</t>
  </si>
  <si>
    <t>0811</t>
  </si>
  <si>
    <t>Service Plan Date</t>
  </si>
  <si>
    <t>The month, day, and year on which the status of the service plan for a child is established or significantly altered.</t>
  </si>
  <si>
    <t>1238</t>
  </si>
  <si>
    <t>Service Plan Meeting Location</t>
  </si>
  <si>
    <t>The place in which a child''s service plan meeting is held.</t>
  </si>
  <si>
    <t>1239</t>
  </si>
  <si>
    <t>Service Plan Signature Date</t>
  </si>
  <si>
    <t>The month, day, and year on which the service plan document is signed.</t>
  </si>
  <si>
    <t>1242</t>
  </si>
  <si>
    <t>Service Population</t>
  </si>
  <si>
    <t>The number of school-age children who reside within a school attendance area and are thus eligible for education and services by a school.</t>
  </si>
  <si>
    <t>0959</t>
  </si>
  <si>
    <t>Service Role</t>
  </si>
  <si>
    <t>An indication of the general role an individual performs in current employment.</t>
  </si>
  <si>
    <t>1277</t>
  </si>
  <si>
    <t>Service Setting</t>
  </si>
  <si>
    <t>The setting and circumstance in which a student is served. (e.g., the educational placement of the student).</t>
  </si>
  <si>
    <t>0307</t>
  </si>
  <si>
    <t>Service Setting
   00127 - Early intervention classroom/center
   00128 - Homebound placement instruction
   00129 - Hospital placement instruction
   00130 - Regular school campus/regular class placement
   00356 - Outpatient service facility
   00132 - Private residential placement
   00358 - Private separate day school placement
   00134 - Public residential placement
   00135 - Public separate day school placement
   00136 - Resource room placement (pullout program)
   00137 - Separate class placement
   00364 - Detention facility
   00365 - Regular nursery school/child care center
   00140 - Itinerant services outside the home
   00367 - Respite care
   00756 - Residential facility
   00143 - Reverse mainstream setting
   02192 - Home
   07697 - Service Provider Location</t>
  </si>
  <si>
    <t>Service work Job Classification</t>
  </si>
  <si>
    <t>A general job classification that describes staff that performs tasks regardless of level of difficulty which relates to both protective and nonprotective supportive services.</t>
  </si>
  <si>
    <t>1167</t>
  </si>
  <si>
    <t>Service work Job Classification
   04875 - Bus monitor/crossing guard
   04876 - Child care worker
   04877 - Cook/food preparer (food service staff)
   04878 - Custodian
   04879 - Dietary technician
   04880 - Elevator operator
   04881 - Facilities maintenance worker
   04882 - Food service assistant
   04883 - Police officer
   04884 - Resident/dormitory supervisor
   04885 - Security guard
   04886 - Extended day-care provider
   09999 - Other</t>
  </si>
  <si>
    <t>Session Name</t>
  </si>
  <si>
    <t>The name of the session during the school year in which coursework was completed (e.g., Fall Semester).</t>
  </si>
  <si>
    <t>1395</t>
  </si>
  <si>
    <t>Severance Pay</t>
  </si>
  <si>
    <t>The amount of money, based on last salary, length of service and age, which an employee may be paid when separated involuntarily from an agency, such as during a reduction-in-force. In most cases, an employee is ineligible for severance pay if the separation results from misconduct or if he or she is eligible to retire on an immediate annuity.</t>
  </si>
  <si>
    <t>0581</t>
  </si>
  <si>
    <t>Site Area</t>
  </si>
  <si>
    <t>The total number of acres in a continuous piece of land, to the nearest tenth, including undeveloped areas as well as areas occupied by buildings, walks, drives, parking facilities, and other improvements.</t>
  </si>
  <si>
    <t>0885</t>
  </si>
  <si>
    <t>Site Area Type</t>
  </si>
  <si>
    <t>The designated constructed outdoor area on a public school site.</t>
  </si>
  <si>
    <t>1521</t>
  </si>
  <si>
    <t>Site Area Type
   02433 - Playground
   02434 - Athletic field - Natural
   02436 - Hardscape play area
   02437 - Hardscape game area
   02524 - Parking area
   02438 - Drop-off/driveway
   02439 - Septic fields
   02440 - Retaining walls
   02526 - Fencing enclosures
   02441 - Sidewalks
   02442 - Stairs and ramps
   02443 - Landscaping
   02444 - Water filtration system
   13566 - Athletic field - Artificial
   13567 - Semi-permeable game area
   13568 - Softscape game area
   13569 - Softscape play area</t>
  </si>
  <si>
    <t>Site Electrical Utilities</t>
  </si>
  <si>
    <t>The exterior site related eletrical systems and components.</t>
  </si>
  <si>
    <t>1543</t>
  </si>
  <si>
    <t>Site Electrical Utilities
   02473 - Electrical distribution
   13601 - Exterior communications and security
   13602 - Exterior lighting
   13603 - Other electrical utilities</t>
  </si>
  <si>
    <t>Site Identifier</t>
  </si>
  <si>
    <t>The lot and square number, or equivalent unique municipal number identification, of a parcel of land.</t>
  </si>
  <si>
    <t>0862</t>
  </si>
  <si>
    <t>Site Improvement Description</t>
  </si>
  <si>
    <t>A description of the designed and constructed improvements made to a site.</t>
  </si>
  <si>
    <t>0884</t>
  </si>
  <si>
    <t>Site Improvement Location</t>
  </si>
  <si>
    <t>The location of the designed and constructed improvements made to a site.</t>
  </si>
  <si>
    <t>0883</t>
  </si>
  <si>
    <t>Site Improvement Location
   02433 - Playground
   02434 - Athletic field - Natural
   02435 - Outdoor classroom
   02436 - Hardscape play area
   02437 - Hardscape game area
   02524 - Parking area
   02438 - Drop-off/driveway
   02439 - Septic fields
   02440 - Retaining walls
   02526 - Fencing enclosures
   02441 - Sidewalks
   02442 - Stairs and ramps
   02443 - Landscaping
   02444 - Water filtration system
   09999 - Other</t>
  </si>
  <si>
    <t>Site Improvements</t>
  </si>
  <si>
    <t>Designed and constructed modifications to a site.</t>
  </si>
  <si>
    <t>1544</t>
  </si>
  <si>
    <t>!D</t>
  </si>
  <si>
    <t>Site Improvements
   02443 - Landscaping
   13604 - Parking lots
   13605 - Pedestrian paving
   13606 - Roadways
   13607 - Site development</t>
  </si>
  <si>
    <t>Site Preparation</t>
  </si>
  <si>
    <t>Activities required to physically prepare a site for construction.</t>
  </si>
  <si>
    <t>1545</t>
  </si>
  <si>
    <t>Site Preparation
   13608 - Hazardous waste remediation
   13609 - Site clearing
   13610 - Site demolition and relocations
   13611 - Site earthwork</t>
  </si>
  <si>
    <t>Site Use Restrictions</t>
  </si>
  <si>
    <t>A characterization of a site that would define restrictions or opportunities.</t>
  </si>
  <si>
    <t>0886</t>
  </si>
  <si>
    <t>Site Descriptors
   02445 - Land use
   02446 - Enterprise zone
   02447 - Historic district
   02448 - Environmental protection
   02449 - Environmental contamination
   02450 - Site easements
   09999 - Other</t>
  </si>
  <si>
    <t>Source of Complaint</t>
  </si>
  <si>
    <t>The origin of any statement or official expression submitted by another individual against the employee about his or her employment.</t>
  </si>
  <si>
    <t>0575</t>
  </si>
  <si>
    <t>Space Design Type</t>
  </si>
  <si>
    <t>The primary design or purpose of a space, as determined by its physical layout and built-in systems and equipment, regardless of its current use.</t>
  </si>
  <si>
    <t>0925</t>
  </si>
  <si>
    <t>Space Design/Use Type
   02628 - Basic classroom
   02629 - Specialty classroom
   02630 - Library/media
   02631 - Athletic
   02632 - Student support
   02633 - Administration
   02634 - Assembly
   02635 - Corridors
   02636 - Operational support
   02637 - Storage
   02638 - Food service
   02639 - Dormitory room
   02788 - Storage - hazardous materials
   02773 - Multi-purpose Room
   03017 - Restroom
   09999 - Other</t>
  </si>
  <si>
    <t>Space Utilization Area</t>
  </si>
  <si>
    <t>The area in square feet measured between the principal wall that faces at or near floor level, including alcove spaces, and the outer limits of space designed to serve the activity. Structural space is excluded.</t>
  </si>
  <si>
    <t>0950</t>
  </si>
  <si>
    <t>Special Assistance Program Name</t>
  </si>
  <si>
    <t>The name of the services that result specifically from the receipt of federal, state, and local funds or other assistance by the school, the school district, the student, or his or her family, as designated by a grant, act, or public program. Such assistance (e.g., Title 1 funds) is used explicitly for purposes specified by the appropriator. The allocation of funds is usually dependent upon the status or condition of the student and/or his or her family. Eligibility requirements may be based upon such diverse factors as income level, educational achievement, veteran''s status, obsolescent occupation, and/or disabilities of individuals within an identifiable population or carefully drawn geographic or political subdivision.</t>
  </si>
  <si>
    <t>0810</t>
  </si>
  <si>
    <t>Special Construction</t>
  </si>
  <si>
    <t>Building or component construction that is based on a non-standard design or the result of special conditions--such as excess noise, or seismic conditions.</t>
  </si>
  <si>
    <t>1546</t>
  </si>
  <si>
    <t>Special Construction
   13612 - Integrated construction
   13613 - Special construction systems
   13614 - Special controls and instrumentation
   13615 - Special facilities
   13616 - Special structures</t>
  </si>
  <si>
    <t>Special Contact Group Empathies</t>
  </si>
  <si>
    <t>Notation of an individual's interest and ability to work with special contact groups, based on factors such as bilingualism, racial or ethnic background, or religion.</t>
  </si>
  <si>
    <t>0452</t>
  </si>
  <si>
    <t>Special Diet Considerations</t>
  </si>
  <si>
    <t>Any regimen of special or limited food and drink intake chosen voluntarily for medical, religious, or personal reasons, or prescribed for health reasons.</t>
  </si>
  <si>
    <t>0837</t>
  </si>
  <si>
    <t>Calculated ratio of time the student is in a special ed setting. Values range from 0.00 to 1.00. If the student is in a special ed setting 25% of the time, the value is .25; if 100% of the time, the value is 1.00.</t>
  </si>
  <si>
    <t>1444</t>
  </si>
  <si>
    <t>Special Education School</t>
  </si>
  <si>
    <t>A school that adapts the curriculum, materials, or instruction for students identified as needing special education. This may include instruction for students with any of the following: autism, deaf-blindness, hearing impairment, mental retardation, multiple disabilities, orthopedic impairment, serious emotional disturbance, specific learning disability, speech or language impairment, traumatic brain injury, visual impairment, and other health impairments.</t>
  </si>
  <si>
    <t>0840</t>
  </si>
  <si>
    <t>Special Education Services Program Type</t>
  </si>
  <si>
    <t>The types of service, specially designed and at no cost to the parent/guardian, that adapts the curriculum, materials, or instruction for students identified as needing special education because of a disabling condition. This may include specially designed instruction for students with any of the following: autism, deaf-blindness, developmental delay (to age 9), hearing impairment, mental retardation, multiple disabilities, orthopedic impairment, serious emotional disturbance, specific learning disability, speech or language impairment, traumatic brain injury, visual impairment, and other health information.</t>
  </si>
  <si>
    <t>1168</t>
  </si>
  <si>
    <t>Special Education Services Program
   04889 - Early identification
   04890 - Early intervention
   04891 - Service for individuals with autism
   04892 - Service for individuals with deaf blindness
   04893 - Service for individuals with mental retardation
   04894 - Service for individuals with hearing impairment
   04895 - Service for individuals with visual impairment
   04896 - Service for individuals with orthopedic impairment
   04897 - Service for individuals with speech or language impairment
   04898 - Service for individuals with serious emotional disturbance
   04899 - Service for individuals with specific learning disabilities
   04900 - Service for individuals with multiple disabilities
   04901 - Service for individuals with traumatic brain injury
   04902 - Psychological service
   04903 - Cross categorical
   04904 - Service for individuals with developmental delay
   04905 - Other Special Education Service
   09999 - Other</t>
  </si>
  <si>
    <t>Special Education Specialty Space Type</t>
  </si>
  <si>
    <t>The space designed, located, furnished, and equipped to support instruction of children with special physical, emotional, and/or educational needs.</t>
  </si>
  <si>
    <t>0931</t>
  </si>
  <si>
    <t>Special Education Specialty Space Type
   02671 - Occupational therapy room
   02672 - Speech and hearing room
   02673 - Physical therapy room
   02674 - IEP conference room
   02675 - Itinerant staff room
   02676 - Self-contained classroom
   03107 - Resource room
   09999 - Other</t>
  </si>
  <si>
    <t>Special Terms</t>
  </si>
  <si>
    <t>A description of any special benefits of an individual's coverage (e.g., double indemnity benefits).</t>
  </si>
  <si>
    <t>0512</t>
  </si>
  <si>
    <t>Staff Advisor for Credential Renewal</t>
  </si>
  <si>
    <t>The individual in charge of advising the individual on the requirements for renewal of credentials.</t>
  </si>
  <si>
    <t>0409</t>
  </si>
  <si>
    <t>Staff Program Name</t>
  </si>
  <si>
    <t>The name of the program of work, series of courses, individual course, or training program in which an individual is involved.</t>
  </si>
  <si>
    <t>0858</t>
  </si>
  <si>
    <t>Stair Construction</t>
  </si>
  <si>
    <t>The design or structure of stairs.</t>
  </si>
  <si>
    <t>1541</t>
  </si>
  <si>
    <t>Stair Finishes</t>
  </si>
  <si>
    <t>The type of covering, structural or not, of stairs.</t>
  </si>
  <si>
    <t>1542</t>
  </si>
  <si>
    <t>Staircases</t>
  </si>
  <si>
    <t>Construction designed to bridge a large vertical distance by dividing it into smaller vertical distances, called steps.</t>
  </si>
  <si>
    <t>1547</t>
  </si>
  <si>
    <t>Staircases
   13617 - Stair construction
   13618 - Stair finishes</t>
  </si>
  <si>
    <t>Standardization Group</t>
  </si>
  <si>
    <t>The group for which the scores of an assessment have been standardized for use in interpreting the results.</t>
  </si>
  <si>
    <t>0190</t>
  </si>
  <si>
    <t>Standardization Group
   00938 - International
   00939 - National
   00005 - Regional
   00391 - State
   00862 - Local (e.g., school board, city council, municipal board)
   00675 - School
   00006 - Categorical type 
   09999 - Other</t>
  </si>
  <si>
    <t>Standardization Year</t>
  </si>
  <si>
    <t>The year when the assessment was given to a sample of students for the purpose of establishing a standard of performance for that group of students.</t>
  </si>
  <si>
    <t>0191</t>
  </si>
  <si>
    <t>Start Date</t>
  </si>
  <si>
    <t>The starting date on which information in an instance, school year, or reporting period is applicable.</t>
  </si>
  <si>
    <t>1466</t>
  </si>
  <si>
    <t>Start Day</t>
  </si>
  <si>
    <t>Number of the first school day to which an instance, school year, or reporting period applies.</t>
  </si>
  <si>
    <t>1467</t>
  </si>
  <si>
    <t>State FIPS (Federal Information Processing Standards) Code</t>
  </si>
  <si>
    <t>The Federal Information Processing Standards (FIPS) numeric code for the state.</t>
  </si>
  <si>
    <t>0268</t>
  </si>
  <si>
    <t>State FIPS Code
   03289 - 01
   03290 - 02
   03291 - 04
   03292 - 05
   03293 - 06
   03294 - 08
   03295 - 09
   03296 - 10
   03297 - 11
   03298 - 12
   03299 - 13
   03300 - 15
   03301 - 16 
   03302 - 17
   03303 - 18
   03304 - 19
   03305 - 20
   03306 - 21
   03307 - 22
   03308 - 23
   03309 - 24
   03310 - 25
   03311 - 26
   03312 - 27
   03313 - 28
   03314 - 29
   03315 - 30
   03316 - 31
   03317 - 32
   03318 - 33
   03319 - 34
   03320 - 35
   03321 - 36
   03322 - 37
   03323 - 38
   03324 - 39
   03325 - 40
   03326 - 41
   03327 - 42
   03328 - 44
   03329 - 45
   03330 - 46
   03331 - 47
   03332 - 48
   03333 - 49
   03334 - 50
   03335 - 51
   03336 - 53
   03337 - 54
   03338 - 55
   03339 - 56
   03340 - 58
   03341 - 59
   03342 - 60
   03343 - 61
   03344 - 66
   03345 - 69
   03346 - 72
   03347 - 78</t>
  </si>
  <si>
    <t>State Funding Type</t>
  </si>
  <si>
    <t>The type of funding state agencies such as public health, education, social services, developmental disabilities, or other.</t>
  </si>
  <si>
    <t>1281</t>
  </si>
  <si>
    <t>State Funding Type
   06072 - Part C lead agency
   03460 - State department of health
   00868 - State Education Agency
   06073 - State social services agency
   06074 - State developmental disabilities agency
   09999 - Other</t>
  </si>
  <si>
    <t>State Higher Education Course Requirement</t>
  </si>
  <si>
    <t>Code indicating that the course meets the state university admissions requirements for a particular subject area.</t>
  </si>
  <si>
    <t>0270</t>
  </si>
  <si>
    <t>State or Local Mandate Interest</t>
  </si>
  <si>
    <t>The area of interest controlled by a law, rule, regulation, or standard of state and local governments that pertains to public school facilities.</t>
  </si>
  <si>
    <t>0907</t>
  </si>
  <si>
    <t>State or Local Mandate Interest
   02589 - Building code
   02590 - Fire code
   02591 - Health code
   02592 - Flood control
   02593 - Design standards
   02594 - Acreage standards
   02595 - Standard educational specifications
   02596 - Historic preservation requirements
   02597 - Occupational health and safety code
   02598 - Earthquake standards
   03265 - Food safety standards
   09999 - Other</t>
  </si>
  <si>
    <t>State or Local Mandate Name</t>
  </si>
  <si>
    <t>The specific law, rule, regulation, or standard of a state or local government that pertains to public school facilities.</t>
  </si>
  <si>
    <t>0908</t>
  </si>
  <si>
    <t>State-assigned Code for Organization</t>
  </si>
  <si>
    <t>A unique number or alphanumeric code assigned by the state for the institution.</t>
  </si>
  <si>
    <t>1136</t>
  </si>
  <si>
    <t>State-assigned County Code</t>
  </si>
  <si>
    <t>A unique number of alphanumeric code assigned for the county by the state.</t>
  </si>
  <si>
    <t>1133</t>
  </si>
  <si>
    <t>Status of Work Order Request</t>
  </si>
  <si>
    <t>The status of the work order request.</t>
  </si>
  <si>
    <t>0993</t>
  </si>
  <si>
    <t>Status of Work Order Request
   02874 - Open
   02875 - Assigned
   02876 - Completed
   02877 - Reopened Work Order
   13684 - In Progress</t>
  </si>
  <si>
    <t>Student Full-time Status</t>
  </si>
  <si>
    <t>The status given to a student in relation to the course load that he or she is carrying.</t>
  </si>
  <si>
    <t>0621</t>
  </si>
  <si>
    <t>Full-Time/Part-Time status
   01854 - Full-time student
   01855 - Part-time student</t>
  </si>
  <si>
    <t>Student Growth</t>
  </si>
  <si>
    <t>The difference between scores across two or more assessments that is used to indicate the student''s progress over time in achieving the content measured by the examination.</t>
  </si>
  <si>
    <t>1844</t>
  </si>
  <si>
    <t>Student Level of Tuition Status</t>
  </si>
  <si>
    <t>Information indicating the extent of tuition payment required of a student.</t>
  </si>
  <si>
    <t>0628</t>
  </si>
  <si>
    <t>Tuition Status
   01878 - Full-tuition student
   01879 - Non-tuition student
   01880 - Partial-tuition student</t>
  </si>
  <si>
    <t>Student Progress</t>
  </si>
  <si>
    <t>Progress for a student on given learning standards or objectives. This can be represented in a percentage, narrative or any measure.</t>
  </si>
  <si>
    <t>1846</t>
  </si>
  <si>
    <t>200</t>
  </si>
  <si>
    <t>Student Support Space Type</t>
  </si>
  <si>
    <t>The space designed to provide student support services such as administrative, technical (e.g., guidance and health), and logistical support to facilitate and enhance instruction.</t>
  </si>
  <si>
    <t>0936</t>
  </si>
  <si>
    <t>Student Support Space Type
   02733 - In-school suspension room
   02734 - Nurse's station
   02735 - Health suite
   02736 - Health room lavatory
   02737 - Guidance/counseling room
   02738 - Career center
   02739 - College center
   02740 - Internship center 
   02741 - Student club space
   09999 - Other</t>
  </si>
  <si>
    <t>Substance Abuse Description</t>
  </si>
  <si>
    <t>A description of an instance during which an individual is known to have used licit or illicit drugs (e.g., heroin, amphetamines, barbiturates, prescription drugs, or alcohol) in an amount, frequency, and/or pattern of use that interfered with his or her psychological, physiological, social, and/or academic functioning.</t>
  </si>
  <si>
    <t>0750</t>
  </si>
  <si>
    <t>Substitute Status</t>
  </si>
  <si>
    <t>An indication of an individual's willingness to perform services for an employer on an as-needed basis.</t>
  </si>
  <si>
    <t>0486</t>
  </si>
  <si>
    <t>Substitute Status
   01444 - Willing
   01445 - Not willing
   01446 - Currently substituting</t>
  </si>
  <si>
    <t>Suicide Violation</t>
  </si>
  <si>
    <t>Act or instance of taking one''s own life voluntarily and intentionally.</t>
  </si>
  <si>
    <t>1303</t>
  </si>
  <si>
    <t>Suicide Violation
   04679 - Suicide
   04680 - Attempted suicide
   09999 - Other</t>
  </si>
  <si>
    <t>Supplemental Pay Type</t>
  </si>
  <si>
    <t>An indication of the type of additional monetary compensation to an individual for his or her performance, position, additional duties or responsibilities, professional development or qualification, or extended time of work.</t>
  </si>
  <si>
    <t>0499</t>
  </si>
  <si>
    <t>Supplemental Pay Type
   01470 - Bonus for student performance of school
   01471 - Bonus for student performance of class
   01472 - Merit bonus
   01473 - Hazard pay
   01474 - Locality supplement
   01475 - Position bonus
   01476 - Shortage position supplement
   01477 - Saving bonus
   01478 - Voluntary transfer
   01479 - Bilingual work
   01480 - Co-curricular activities
   01481 - Coaching supplement
   01482 - Curriculum work
   01483 - Department chair
   01484 - Extra-curricular activities
   01485 - General additional duties
   01486 - Longevity
   01487 - Mentoring
   02043 - Special education
   01488 - Technology responsibilities
   01489 - Training
   00715 - Tutoring
   01490 - Advance skill supplement
   01491 - Assessment
   01492 - Certification supplement
   01493 - Credit/course completion supplement
   01494 - Degree supplement
   01495 - Education time
   01496 - Professional affiliation supplement
   01497 - Extended salary
   01498 - Overtime
   00138 - Summer salary
   01499 - Sabbatical
   09999 - Other</t>
  </si>
  <si>
    <t>Surplus Date</t>
  </si>
  <si>
    <t>The date the equipment was put into surplus.</t>
  </si>
  <si>
    <t>1111</t>
  </si>
  <si>
    <t>System Identification Code</t>
  </si>
  <si>
    <t>A unique number or alphanumeric code assigned to a building system or site system by a school, school system, state, or other agency or entity.</t>
  </si>
  <si>
    <t>0910</t>
  </si>
  <si>
    <t>System Type</t>
  </si>
  <si>
    <t>The type of system that is installed in the building or site.</t>
  </si>
  <si>
    <t>0909</t>
  </si>
  <si>
    <t>System Type
   02451 - Plumbing system
   02452 - Electrical system
   02453 - Heating generation system
   02454 - Cooling generation system
   02455 - Air distribution system
   02456 - Communications system
   02457 - Technology wiring
   02458 - Security system
   02459 - Fire protection system
   02460 - Mechanical system
   02461 - Vertical transportation</t>
  </si>
  <si>
    <t>Tax Revenue Type</t>
  </si>
  <si>
    <t>The tax revenue designated for repaying school construction bonds.</t>
  </si>
  <si>
    <t>1024</t>
  </si>
  <si>
    <t>Tax Revenue Type
   02957 - Local property tax
   02958 - City commuter income tax
   02959 - County or city sales tax
   02960 - State property tax
   02961 - State sales tax
   02962 - State personal income tax
   02963 - State corporate income tax
   02964 - State lottery proceeds
   02965 - State alcohol tax
   02966 - State cigarette tax
   02967 - Tobacco settlement revenue
   01561 - Federal income tax
   02968 - Developer impact fees
   09999 - Other</t>
  </si>
  <si>
    <t>Teacher Involvement in Assessment Development</t>
  </si>
  <si>
    <t>The way in which teachers were involved in the development and/or scoring of the assessment.</t>
  </si>
  <si>
    <t>0278</t>
  </si>
  <si>
    <t>Teacher Involvement in Assessment Development
   00453 - Developed items
   00454 - Edited items
   00455 - Piloted items
   00456 - Helped to select items
   00458 - Scored items
   00459 - Instrument selection
   03466 - Test form review
   09998 - None
   09999 - Other</t>
  </si>
  <si>
    <t>Teaching Assignment</t>
  </si>
  <si>
    <t>The teaching field taught by an individual.</t>
  </si>
  <si>
    <t>0436</t>
  </si>
  <si>
    <t>Teaching Field or Area Authorized
   01981 - Preschool/early childhood
   00805 - Kindergarten
   02397 - Primary
   01304 - Elementary
   02400 - Middle
   02403 - Secondary
   00068 - Curriculum and instruction
   00097 - Educational administration
   01183 - Public administration and services
   00302 - School counseling
   00120 - Educational psychology
   01164 - Library science
   01305 - Accounting
   01306 - Business and management
   01307 - Other business
   01163 - Liberal arts and sciences, general studies and humanities
   01308 - English or language arts
   01162 - English language and literature/letters
   01309 - Journalism/communications
   00560 - Reading
   01310 - Speech
   01311 - Architecture or environmental design
   00684 - Dance
   01312 - Drama/Theater
   01313 - Music
   01314 - Visual arts
   02371 - Foreign language and literature
   01315 - Chinese
   01316 - French
   01317 - German
   01318 - Italian
   01319 - Japanese
   01320 - Latin
   01321 - Russian
   01322 - Spanish
   01323 - Other languages
   01324 - Computer science
   01157 - Engineering
   01166 - Mathematics
   01325 - Biology or life science
   01326 - Chemistry
   01327 - Earth/space science/geology
   01328 - General science
   01329 - Health education
   01330 - Physical science
   01331 - Physics
   01332 - Other natural sciences
   01150 - Area, ethnic and cultural studies
   01333 - American Indian/Native American studies
   01334 - Anthropology
   01335 - Civics
   01336 - Economics
   00547 - Geography
   00550 - History
   01337 - Humanities
   01338 - Law
   00558 - Multi/Interdisciplinary studies
   01339 - Philosophy
   01340 - Political science and government
   01181 - Psychology
   01342 - Religion
   00563 - Social studies
   01343 - Sociology
   01344 - Other area or ethnic studies
   01345 - Other social studies/social sciences
   01346 - Basic skills or remedial education
   00251 - Bilingual education
   00256 - English as a second language (ESL)
   00557 - Military science
   00559 - Physical education
   02381 - Gifted and talented
   02043 - Special education
   01348 - Autism
   01349 - Deaf and hard-of-hearing
   01350 - Developmentally delayed
   01351 - Early childhood special education
   01352 - Emotionally disturbed or behavior disorders
   01353 - Learning disabilities
   01354 - Mentally disabled
   01355 - Mildly/moderately disabled
   01357 - Severely/profoundly disabled
   01356 - Orthopedically impaired
   01358 - Speech/language impaired
   01359 - Traumatically brain-injured
   01360 - Visually impaired
   01361 - Other special education
   01362 - Agriculture or natural resources
   01363 - Business/office
   01364 - Career education
   01153 - Communications technologies
   01366 - Cosmetology
   01367 - Family and consumer science (home economics)
   01368 - Food/restaurant skills and services
   01369 - Health professions and occupations
   01370 - Trades and industry (e.g., CADD, electronics repair, mechanics, precision production)
   01371 - Other vocational/technical education
   09999 - Other</t>
  </si>
  <si>
    <t>Teaching Field or Area Authorized</t>
  </si>
  <si>
    <t>An indication of a teaching field within which an individual is authorized to teach by an active teaching credential. In a departmentalized organization, a teaching field is a major subdivision of the educational program such as language arts, mathematics, music, distributive education, or physical education. In a non-departmentalized situation or in a self-contained classroom, a general teaching level such as elementary or secondary may be the most accurate designation of a teaching field.</t>
  </si>
  <si>
    <t>0421</t>
  </si>
  <si>
    <t>Technical Job Classification</t>
  </si>
  <si>
    <t>A general job classification that describes staff that performs tasks requiring a combination of basic scientific knowledge and manual skills which can be obtained through approximately two years of postsecondary education such as that which is offered in community/junior colleges and technical institutes, or through equivalent special study and/or on-the-job training.</t>
  </si>
  <si>
    <t>1162</t>
  </si>
  <si>
    <t>Technology Equipment</t>
  </si>
  <si>
    <t>The type of technology equipment.</t>
  </si>
  <si>
    <t>1085</t>
  </si>
  <si>
    <t>Technology Equipment
   01279 - Computer
   03172 - Computer projector
   03173 - Digital video disk
   03174 - Electronic whiteboard
   03175 - Graphing calculator
   03176 - Laptop/notebook computer
   03177 - Monitor
   03178 - Multimedia computer
   03179 - Overhead opaque projector
   03180 - Overhead transparency projector
   03181 - Personal computer
   03182 - Printer
   03183 - Scanner
   03184 - Server
   03185 - Videoconferencing/distance education equipment
   03186 - Videocassette recorder</t>
  </si>
  <si>
    <t>Technology Equipment Networking</t>
  </si>
  <si>
    <t>The networks to which the technology equipment is connected.</t>
  </si>
  <si>
    <t>1087</t>
  </si>
  <si>
    <t>Technology Equipment Networking
   03190 - Connected to a local-area network (building-level LAN)
   03191 - Connected to a wide-area network (district-level WAN)
   03192 - Directly connected to the Internet</t>
  </si>
  <si>
    <t>Technology Equipment Use Purpose</t>
  </si>
  <si>
    <t>An indication whether a piece of technology equipment is for one specific use purpose.</t>
  </si>
  <si>
    <t>1086</t>
  </si>
  <si>
    <t>Technology Equipment Use/Purpose
   04732 - Teacher
   00126 - Student
   03187 - Administrative staff
   03188 - Support staff
   03189 - General reference
   09999 - Other</t>
  </si>
  <si>
    <t>Technology Skills Assessed</t>
  </si>
  <si>
    <t>An indication that the individual was assessed against the standards-based performance profiles of technology user skills as defined by the state.</t>
  </si>
  <si>
    <t>1417</t>
  </si>
  <si>
    <t>Technology Wiring System Type</t>
  </si>
  <si>
    <t>The means through which voice, video, audio, and data information are conveyed.</t>
  </si>
  <si>
    <t>0893</t>
  </si>
  <si>
    <t>Technology Wiring System
   02502 - Wire cable
   02503 - Fiber optic cable
   02504 - Coaxial cable
   02505 - Wireless
   02506 - Twisted pair
   09999 - Other</t>
  </si>
  <si>
    <t>Telephone Status</t>
  </si>
  <si>
    <t>A description of preferred communication type or special circumstances which affect communication to an individual, organization, or institution via telephone (e.g., no telephone connection, TTY used, no one available to answer the telephone during certain hours).</t>
  </si>
  <si>
    <t>0281</t>
  </si>
  <si>
    <t>Tenure Date</t>
  </si>
  <si>
    <t>The month, day, and year on which an individual obtained tenure.</t>
  </si>
  <si>
    <t>0472</t>
  </si>
  <si>
    <t>Tertiary Disability Type</t>
  </si>
  <si>
    <t>A tertiary disability condition that is identified with an individual, as distinguished from a primary disability.</t>
  </si>
  <si>
    <t>0774</t>
  </si>
  <si>
    <t>Test Score Status</t>
  </si>
  <si>
    <t>The validity and use of the test score.</t>
  </si>
  <si>
    <t>1141</t>
  </si>
  <si>
    <t>Test Score Status
   03446 - Not tested
   03447 - Valid score, used in AYP
   03448 - Valid score, not used in AYP
   03449 - Invalid score, used in AYP
   03450 - Invalid score, not used in AYP</t>
  </si>
  <si>
    <t>Theft Violation</t>
  </si>
  <si>
    <t>The unlawful taking of property belonging to another person or entity (e.g., school) without threat, violence or bodily harm. Electronic theft of data should be coded here. Do not include dealing in stolen goods in this category.</t>
  </si>
  <si>
    <t>1304</t>
  </si>
  <si>
    <t>Theft Violation
   04683 - General theft, Person
   04684 - General theft, Other entity
   09999 - Other</t>
  </si>
  <si>
    <t>Threat/Intimidation Violation</t>
  </si>
  <si>
    <t>Physical, verbal, written, or electronic action which immediately creates fear of harm, without displaying a weapon and without subjecting the victim to actual physical attack.</t>
  </si>
  <si>
    <t>1305</t>
  </si>
  <si>
    <t>Threat/Intimidation Violation
   04687 - Physical threat
   04688 - Verbal threat
   04689 - Written threat
   04690 - Electronic threat
   09999 - Other</t>
  </si>
  <si>
    <t>Time Expended</t>
  </si>
  <si>
    <t>The amount of time relevant to measuring the unit of work in which the individual is engaged. Units of work may be measured in hours, days, weeks, months, or sessions. A painter employed by the hour might be measured by the number of squares (e.g., 10 feet by 10 feet) painted per hour, while a pscyhometrist's efforts would be measured by the number of students assessed per week or per session.</t>
  </si>
  <si>
    <t>0831</t>
  </si>
  <si>
    <t>Time Inside a Regular Classroom</t>
  </si>
  <si>
    <t>TIRC - The percentage of time a student spends inside a regular classroom. To calculate the percentage of time inside the regular classroom, divide the number of hours the student spends inside the regular classroom by the total number of hours in the school day (including lunch, recess and study periods). Time spent outside the regular classroom receiving services unrelated to the youth''s disability (e.g., time receiving LEP services) should be considered time inside the regular classroom.
Educational time spent in age-appropriate community-based settings that include individuals with and without disabilities, such as college campuses or vocational sites, should be counted as time spent inside the regular classroom.</t>
  </si>
  <si>
    <t>1882</t>
  </si>
  <si>
    <t>Time Outside a Regular Classroom</t>
  </si>
  <si>
    <t>TORC - The percentage of time a student spends outside a regular classroom. To calculate the percentage of time outside the regular classroom, divide the number of hours the student spends inside the regular classroom by the total number of hours in the school day (including lunch, recess and study periods).</t>
  </si>
  <si>
    <t>1883</t>
  </si>
  <si>
    <t>Time Period</t>
  </si>
  <si>
    <t>A specific fiscal or calendar year.</t>
  </si>
  <si>
    <t>0563</t>
  </si>
  <si>
    <t>Time Period Classification</t>
  </si>
  <si>
    <t>An indication of the manner in which yearly time periods are accounted for.</t>
  </si>
  <si>
    <t>0562</t>
  </si>
  <si>
    <t>Time Period Classification
   01620 - Calendar year
   01621 - Fiscal year</t>
  </si>
  <si>
    <t>Timetable Day Name</t>
  </si>
  <si>
    <t>The name of the timetable day.</t>
  </si>
  <si>
    <t>1457</t>
  </si>
  <si>
    <t>Timetable Period Identifier</t>
  </si>
  <si>
    <t>The unique identifier for the timetable period for this school calendar.</t>
  </si>
  <si>
    <t>1458</t>
  </si>
  <si>
    <t>Timetable Period Name</t>
  </si>
  <si>
    <t>The name of the timetable period.</t>
  </si>
  <si>
    <t>1459</t>
  </si>
  <si>
    <t>Title I District Status</t>
  </si>
  <si>
    <t>An indication that a district is designated under State and Federal regulations as being a Title I district.</t>
  </si>
  <si>
    <t>1399</t>
  </si>
  <si>
    <t>Title III LEP Instructors Needed in Next 5 Years</t>
  </si>
  <si>
    <t>The estimated number of additional certified/licensed teachers that will be needed for Title III language instruction educational programs in the next 5 years.</t>
  </si>
  <si>
    <t>1865</t>
  </si>
  <si>
    <t>Title III/LEP Instructor Credential Type</t>
  </si>
  <si>
    <t>An indication of the category of credential a LEP instructor holds.</t>
  </si>
  <si>
    <t>1421</t>
  </si>
  <si>
    <t>LEP Instructor Credential Type
   00251 - Bilingual education
   13405 - Both ESL and BE
   13406 - Certified in content areas only
   13407 - Certified in content with ESL/BE professional development training
   00256 - English as a second language (ESL)
   13408 - Not Certified, Licensed, or endorsed in any area</t>
  </si>
  <si>
    <t>Tobacco Violation</t>
  </si>
  <si>
    <t>Possession, use, distribution, or sale of tobacco products.</t>
  </si>
  <si>
    <t>1306</t>
  </si>
  <si>
    <t>Tobacco Violation
   04693 - Sale of tobacco
   04694 - Distribution of tobacco
   04695 - Use of tobacco
   04696 - Possession of tobacco
   04697 - Suspicion of use of tobacco
   09999 - Other</t>
  </si>
  <si>
    <t>Total Assessed Value</t>
  </si>
  <si>
    <t>The total assessed value of property that constitutes the basis for public borrowing.</t>
  </si>
  <si>
    <t>1027</t>
  </si>
  <si>
    <t>Total Capital Expenditure</t>
  </si>
  <si>
    <t>The total expenditures related to the acquisition and disposition of property.</t>
  </si>
  <si>
    <t>1011</t>
  </si>
  <si>
    <t>Total Caseload</t>
  </si>
  <si>
    <t>The total number of children, or children and families, for whom an employee provides services.</t>
  </si>
  <si>
    <t>1278</t>
  </si>
  <si>
    <t>Total Cost of Education to Student</t>
  </si>
  <si>
    <t>The total amount of expenditures required of a student to receive instructional services from an educational institution.</t>
  </si>
  <si>
    <t>0627</t>
  </si>
  <si>
    <t>Total Number of Years of Prior Experience</t>
  </si>
  <si>
    <t>The cumulative total number of years (e.g., 3 years, 2.5 years) an individual has previously held employment.</t>
  </si>
  <si>
    <t>0441</t>
  </si>
  <si>
    <t>Track Identifier</t>
  </si>
  <si>
    <t>The name or description of the track in a year-round school.</t>
  </si>
  <si>
    <t>0286</t>
  </si>
  <si>
    <t>Track In Date</t>
  </si>
  <si>
    <t>The first month, day, and year of the track that instruction is provided to the individual in a year-round school.</t>
  </si>
  <si>
    <t>0287</t>
  </si>
  <si>
    <t>Track Out Date</t>
  </si>
  <si>
    <t>The last month, day, and year of the track that the individual receives instruction in a year-round school.</t>
  </si>
  <si>
    <t>0288</t>
  </si>
  <si>
    <t>Track System</t>
  </si>
  <si>
    <t>An indication of the type of schedule of instruction and vacation periods that are in a year-round school.</t>
  </si>
  <si>
    <t>0841</t>
  </si>
  <si>
    <t>Track System
   02369 - Single-track
   02370 - Multi-track</t>
  </si>
  <si>
    <t>Transcript Course</t>
  </si>
  <si>
    <t>Course is included in student’s transcript.</t>
  </si>
  <si>
    <t>1194</t>
  </si>
  <si>
    <t>Travel Beginning Date</t>
  </si>
  <si>
    <t>The month, day, and year on which an individual embarked on a trip.</t>
  </si>
  <si>
    <t>0448</t>
  </si>
  <si>
    <t>Travel Ending Date</t>
  </si>
  <si>
    <t>The month, day, and year on which an individual returned from a trip.</t>
  </si>
  <si>
    <t>0449</t>
  </si>
  <si>
    <t>Travel Location</t>
  </si>
  <si>
    <t>The city, state and/or country of the destination of a trip taken by an individual.</t>
  </si>
  <si>
    <t>0446</t>
  </si>
  <si>
    <t>Travel Purpose</t>
  </si>
  <si>
    <t>The purpose of a trip taken by an individual.</t>
  </si>
  <si>
    <t>0447</t>
  </si>
  <si>
    <t>Tribal or Clan Name</t>
  </si>
  <si>
    <t>A name borne in common by members of a tribe or clan (e.g., the Matai name in Samoa).</t>
  </si>
  <si>
    <t>0290</t>
  </si>
  <si>
    <t>Tuberculosis Test Procedure</t>
  </si>
  <si>
    <t>An instance in which a controlled amount of tuberculin is applied to an individual to determine the presence or absence of a tuberculosis infection. Examples of specific procedures include the Mantoux test, the patch test, the tine test, and the Von Pirquet test.</t>
  </si>
  <si>
    <t>0776</t>
  </si>
  <si>
    <t>Tuition Payment Amount</t>
  </si>
  <si>
    <t>Payments, charged on a per-term or annual basis, required of a student for instructional services in a program of study.</t>
  </si>
  <si>
    <t>0625</t>
  </si>
  <si>
    <t>Unassigned Space</t>
  </si>
  <si>
    <t>An indication that the space in a school, including circulation, administration offices, support spaces, and common areas, is not part of the calculation for capacity.</t>
  </si>
  <si>
    <t>0949</t>
  </si>
  <si>
    <t>Uncorrected Score/Results</t>
  </si>
  <si>
    <t>A qualitative or quantitative description or indicator of an individual's health status, condition, performance, or assessed ability without the assistance of corrective equipment. This is recorded after a medical examination is performed.</t>
  </si>
  <si>
    <t>0756</t>
  </si>
  <si>
    <t>Uniform Resource Identifier</t>
  </si>
  <si>
    <t>A Uniform Resource Identifier (URI) consists of a string of characters used to identify or name a resource on the Internet. Such identification enables interaction with representations of the resource over a network (typically the World Wide Web) using specific protocols. URIs are defined in schemes specifying a specific syntax and associated protocols.</t>
  </si>
  <si>
    <t>1391</t>
  </si>
  <si>
    <t>Unique Course Code</t>
  </si>
  <si>
    <t>A unique number that identifies the classroom, the subjects taught, and the instructors that are assigned.</t>
  </si>
  <si>
    <t>0292</t>
  </si>
  <si>
    <t>Unique Position Number</t>
  </si>
  <si>
    <t>A unique number that is used for identifying a position within an organization.</t>
  </si>
  <si>
    <t>0484</t>
  </si>
  <si>
    <t>Unit Duration</t>
  </si>
  <si>
    <t>An estimate of the duration of time for the lesson unit.</t>
  </si>
  <si>
    <t>0293</t>
  </si>
  <si>
    <t>Unit Name</t>
  </si>
  <si>
    <t>The name of the lesson unit.</t>
  </si>
  <si>
    <t>0294</t>
  </si>
  <si>
    <t>Unit of Basis for Measurement</t>
  </si>
  <si>
    <t>The cycle of time elements or other basis based on which an amount is calculated.</t>
  </si>
  <si>
    <t>0497</t>
  </si>
  <si>
    <t>Unit of Basis for Measurement
   02310 - Hour
   02354 - Days
   01452 - Half-week
   01453 - Week
   01454 - Two weeks
   01455 - Half-month
   01456 - Month
   01457 - Two months
   02355 - Quarters
   02356 - Summer terms
   01458 - Half-year
   01459 - Year
   01460 - Current pay period
   01461 - Quarter-to-date
   01462 - Year-to-date
   01463 - Inception-to-date
   01464 - Per occasion or job completion
   01465 - Unit
   01466 - Visit
   09999 - Other</t>
  </si>
  <si>
    <t>Unit of Work</t>
  </si>
  <si>
    <t>The number of objects serviced or recipients served by an individual's efforts. Examples of units of work, which form the basis for establishing the measure of an individual's efforts, include students, groups of students, square feet (for cleaners or painters), drops or outlets (for electricians).</t>
  </si>
  <si>
    <t>0830</t>
  </si>
  <si>
    <t>Unlisted Phone Number Status</t>
  </si>
  <si>
    <t>An indication that the telephone number is unlisted.</t>
  </si>
  <si>
    <t>1435</t>
  </si>
  <si>
    <t>Unsafe School Choice Offered Status</t>
  </si>
  <si>
    <t>An indication of whether the student was offered the opportunity to transfer to another school after they were a victim of violence in accordance with Title IX, Part E, Subpart 2, Section 9532.</t>
  </si>
  <si>
    <t>1153</t>
  </si>
  <si>
    <t>Unsafe School Choice Status</t>
  </si>
  <si>
    <t>An indication of whether the student transferred to another school after they were a victim of violence in accordance with Title IX, Part E, Subpart 2, Section 9532.</t>
  </si>
  <si>
    <t>1154</t>
  </si>
  <si>
    <t>Use of Manipulatives</t>
  </si>
  <si>
    <t>A description of the manipulates that are utilized during the assessment (e.g., math tiles, protractors, calculators).</t>
  </si>
  <si>
    <t>0295</t>
  </si>
  <si>
    <t>Use of Reference Materials</t>
  </si>
  <si>
    <t>A description of the reference materials that are utilized during the assessment (e.g., reference sheets, dictionaries, word lists).</t>
  </si>
  <si>
    <t>0296</t>
  </si>
  <si>
    <t>Useful Life</t>
  </si>
  <si>
    <t>The anticipated time (in years) from the time of installation or service that a properly maintained system, component, equipment, or fixture is expected to operate effectively and efficiently.</t>
  </si>
  <si>
    <t>0915</t>
  </si>
  <si>
    <t>Utility Provider Type</t>
  </si>
  <si>
    <t>An indication of how utilities are supplied to a site or a building by a company or provider.</t>
  </si>
  <si>
    <t>0983</t>
  </si>
  <si>
    <t>Utility Provider Type
   02851 - Self-generated
   02852 - Purchased</t>
  </si>
  <si>
    <t>Utility Type</t>
  </si>
  <si>
    <t>The type of utility used in the operation of a facility.</t>
  </si>
  <si>
    <t>0980</t>
  </si>
  <si>
    <t>Baseline Utility Type
   02840 - Electricity
   02841 - Natural gas
   02842 - Oil
   02843 - Water
   02844 - Sewer
   02845 - Telephone
   02990 - Internet service
   13685 - Recycling
   13686 - Waste
   09999 - Other</t>
  </si>
  <si>
    <t>Vandalism Violation</t>
  </si>
  <si>
    <t>Willful destruction or defacement of school or personal property.</t>
  </si>
  <si>
    <t>1307</t>
  </si>
  <si>
    <t>Vandalism Violation
   04701 - Vandalism of school property
   04702 - Vandalism of personal property
   09999 - Other</t>
  </si>
  <si>
    <t>Vehicle Driver's License Expiration Date</t>
  </si>
  <si>
    <t>The month, day, and year on which the individual's vehicle driver's license expires.</t>
  </si>
  <si>
    <t>0488</t>
  </si>
  <si>
    <t>Vehicle Driver's License Type</t>
  </si>
  <si>
    <t>An indication of the type of operator license an individual is required to have in order to operate that type of vehicle/machinery.</t>
  </si>
  <si>
    <t>0487</t>
  </si>
  <si>
    <t>Vehicle Driver's License Type
   01447 - Automobile license
   01448 - School bus license
   01449 - Heavy equipment license
   01450 - Commercial vehicle license
   01451 - Motorcycle license
   09999 - Other</t>
  </si>
  <si>
    <t>Vertical Transportation System</t>
  </si>
  <si>
    <t>The type of system used to convey persons or freight between floors.</t>
  </si>
  <si>
    <t>0897</t>
  </si>
  <si>
    <t>Vertical Transportation System
   02515 - Stairs
   02516 - Elevator
   02517 - Escalator
   09999 - Other</t>
  </si>
  <si>
    <t>Vesting Percentage</t>
  </si>
  <si>
    <t>The current percentage of a benefit plan to which a plan participant has earned a vested interest.</t>
  </si>
  <si>
    <t>0515</t>
  </si>
  <si>
    <t>Victim ID</t>
  </si>
  <si>
    <t>Identifies the victim of the incident, when a student or staff member, by use of a pre-existing school or district unique identifier.</t>
  </si>
  <si>
    <t>1053</t>
  </si>
  <si>
    <t>Virtual District</t>
  </si>
  <si>
    <t>An administrative unit which exists primarily to operate virtual schools or to contract for virtual educational services.</t>
  </si>
  <si>
    <t>1152</t>
  </si>
  <si>
    <t>Vocational education</t>
  </si>
  <si>
    <t>A program of instruction offering a sequence of courses that are directly related to the preparation of individuals for paid or unpaid employment in current or emerging occupations requiring other than a baccalaureate or advanced degree.</t>
  </si>
  <si>
    <t>1286</t>
  </si>
  <si>
    <t>Vocational Education
   04907 - Agriculture
   04908 - Consumer and home making
   04909 - Marketing
   04910 - Health
   04911 - Technology/industrial arts
   04912 - Occupational home economics
   04913 - Business
   04914 - Technical/Vocational
   04915 - Trade and industrial
   04916 - Other vocational education
   09999 - Other</t>
  </si>
  <si>
    <t>Vocational/Technical School</t>
  </si>
  <si>
    <t>A school that focuses primarily on providing formal preparation for semi-skilled, skilled, technical or professional occupations for high school-aged students who have opted to develop or expand their employment opportunities.</t>
  </si>
  <si>
    <t>0297</t>
  </si>
  <si>
    <t>Withdrawal Date</t>
  </si>
  <si>
    <t>The month, day, and year that an individual ceased participating in an educational experience without completing the course, educational program, or staff development activity.</t>
  </si>
  <si>
    <t>0367</t>
  </si>
  <si>
    <t>Witness ID</t>
  </si>
  <si>
    <t>Identifies the witness of the incident by use of a pre-existing unique identifier assigned to a student or staff member by a school or district.</t>
  </si>
  <si>
    <t>1582</t>
  </si>
  <si>
    <t>Work Description</t>
  </si>
  <si>
    <t>A description of the work or occupation in which an individual is currently engaged.</t>
  </si>
  <si>
    <t>0697</t>
  </si>
  <si>
    <t>Work Experience Paid</t>
  </si>
  <si>
    <t>An indication of whether the individual received a salary for work completed.</t>
  </si>
  <si>
    <t>0700</t>
  </si>
  <si>
    <t>Work Experience Paid
   02042 - Yes, a salary was received
   02043 - No, a salary was not received
   09997 - Unknown</t>
  </si>
  <si>
    <t>Work Experience Required</t>
  </si>
  <si>
    <t>An indication of whether the individual's work experience is required for the completion of a program of study or occupational goal.</t>
  </si>
  <si>
    <t>0699</t>
  </si>
  <si>
    <t>Work Experience Required
   01102 - Required
   01103 - Not required
   09997 - Unknown</t>
  </si>
  <si>
    <t>Work Order Date of Completion</t>
  </si>
  <si>
    <t>The month, day, and year that the work order was completed.</t>
  </si>
  <si>
    <t>0994</t>
  </si>
  <si>
    <t>Work Order Date Scheduled</t>
  </si>
  <si>
    <t>The month, day, and year that work is scheduled to take place (not necessarily the date requested).</t>
  </si>
  <si>
    <t>0991</t>
  </si>
  <si>
    <t>Work Order Priority</t>
  </si>
  <si>
    <t>A determination of the urgency of a work order.</t>
  </si>
  <si>
    <t>0990</t>
  </si>
  <si>
    <t>Work Order Priority
   02991 - Emergency priority
   02872 - Regular priority
   02873 - Low priority</t>
  </si>
  <si>
    <t>Work Order Time Scheduled</t>
  </si>
  <si>
    <t>The time that work is scheduled to take place.</t>
  </si>
  <si>
    <t>0992</t>
  </si>
  <si>
    <t>Workforce Program Participation After Exit</t>
  </si>
  <si>
    <t>The type of workforce and employment development program that an individual is participating in after exiting an education program.</t>
  </si>
  <si>
    <t>2155</t>
  </si>
  <si>
    <t>Workforce and Employment Development Program Type
   15180 - Labor Exchange Services
   15181 - Adult Workforce Investment Act Program
   15182 - Dislocated Worker Workforce Investment Act Program
   15183 - Youth Workforce Investment Act Program
   15184 - Job Corps
   15185 - Adult Education and Literacy
   15186 - National Farmworker Jobs Program
   15187 - Indian and Native American Programs
   15188 - Veteran''s Programs
   15189 - Trade Adjustment Assistance Program
   15190 - YouthBuild Program
   15191 - Title V Older Worker Program
   15192 - Registered Apprenticeship
   15193 - Non-traditional Apprenticeship
   15194 - Vocational Rehabilitation
   15195 - Food Stamp Employment and Training Program
   15196 - TANF Employment and Training Program
   15197 - Other On-The-Job training Program
   15198 - Other Workforce Related Employment and Training Program
   15199 - No identified services</t>
  </si>
  <si>
    <t>Year Built</t>
  </si>
  <si>
    <t>The year a building was constructed, as indicated by cornerstone or official government records.</t>
  </si>
  <si>
    <t>0870</t>
  </si>
  <si>
    <t>Year of Last Modernization</t>
  </si>
  <si>
    <t>The most recent year in which a full school modernization was completed.</t>
  </si>
  <si>
    <t>0877</t>
  </si>
  <si>
    <t>Years of Participation</t>
  </si>
  <si>
    <t>The number of years that an individual belonged to an organization or association or served as an elected public official.</t>
  </si>
  <si>
    <t>0453</t>
  </si>
  <si>
    <t>Years of Prior Education Experience</t>
  </si>
  <si>
    <t>The total number of years that an individual has previously held an education position (including positions as a teacher and administrator).</t>
  </si>
  <si>
    <t>0439</t>
  </si>
  <si>
    <t>Years of Prior Related Experience</t>
  </si>
  <si>
    <t>The total number of years of employment in a non-education area related to the field in which an individual is currently employed (e.g. 10 years of employment as an automotive mechanic for an individual teaching automotive in a vocational education program).</t>
  </si>
  <si>
    <t>0440</t>
  </si>
  <si>
    <t>Years of Virtual Teaching Experience</t>
  </si>
  <si>
    <t>The total number of years that an individual has previously held a teaching position in a virtual school or class in one or more education institutions.</t>
  </si>
  <si>
    <t>1149</t>
  </si>
  <si>
    <t>Zip Code Plus-four</t>
  </si>
  <si>
    <t>Four additional digits added to the Zip Code to identify a geographic segment within the five-digit delivery area.</t>
  </si>
  <si>
    <t>1436</t>
  </si>
  <si>
    <t>Zone Number</t>
  </si>
  <si>
    <t>The number assigned to a geographical area for purposes of census enumeration. For a public school census, this number is generally assigned by the local education agency (LEA).</t>
  </si>
  <si>
    <t>0306</t>
  </si>
  <si>
    <t>System</t>
  </si>
  <si>
    <t>Element Number</t>
  </si>
  <si>
    <t>Element Type</t>
  </si>
  <si>
    <t>Field Length</t>
  </si>
  <si>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AS</t>
    </r>
    <r>
      <rPr>
        <sz val="11"/>
        <color theme="1"/>
        <rFont val="Calibri"/>
        <family val="2"/>
        <scheme val="minor"/>
      </rPr>
      <t xml:space="preserve"> - Associate's degree
</t>
    </r>
    <r>
      <rPr>
        <b/>
        <sz val="11"/>
        <color theme="1"/>
        <rFont val="Calibri"/>
        <family val="2"/>
        <scheme val="minor"/>
      </rPr>
      <t>BA</t>
    </r>
    <r>
      <rPr>
        <sz val="11"/>
        <color theme="1"/>
        <rFont val="Calibri"/>
        <family val="2"/>
        <scheme val="minor"/>
      </rPr>
      <t xml:space="preserve"> - Bachelor's degree
</t>
    </r>
    <r>
      <rPr>
        <b/>
        <sz val="11"/>
        <color theme="1"/>
        <rFont val="Calibri"/>
        <family val="2"/>
        <scheme val="minor"/>
      </rPr>
      <t>PB</t>
    </r>
    <r>
      <rPr>
        <sz val="11"/>
        <color theme="1"/>
        <rFont val="Calibri"/>
        <family val="2"/>
        <scheme val="minor"/>
      </rPr>
      <t xml:space="preserve"> - Post-baccalaureate certificate
</t>
    </r>
    <r>
      <rPr>
        <b/>
        <sz val="11"/>
        <color theme="1"/>
        <rFont val="Calibri"/>
        <family val="2"/>
        <scheme val="minor"/>
      </rPr>
      <t>MD</t>
    </r>
    <r>
      <rPr>
        <sz val="11"/>
        <color theme="1"/>
        <rFont val="Calibri"/>
        <family val="2"/>
        <scheme val="minor"/>
      </rPr>
      <t xml:space="preserve"> - Master's degree
</t>
    </r>
    <r>
      <rPr>
        <b/>
        <sz val="11"/>
        <color theme="1"/>
        <rFont val="Calibri"/>
        <family val="2"/>
        <scheme val="minor"/>
      </rPr>
      <t>PM</t>
    </r>
    <r>
      <rPr>
        <sz val="11"/>
        <color theme="1"/>
        <rFont val="Calibri"/>
        <family val="2"/>
        <scheme val="minor"/>
      </rPr>
      <t xml:space="preserve"> - Post-master's certificate
</t>
    </r>
    <r>
      <rPr>
        <b/>
        <sz val="11"/>
        <color theme="1"/>
        <rFont val="Calibri"/>
        <family val="2"/>
        <scheme val="minor"/>
      </rPr>
      <t>DO</t>
    </r>
    <r>
      <rPr>
        <sz val="11"/>
        <color theme="1"/>
        <rFont val="Calibri"/>
        <family val="2"/>
        <scheme val="minor"/>
      </rPr>
      <t xml:space="preserve"> - Doctoral degree
</t>
    </r>
    <r>
      <rPr>
        <b/>
        <sz val="11"/>
        <color theme="1"/>
        <rFont val="Calibri"/>
        <family val="2"/>
        <scheme val="minor"/>
      </rPr>
      <t>PD</t>
    </r>
    <r>
      <rPr>
        <sz val="11"/>
        <color theme="1"/>
        <rFont val="Calibri"/>
        <family val="2"/>
        <scheme val="minor"/>
      </rPr>
      <t xml:space="preserve"> - Post-doctoral certificate
</t>
    </r>
    <r>
      <rPr>
        <b/>
        <sz val="11"/>
        <color theme="1"/>
        <rFont val="Calibri"/>
        <family val="2"/>
        <scheme val="minor"/>
      </rPr>
      <t>AE</t>
    </r>
    <r>
      <rPr>
        <sz val="11"/>
        <color theme="1"/>
        <rFont val="Calibri"/>
        <family val="2"/>
        <scheme val="minor"/>
      </rPr>
      <t xml:space="preserve"> - Adult Education
</t>
    </r>
    <r>
      <rPr>
        <b/>
        <sz val="11"/>
        <color theme="1"/>
        <rFont val="Calibri"/>
        <family val="2"/>
        <scheme val="minor"/>
      </rPr>
      <t>PT</t>
    </r>
    <r>
      <rPr>
        <sz val="11"/>
        <color theme="1"/>
        <rFont val="Calibri"/>
        <family val="2"/>
        <scheme val="minor"/>
      </rPr>
      <t xml:space="preserve"> - Professional or technical credential
</t>
    </r>
    <r>
      <rPr>
        <b/>
        <sz val="11"/>
        <color theme="1"/>
        <rFont val="Calibri"/>
        <family val="2"/>
        <scheme val="minor"/>
      </rPr>
      <t>OT</t>
    </r>
    <r>
      <rPr>
        <sz val="11"/>
        <color theme="1"/>
        <rFont val="Calibri"/>
        <family val="2"/>
        <scheme val="minor"/>
      </rPr>
      <t xml:space="preserve"> - Other
</t>
    </r>
  </si>
</sst>
</file>

<file path=xl/styles.xml><?xml version="1.0" encoding="utf-8"?>
<styleSheet xmlns="http://schemas.openxmlformats.org/spreadsheetml/2006/main">
  <numFmts count="1">
    <numFmt numFmtId="164" formatCode="000000"/>
  </numFmts>
  <fonts count="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rgb="FFFFFFFF"/>
      <name val="Calibri"/>
      <family val="2"/>
      <scheme val="minor"/>
    </font>
    <font>
      <sz val="11"/>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14999847407452621"/>
        <bgColor indexed="64"/>
      </patternFill>
    </fill>
    <fill>
      <patternFill patternType="solid">
        <fgColor rgb="FF682CA3"/>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alignment vertical="top"/>
      <protection locked="0"/>
    </xf>
  </cellStyleXfs>
  <cellXfs count="18">
    <xf numFmtId="0" fontId="0" fillId="0" borderId="0" xfId="0"/>
    <xf numFmtId="0" fontId="16" fillId="33" borderId="10" xfId="0" applyFont="1" applyFill="1" applyBorder="1" applyAlignment="1">
      <alignment horizontal="left" vertical="top" wrapText="1"/>
    </xf>
    <xf numFmtId="164" fontId="16" fillId="33" borderId="10" xfId="0" applyNumberFormat="1" applyFont="1" applyFill="1" applyBorder="1" applyAlignment="1">
      <alignment horizontal="left" vertical="top" wrapText="1"/>
    </xf>
    <xf numFmtId="0" fontId="0" fillId="0" borderId="10" xfId="0" applyBorder="1" applyAlignment="1">
      <alignment vertical="top" wrapText="1"/>
    </xf>
    <xf numFmtId="0" fontId="16" fillId="0" borderId="10" xfId="0" applyFont="1" applyBorder="1" applyAlignment="1">
      <alignment vertical="top" wrapText="1"/>
    </xf>
    <xf numFmtId="0" fontId="18" fillId="0" borderId="10" xfId="42" applyBorder="1" applyAlignment="1" applyProtection="1">
      <alignment vertical="top" wrapText="1"/>
    </xf>
    <xf numFmtId="0" fontId="0" fillId="0" borderId="10" xfId="0" applyBorder="1" applyAlignment="1">
      <alignment vertical="top" wrapText="1"/>
    </xf>
    <xf numFmtId="0" fontId="16" fillId="0" borderId="10" xfId="0" applyFont="1" applyBorder="1" applyAlignment="1">
      <alignment vertical="top" wrapText="1"/>
    </xf>
    <xf numFmtId="0" fontId="0" fillId="0" borderId="0" xfId="0" applyBorder="1"/>
    <xf numFmtId="0" fontId="0" fillId="0" borderId="0" xfId="0" applyBorder="1" applyAlignment="1">
      <alignment vertical="top"/>
    </xf>
    <xf numFmtId="0" fontId="16" fillId="34" borderId="10" xfId="0" applyFont="1" applyFill="1" applyBorder="1" applyAlignment="1">
      <alignment vertical="top" wrapText="1"/>
    </xf>
    <xf numFmtId="49" fontId="16" fillId="34" borderId="10" xfId="0" applyNumberFormat="1" applyFont="1" applyFill="1" applyBorder="1" applyAlignment="1">
      <alignment vertical="top" wrapText="1"/>
    </xf>
    <xf numFmtId="0" fontId="0" fillId="0" borderId="0" xfId="0" applyAlignment="1">
      <alignment vertical="top"/>
    </xf>
    <xf numFmtId="0" fontId="19" fillId="35" borderId="10" xfId="0" applyFont="1" applyFill="1" applyBorder="1" applyAlignment="1">
      <alignment horizontal="center" vertical="center" wrapText="1"/>
    </xf>
    <xf numFmtId="0" fontId="20" fillId="0" borderId="10" xfId="0" applyFont="1" applyFill="1" applyBorder="1" applyAlignment="1">
      <alignment horizontal="left" vertical="top" wrapText="1"/>
    </xf>
    <xf numFmtId="0" fontId="16" fillId="0" borderId="10" xfId="0" applyFont="1" applyBorder="1" applyAlignment="1">
      <alignment vertical="top" wrapText="1"/>
    </xf>
    <xf numFmtId="0" fontId="0" fillId="0" borderId="10" xfId="0" applyBorder="1" applyAlignment="1">
      <alignment vertical="top" wrapText="1"/>
    </xf>
    <xf numFmtId="0" fontId="16" fillId="0" borderId="10" xfId="0" applyFont="1" applyBorder="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ScedCourseCodes.aspx" TargetMode="External"/><Relationship Id="rId2" Type="http://schemas.openxmlformats.org/officeDocument/2006/relationships/hyperlink" Target="languageCodes.aspx" TargetMode="External"/><Relationship Id="rId1" Type="http://schemas.openxmlformats.org/officeDocument/2006/relationships/hyperlink" Target="http://nces.ed.gov/ipeds/cipcode/browse.aspx?y=55"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languageCodes.aspx" TargetMode="External"/><Relationship Id="rId1" Type="http://schemas.openxmlformats.org/officeDocument/2006/relationships/hyperlink" Target="languageCodes.asp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nces.ed.gov/ipeds/cipcode/browse.aspx?y=55"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languageCodes.aspx" TargetMode="External"/><Relationship Id="rId13" Type="http://schemas.openxmlformats.org/officeDocument/2006/relationships/hyperlink" Target="languageCodes.aspx" TargetMode="External"/><Relationship Id="rId3" Type="http://schemas.openxmlformats.org/officeDocument/2006/relationships/hyperlink" Target="languageCodes.aspx" TargetMode="External"/><Relationship Id="rId7" Type="http://schemas.openxmlformats.org/officeDocument/2006/relationships/hyperlink" Target="http://nces.ed.gov/ipeds/cipcode/browse.aspx?y=55" TargetMode="External"/><Relationship Id="rId12" Type="http://schemas.openxmlformats.org/officeDocument/2006/relationships/hyperlink" Target="languageCodes.aspx" TargetMode="External"/><Relationship Id="rId2" Type="http://schemas.openxmlformats.org/officeDocument/2006/relationships/hyperlink" Target="languageCodes.aspx" TargetMode="External"/><Relationship Id="rId16" Type="http://schemas.openxmlformats.org/officeDocument/2006/relationships/printerSettings" Target="../printerSettings/printerSettings1.bin"/><Relationship Id="rId1" Type="http://schemas.openxmlformats.org/officeDocument/2006/relationships/hyperlink" Target="languageCodes.aspx" TargetMode="External"/><Relationship Id="rId6" Type="http://schemas.openxmlformats.org/officeDocument/2006/relationships/hyperlink" Target="http://nces.ed.gov/ipeds/cipcode/browse.aspx?y=55" TargetMode="External"/><Relationship Id="rId11" Type="http://schemas.openxmlformats.org/officeDocument/2006/relationships/hyperlink" Target="languageCodes.aspx" TargetMode="External"/><Relationship Id="rId5" Type="http://schemas.openxmlformats.org/officeDocument/2006/relationships/hyperlink" Target="languageCodes.aspx" TargetMode="External"/><Relationship Id="rId15" Type="http://schemas.openxmlformats.org/officeDocument/2006/relationships/hyperlink" Target="ScedCourseCodes.aspx" TargetMode="External"/><Relationship Id="rId10" Type="http://schemas.openxmlformats.org/officeDocument/2006/relationships/hyperlink" Target="languageCodes.aspx" TargetMode="External"/><Relationship Id="rId4" Type="http://schemas.openxmlformats.org/officeDocument/2006/relationships/hyperlink" Target="languageCodes.aspx" TargetMode="External"/><Relationship Id="rId9" Type="http://schemas.openxmlformats.org/officeDocument/2006/relationships/hyperlink" Target="languageCodes.aspx" TargetMode="External"/><Relationship Id="rId14" Type="http://schemas.openxmlformats.org/officeDocument/2006/relationships/hyperlink" Target="languageCodes.asp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languageCodes.aspx" TargetMode="External"/><Relationship Id="rId13" Type="http://schemas.openxmlformats.org/officeDocument/2006/relationships/hyperlink" Target="languageCodes.aspx" TargetMode="External"/><Relationship Id="rId18" Type="http://schemas.openxmlformats.org/officeDocument/2006/relationships/hyperlink" Target="http://nces.ed.gov/ipeds/cipcode/browse.aspx?y=55" TargetMode="External"/><Relationship Id="rId26" Type="http://schemas.openxmlformats.org/officeDocument/2006/relationships/hyperlink" Target="languageCodes.aspx" TargetMode="External"/><Relationship Id="rId3" Type="http://schemas.openxmlformats.org/officeDocument/2006/relationships/hyperlink" Target="languageCodes.aspx" TargetMode="External"/><Relationship Id="rId21" Type="http://schemas.openxmlformats.org/officeDocument/2006/relationships/hyperlink" Target="http://nces.ed.gov/ipeds/cipcode/browse.aspx?y=55" TargetMode="External"/><Relationship Id="rId34" Type="http://schemas.openxmlformats.org/officeDocument/2006/relationships/hyperlink" Target="languageCodes.aspx" TargetMode="External"/><Relationship Id="rId7" Type="http://schemas.openxmlformats.org/officeDocument/2006/relationships/hyperlink" Target="ScedCourseCodes.aspx" TargetMode="External"/><Relationship Id="rId12" Type="http://schemas.openxmlformats.org/officeDocument/2006/relationships/hyperlink" Target="languageCodes.aspx" TargetMode="External"/><Relationship Id="rId17" Type="http://schemas.openxmlformats.org/officeDocument/2006/relationships/hyperlink" Target="languageCodes.aspx" TargetMode="External"/><Relationship Id="rId25" Type="http://schemas.openxmlformats.org/officeDocument/2006/relationships/hyperlink" Target="languageCodes.aspx" TargetMode="External"/><Relationship Id="rId33" Type="http://schemas.openxmlformats.org/officeDocument/2006/relationships/hyperlink" Target="languageCodes.aspx" TargetMode="External"/><Relationship Id="rId2" Type="http://schemas.openxmlformats.org/officeDocument/2006/relationships/hyperlink" Target="languageCodes.aspx" TargetMode="External"/><Relationship Id="rId16" Type="http://schemas.openxmlformats.org/officeDocument/2006/relationships/hyperlink" Target="languageCodes.aspx" TargetMode="External"/><Relationship Id="rId20" Type="http://schemas.openxmlformats.org/officeDocument/2006/relationships/hyperlink" Target="languageCodes.aspx" TargetMode="External"/><Relationship Id="rId29" Type="http://schemas.openxmlformats.org/officeDocument/2006/relationships/hyperlink" Target="languageCodes.aspx" TargetMode="External"/><Relationship Id="rId1" Type="http://schemas.openxmlformats.org/officeDocument/2006/relationships/hyperlink" Target="languageCodes.aspx" TargetMode="External"/><Relationship Id="rId6" Type="http://schemas.openxmlformats.org/officeDocument/2006/relationships/hyperlink" Target="languageCodes.aspx" TargetMode="External"/><Relationship Id="rId11" Type="http://schemas.openxmlformats.org/officeDocument/2006/relationships/hyperlink" Target="languageCodes.aspx" TargetMode="External"/><Relationship Id="rId24" Type="http://schemas.openxmlformats.org/officeDocument/2006/relationships/hyperlink" Target="languageCodes.aspx" TargetMode="External"/><Relationship Id="rId32" Type="http://schemas.openxmlformats.org/officeDocument/2006/relationships/hyperlink" Target="languageCodes.aspx" TargetMode="External"/><Relationship Id="rId37" Type="http://schemas.openxmlformats.org/officeDocument/2006/relationships/hyperlink" Target="languageCodes.aspx" TargetMode="External"/><Relationship Id="rId5" Type="http://schemas.openxmlformats.org/officeDocument/2006/relationships/hyperlink" Target="languageCodes.aspx" TargetMode="External"/><Relationship Id="rId15" Type="http://schemas.openxmlformats.org/officeDocument/2006/relationships/hyperlink" Target="languageCodes.aspx" TargetMode="External"/><Relationship Id="rId23" Type="http://schemas.openxmlformats.org/officeDocument/2006/relationships/hyperlink" Target="ScedCourseCodes.aspx" TargetMode="External"/><Relationship Id="rId28" Type="http://schemas.openxmlformats.org/officeDocument/2006/relationships/hyperlink" Target="languageCodes.aspx" TargetMode="External"/><Relationship Id="rId36" Type="http://schemas.openxmlformats.org/officeDocument/2006/relationships/hyperlink" Target="languageCodes.aspx" TargetMode="External"/><Relationship Id="rId10" Type="http://schemas.openxmlformats.org/officeDocument/2006/relationships/hyperlink" Target="languageCodes.aspx" TargetMode="External"/><Relationship Id="rId19" Type="http://schemas.openxmlformats.org/officeDocument/2006/relationships/hyperlink" Target="http://nces.ed.gov/ipeds/cipcode/browse.aspx?y=55" TargetMode="External"/><Relationship Id="rId31" Type="http://schemas.openxmlformats.org/officeDocument/2006/relationships/hyperlink" Target="languageCodes.aspx" TargetMode="External"/><Relationship Id="rId4" Type="http://schemas.openxmlformats.org/officeDocument/2006/relationships/hyperlink" Target="languageCodes.aspx" TargetMode="External"/><Relationship Id="rId9" Type="http://schemas.openxmlformats.org/officeDocument/2006/relationships/hyperlink" Target="languageCodes.aspx" TargetMode="External"/><Relationship Id="rId14" Type="http://schemas.openxmlformats.org/officeDocument/2006/relationships/hyperlink" Target="languageCodes.aspx" TargetMode="External"/><Relationship Id="rId22" Type="http://schemas.openxmlformats.org/officeDocument/2006/relationships/hyperlink" Target="languageCodes.aspx" TargetMode="External"/><Relationship Id="rId27" Type="http://schemas.openxmlformats.org/officeDocument/2006/relationships/hyperlink" Target="languageCodes.aspx" TargetMode="External"/><Relationship Id="rId30" Type="http://schemas.openxmlformats.org/officeDocument/2006/relationships/hyperlink" Target="languageCodes.aspx" TargetMode="External"/><Relationship Id="rId35" Type="http://schemas.openxmlformats.org/officeDocument/2006/relationships/hyperlink" Target="languageCodes.asp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237"/>
  <sheetViews>
    <sheetView tabSelected="1" workbookViewId="0">
      <pane ySplit="1" topLeftCell="A2" activePane="bottomLeft" state="frozen"/>
      <selection pane="bottomLeft" activeCell="A2" sqref="A2"/>
    </sheetView>
  </sheetViews>
  <sheetFormatPr defaultRowHeight="15"/>
  <cols>
    <col min="1" max="5" width="36.5703125" style="9" bestFit="1" customWidth="1"/>
    <col min="6" max="6" width="11.140625" style="9" bestFit="1" customWidth="1"/>
    <col min="7" max="9" width="36.5703125" style="9" bestFit="1" customWidth="1"/>
    <col min="10" max="10" width="9" style="9" bestFit="1" customWidth="1"/>
    <col min="11" max="12" width="36.5703125" style="9" bestFit="1" customWidth="1"/>
    <col min="13" max="13" width="57" style="9" customWidth="1"/>
    <col min="14" max="14" width="31.85546875" style="9" customWidth="1"/>
    <col min="15" max="16384" width="9.140625" style="9"/>
  </cols>
  <sheetData>
    <row r="1" spans="1:14" s="8" customFormat="1" ht="30">
      <c r="A1" s="1" t="s">
        <v>6697</v>
      </c>
      <c r="B1" s="1" t="s">
        <v>6698</v>
      </c>
      <c r="C1" s="1" t="s">
        <v>6699</v>
      </c>
      <c r="D1" s="1" t="s">
        <v>6700</v>
      </c>
      <c r="E1" s="1" t="s">
        <v>6710</v>
      </c>
      <c r="F1" s="1" t="s">
        <v>6701</v>
      </c>
      <c r="G1" s="1" t="s">
        <v>6702</v>
      </c>
      <c r="H1" s="1" t="s">
        <v>6703</v>
      </c>
      <c r="I1" s="1" t="s">
        <v>6704</v>
      </c>
      <c r="J1" s="2" t="s">
        <v>6705</v>
      </c>
      <c r="K1" s="1" t="s">
        <v>6706</v>
      </c>
      <c r="L1" s="1" t="s">
        <v>6707</v>
      </c>
      <c r="M1" s="1" t="s">
        <v>6708</v>
      </c>
      <c r="N1" s="1" t="s">
        <v>6709</v>
      </c>
    </row>
    <row r="2" spans="1:14" ht="375">
      <c r="A2" s="3" t="s">
        <v>51</v>
      </c>
      <c r="B2" s="3" t="s">
        <v>52</v>
      </c>
      <c r="C2" s="4" t="s">
        <v>6350</v>
      </c>
      <c r="D2" s="3" t="s">
        <v>53</v>
      </c>
      <c r="E2" s="3"/>
      <c r="F2" s="3" t="s">
        <v>54</v>
      </c>
      <c r="G2" s="3"/>
      <c r="H2" s="3"/>
      <c r="I2" s="3"/>
      <c r="J2" s="3" t="s">
        <v>55</v>
      </c>
      <c r="K2" s="3"/>
      <c r="L2" s="3" t="s">
        <v>56</v>
      </c>
      <c r="M2" s="3" t="str">
        <f>HYPERLINK("https://ceds.ed.gov/cedselementdetails.aspx?termid=6243")</f>
        <v>https://ceds.ed.gov/cedselementdetails.aspx?termid=6243</v>
      </c>
      <c r="N2" s="3" t="str">
        <f>HYPERLINK("https://ceds.ed.gov/elementComment.aspx?elementName=Accommodations Needed Type &amp;elementID=6243", "Click here to submit comment")</f>
        <v>Click here to submit comment</v>
      </c>
    </row>
    <row r="3" spans="1:14" ht="409.5">
      <c r="A3" s="3" t="s">
        <v>296</v>
      </c>
      <c r="B3" s="3" t="s">
        <v>297</v>
      </c>
      <c r="C3" s="4" t="s">
        <v>6369</v>
      </c>
      <c r="D3" s="3" t="s">
        <v>5982</v>
      </c>
      <c r="E3" s="3"/>
      <c r="F3" s="3" t="s">
        <v>54</v>
      </c>
      <c r="G3" s="3" t="s">
        <v>106</v>
      </c>
      <c r="H3" s="3"/>
      <c r="I3" s="3"/>
      <c r="J3" s="3" t="s">
        <v>298</v>
      </c>
      <c r="K3" s="3" t="s">
        <v>299</v>
      </c>
      <c r="L3" s="3" t="s">
        <v>300</v>
      </c>
      <c r="M3" s="3" t="str">
        <f>HYPERLINK("https://ceds.ed.gov/cedselementdetails.aspx?termid=6244")</f>
        <v>https://ceds.ed.gov/cedselementdetails.aspx?termid=6244</v>
      </c>
      <c r="N3" s="3" t="str">
        <f>HYPERLINK("https://ceds.ed.gov/elementComment.aspx?elementName=Advanced Placement Course Code &amp;elementID=6244", "Click here to submit comment")</f>
        <v>Click here to submit comment</v>
      </c>
    </row>
    <row r="4" spans="1:14" ht="60">
      <c r="A4" s="3" t="s">
        <v>312</v>
      </c>
      <c r="B4" s="3" t="s">
        <v>313</v>
      </c>
      <c r="C4" s="3" t="s">
        <v>13</v>
      </c>
      <c r="D4" s="3" t="s">
        <v>314</v>
      </c>
      <c r="E4" s="3"/>
      <c r="F4" s="3" t="s">
        <v>54</v>
      </c>
      <c r="G4" s="3" t="s">
        <v>100</v>
      </c>
      <c r="H4" s="3"/>
      <c r="I4" s="3"/>
      <c r="J4" s="3" t="s">
        <v>315</v>
      </c>
      <c r="K4" s="3"/>
      <c r="L4" s="3" t="s">
        <v>316</v>
      </c>
      <c r="M4" s="3" t="str">
        <f>HYPERLINK("https://ceds.ed.gov/cedselementdetails.aspx?termid=6246")</f>
        <v>https://ceds.ed.gov/cedselementdetails.aspx?termid=6246</v>
      </c>
      <c r="N4" s="3" t="str">
        <f>HYPERLINK("https://ceds.ed.gov/elementComment.aspx?elementName=Agency Course Identifier &amp;elementID=6246", "Click here to submit comment")</f>
        <v>Click here to submit comment</v>
      </c>
    </row>
    <row r="5" spans="1:14" ht="60">
      <c r="A5" s="3" t="s">
        <v>317</v>
      </c>
      <c r="B5" s="3" t="s">
        <v>318</v>
      </c>
      <c r="C5" s="3" t="s">
        <v>13</v>
      </c>
      <c r="D5" s="3" t="s">
        <v>5983</v>
      </c>
      <c r="E5" s="3"/>
      <c r="F5" s="3" t="s">
        <v>54</v>
      </c>
      <c r="G5" s="3" t="s">
        <v>319</v>
      </c>
      <c r="H5" s="3"/>
      <c r="I5" s="3"/>
      <c r="J5" s="3" t="s">
        <v>320</v>
      </c>
      <c r="K5" s="3"/>
      <c r="L5" s="3" t="s">
        <v>321</v>
      </c>
      <c r="M5" s="3" t="str">
        <f>HYPERLINK("https://ceds.ed.gov/cedselementdetails.aspx?termid=6247")</f>
        <v>https://ceds.ed.gov/cedselementdetails.aspx?termid=6247</v>
      </c>
      <c r="N5" s="3" t="str">
        <f>HYPERLINK("https://ceds.ed.gov/elementComment.aspx?elementName=Allergy Reaction Description &amp;elementID=6247", "Click here to submit comment")</f>
        <v>Click here to submit comment</v>
      </c>
    </row>
    <row r="6" spans="1:14" ht="60">
      <c r="A6" s="3" t="s">
        <v>322</v>
      </c>
      <c r="B6" s="3" t="s">
        <v>323</v>
      </c>
      <c r="C6" s="3" t="s">
        <v>5984</v>
      </c>
      <c r="D6" s="3" t="s">
        <v>5983</v>
      </c>
      <c r="E6" s="3"/>
      <c r="F6" s="3" t="s">
        <v>54</v>
      </c>
      <c r="G6" s="3"/>
      <c r="H6" s="3"/>
      <c r="I6" s="3"/>
      <c r="J6" s="3" t="s">
        <v>324</v>
      </c>
      <c r="K6" s="3"/>
      <c r="L6" s="3" t="s">
        <v>325</v>
      </c>
      <c r="M6" s="3" t="str">
        <f>HYPERLINK("https://ceds.ed.gov/cedselementdetails.aspx?termid=6248")</f>
        <v>https://ceds.ed.gov/cedselementdetails.aspx?termid=6248</v>
      </c>
      <c r="N6" s="3" t="str">
        <f>HYPERLINK("https://ceds.ed.gov/elementComment.aspx?elementName=Allergy Severity &amp;elementID=6248", "Click here to submit comment")</f>
        <v>Click here to submit comment</v>
      </c>
    </row>
    <row r="7" spans="1:14" ht="409.5">
      <c r="A7" s="3" t="s">
        <v>326</v>
      </c>
      <c r="B7" s="3" t="s">
        <v>327</v>
      </c>
      <c r="C7" s="4" t="s">
        <v>6370</v>
      </c>
      <c r="D7" s="3" t="s">
        <v>5983</v>
      </c>
      <c r="E7" s="3"/>
      <c r="F7" s="3" t="s">
        <v>54</v>
      </c>
      <c r="G7" s="3"/>
      <c r="H7" s="3"/>
      <c r="I7" s="3" t="s">
        <v>328</v>
      </c>
      <c r="J7" s="3" t="s">
        <v>329</v>
      </c>
      <c r="K7" s="3"/>
      <c r="L7" s="3" t="s">
        <v>330</v>
      </c>
      <c r="M7" s="3" t="str">
        <f>HYPERLINK("https://ceds.ed.gov/cedselementdetails.aspx?termid=6249")</f>
        <v>https://ceds.ed.gov/cedselementdetails.aspx?termid=6249</v>
      </c>
      <c r="N7" s="3" t="str">
        <f>HYPERLINK("https://ceds.ed.gov/elementComment.aspx?elementName=Allergy Type &amp;elementID=6249", "Click here to submit comment")</f>
        <v>Click here to submit comment</v>
      </c>
    </row>
    <row r="8" spans="1:14" ht="75">
      <c r="A8" s="3" t="s">
        <v>912</v>
      </c>
      <c r="B8" s="3" t="s">
        <v>913</v>
      </c>
      <c r="C8" s="3" t="s">
        <v>13</v>
      </c>
      <c r="D8" s="3" t="s">
        <v>6016</v>
      </c>
      <c r="E8" s="3"/>
      <c r="F8" s="3" t="s">
        <v>54</v>
      </c>
      <c r="G8" s="3" t="s">
        <v>319</v>
      </c>
      <c r="H8" s="3"/>
      <c r="I8" s="3" t="s">
        <v>914</v>
      </c>
      <c r="J8" s="3" t="s">
        <v>915</v>
      </c>
      <c r="K8" s="3"/>
      <c r="L8" s="3" t="s">
        <v>916</v>
      </c>
      <c r="M8" s="3" t="str">
        <f>HYPERLINK("https://ceds.ed.gov/cedselementdetails.aspx?termid=6250")</f>
        <v>https://ceds.ed.gov/cedselementdetails.aspx?termid=6250</v>
      </c>
      <c r="N8" s="3" t="str">
        <f>HYPERLINK("https://ceds.ed.gov/elementComment.aspx?elementName=Assessment Item Result XML &amp;elementID=6250", "Click here to submit comment")</f>
        <v>Click here to submit comment</v>
      </c>
    </row>
    <row r="9" spans="1:14" ht="165">
      <c r="A9" s="3" t="s">
        <v>1487</v>
      </c>
      <c r="B9" s="3" t="s">
        <v>1488</v>
      </c>
      <c r="C9" s="4" t="s">
        <v>6410</v>
      </c>
      <c r="D9" s="3" t="s">
        <v>6081</v>
      </c>
      <c r="E9" s="3"/>
      <c r="F9" s="3" t="s">
        <v>54</v>
      </c>
      <c r="G9" s="3"/>
      <c r="H9" s="3"/>
      <c r="I9" s="3" t="s">
        <v>1489</v>
      </c>
      <c r="J9" s="3" t="s">
        <v>1490</v>
      </c>
      <c r="K9" s="3"/>
      <c r="L9" s="3" t="s">
        <v>1491</v>
      </c>
      <c r="M9" s="3" t="str">
        <f>HYPERLINK("https://ceds.ed.gov/cedselementdetails.aspx?termid=6253")</f>
        <v>https://ceds.ed.gov/cedselementdetails.aspx?termid=6253</v>
      </c>
      <c r="N9" s="3" t="str">
        <f>HYPERLINK("https://ceds.ed.gov/elementComment.aspx?elementName=Blended Learning Model Type &amp;elementID=6253", "Click here to submit comment")</f>
        <v>Click here to submit comment</v>
      </c>
    </row>
    <row r="10" spans="1:14" ht="90">
      <c r="A10" s="3" t="s">
        <v>1562</v>
      </c>
      <c r="B10" s="3" t="s">
        <v>1563</v>
      </c>
      <c r="C10" s="3" t="s">
        <v>5963</v>
      </c>
      <c r="D10" s="3" t="s">
        <v>6086</v>
      </c>
      <c r="E10" s="3"/>
      <c r="F10" s="3" t="s">
        <v>54</v>
      </c>
      <c r="G10" s="3"/>
      <c r="H10" s="3"/>
      <c r="I10" s="3"/>
      <c r="J10" s="3" t="s">
        <v>1564</v>
      </c>
      <c r="K10" s="3" t="s">
        <v>1565</v>
      </c>
      <c r="L10" s="3" t="s">
        <v>1566</v>
      </c>
      <c r="M10" s="3" t="str">
        <f>HYPERLINK("https://ceds.ed.gov/cedselementdetails.aspx?termid=6284")</f>
        <v>https://ceds.ed.gov/cedselementdetails.aspx?termid=6284</v>
      </c>
      <c r="N10" s="3" t="str">
        <f>HYPERLINK("https://ceds.ed.gov/elementComment.aspx?elementName=Career and Technical Education Instructor Industry Certification &amp;elementID=6284", "Click here to submit comment")</f>
        <v>Click here to submit comment</v>
      </c>
    </row>
    <row r="11" spans="1:14" ht="360">
      <c r="A11" s="3" t="s">
        <v>1577</v>
      </c>
      <c r="B11" s="3" t="s">
        <v>1578</v>
      </c>
      <c r="C11" s="4" t="s">
        <v>6415</v>
      </c>
      <c r="D11" s="3" t="s">
        <v>6088</v>
      </c>
      <c r="E11" s="3"/>
      <c r="F11" s="3" t="s">
        <v>54</v>
      </c>
      <c r="G11" s="3"/>
      <c r="H11" s="3"/>
      <c r="I11" s="3" t="s">
        <v>1579</v>
      </c>
      <c r="J11" s="3" t="s">
        <v>1580</v>
      </c>
      <c r="K11" s="3"/>
      <c r="L11" s="3" t="s">
        <v>1581</v>
      </c>
      <c r="M11" s="3" t="str">
        <f>HYPERLINK("https://ceds.ed.gov/cedselementdetails.aspx?termid=6254")</f>
        <v>https://ceds.ed.gov/cedselementdetails.aspx?termid=6254</v>
      </c>
      <c r="N11" s="3" t="str">
        <f>HYPERLINK("https://ceds.ed.gov/elementComment.aspx?elementName=Career Cluster &amp;elementID=6254", "Click here to submit comment")</f>
        <v>Click here to submit comment</v>
      </c>
    </row>
    <row r="12" spans="1:14" ht="150">
      <c r="A12" s="3" t="s">
        <v>1582</v>
      </c>
      <c r="B12" s="3" t="s">
        <v>1583</v>
      </c>
      <c r="C12" s="3" t="s">
        <v>13</v>
      </c>
      <c r="D12" s="3" t="s">
        <v>6089</v>
      </c>
      <c r="E12" s="3"/>
      <c r="F12" s="3" t="s">
        <v>54</v>
      </c>
      <c r="G12" s="3" t="s">
        <v>73</v>
      </c>
      <c r="H12" s="3"/>
      <c r="I12" s="3"/>
      <c r="J12" s="3" t="s">
        <v>1584</v>
      </c>
      <c r="K12" s="3"/>
      <c r="L12" s="3" t="s">
        <v>1585</v>
      </c>
      <c r="M12" s="3" t="str">
        <f>HYPERLINK("https://ceds.ed.gov/cedselementdetails.aspx?termid=6255")</f>
        <v>https://ceds.ed.gov/cedselementdetails.aspx?termid=6255</v>
      </c>
      <c r="N12" s="3" t="str">
        <f>HYPERLINK("https://ceds.ed.gov/elementComment.aspx?elementName=Career Education Plan Date &amp;elementID=6255", "Click here to submit comment")</f>
        <v>Click here to submit comment</v>
      </c>
    </row>
    <row r="13" spans="1:14" ht="150">
      <c r="A13" s="3" t="s">
        <v>1586</v>
      </c>
      <c r="B13" s="3" t="s">
        <v>1587</v>
      </c>
      <c r="C13" s="4" t="s">
        <v>6416</v>
      </c>
      <c r="D13" s="3" t="s">
        <v>6089</v>
      </c>
      <c r="E13" s="3"/>
      <c r="F13" s="3" t="s">
        <v>54</v>
      </c>
      <c r="G13" s="3"/>
      <c r="H13" s="3"/>
      <c r="I13" s="3"/>
      <c r="J13" s="3" t="s">
        <v>1588</v>
      </c>
      <c r="K13" s="3"/>
      <c r="L13" s="3" t="s">
        <v>1589</v>
      </c>
      <c r="M13" s="3" t="str">
        <f>HYPERLINK("https://ceds.ed.gov/cedselementdetails.aspx?termid=6256")</f>
        <v>https://ceds.ed.gov/cedselementdetails.aspx?termid=6256</v>
      </c>
      <c r="N13" s="3" t="str">
        <f>HYPERLINK("https://ceds.ed.gov/elementComment.aspx?elementName=Career Education Plan Type &amp;elementID=6256", "Click here to submit comment")</f>
        <v>Click here to submit comment</v>
      </c>
    </row>
    <row r="14" spans="1:14" ht="75">
      <c r="A14" s="3" t="s">
        <v>1590</v>
      </c>
      <c r="B14" s="3" t="s">
        <v>1591</v>
      </c>
      <c r="C14" s="3" t="s">
        <v>5963</v>
      </c>
      <c r="D14" s="3" t="s">
        <v>6090</v>
      </c>
      <c r="E14" s="3"/>
      <c r="F14" s="3" t="s">
        <v>54</v>
      </c>
      <c r="G14" s="3"/>
      <c r="H14" s="3"/>
      <c r="I14" s="3"/>
      <c r="J14" s="3" t="s">
        <v>1592</v>
      </c>
      <c r="K14" s="3"/>
      <c r="L14" s="3" t="s">
        <v>1593</v>
      </c>
      <c r="M14" s="3" t="str">
        <f>HYPERLINK("https://ceds.ed.gov/cedselementdetails.aspx?termid=6257")</f>
        <v>https://ceds.ed.gov/cedselementdetails.aspx?termid=6257</v>
      </c>
      <c r="N14" s="3" t="str">
        <f>HYPERLINK("https://ceds.ed.gov/elementComment.aspx?elementName=Career Pathways Program Participation Indicator &amp;elementID=6257", "Click here to submit comment")</f>
        <v>Click here to submit comment</v>
      </c>
    </row>
    <row r="15" spans="1:14" ht="90">
      <c r="A15" s="3" t="s">
        <v>1610</v>
      </c>
      <c r="B15" s="3" t="s">
        <v>1611</v>
      </c>
      <c r="C15" s="4" t="s">
        <v>6419</v>
      </c>
      <c r="D15" s="3" t="s">
        <v>224</v>
      </c>
      <c r="E15" s="3"/>
      <c r="F15" s="3" t="s">
        <v>54</v>
      </c>
      <c r="G15" s="3"/>
      <c r="H15" s="3"/>
      <c r="I15" s="3"/>
      <c r="J15" s="3" t="s">
        <v>1612</v>
      </c>
      <c r="K15" s="3"/>
      <c r="L15" s="3" t="s">
        <v>1613</v>
      </c>
      <c r="M15" s="3" t="str">
        <f>HYPERLINK("https://ceds.ed.gov/cedselementdetails.aspx?termid=6258")</f>
        <v>https://ceds.ed.gov/cedselementdetails.aspx?termid=6258</v>
      </c>
      <c r="N15" s="3" t="str">
        <f>HYPERLINK("https://ceds.ed.gov/elementComment.aspx?elementName=Charter School Approval Agency Type &amp;elementID=6258", "Click here to submit comment")</f>
        <v>Click here to submit comment</v>
      </c>
    </row>
    <row r="16" spans="1:14" ht="30">
      <c r="A16" s="3" t="s">
        <v>1614</v>
      </c>
      <c r="B16" s="3" t="s">
        <v>1615</v>
      </c>
      <c r="C16" s="3" t="s">
        <v>13</v>
      </c>
      <c r="D16" s="3" t="s">
        <v>224</v>
      </c>
      <c r="E16" s="3"/>
      <c r="F16" s="3" t="s">
        <v>54</v>
      </c>
      <c r="G16" s="3" t="s">
        <v>1616</v>
      </c>
      <c r="H16" s="3"/>
      <c r="I16" s="3"/>
      <c r="J16" s="3" t="s">
        <v>1617</v>
      </c>
      <c r="K16" s="3"/>
      <c r="L16" s="3" t="s">
        <v>1618</v>
      </c>
      <c r="M16" s="3" t="str">
        <f>HYPERLINK("https://ceds.ed.gov/cedselementdetails.aspx?termid=6259")</f>
        <v>https://ceds.ed.gov/cedselementdetails.aspx?termid=6259</v>
      </c>
      <c r="N16" s="3" t="str">
        <f>HYPERLINK("https://ceds.ed.gov/elementComment.aspx?elementName=Charter School Approval Year &amp;elementID=6259", "Click here to submit comment")</f>
        <v>Click here to submit comment</v>
      </c>
    </row>
    <row r="17" spans="1:14" ht="45">
      <c r="A17" s="3" t="s">
        <v>1642</v>
      </c>
      <c r="B17" s="3" t="s">
        <v>1643</v>
      </c>
      <c r="C17" s="3" t="s">
        <v>5963</v>
      </c>
      <c r="D17" s="3" t="s">
        <v>1644</v>
      </c>
      <c r="E17" s="3"/>
      <c r="F17" s="3" t="s">
        <v>54</v>
      </c>
      <c r="G17" s="3"/>
      <c r="H17" s="3"/>
      <c r="I17" s="3"/>
      <c r="J17" s="3" t="s">
        <v>1645</v>
      </c>
      <c r="K17" s="3" t="s">
        <v>1646</v>
      </c>
      <c r="L17" s="3" t="s">
        <v>1647</v>
      </c>
      <c r="M17" s="3" t="str">
        <f>HYPERLINK("https://ceds.ed.gov/cedselementdetails.aspx?termid=6476")</f>
        <v>https://ceds.ed.gov/cedselementdetails.aspx?termid=6476</v>
      </c>
      <c r="N17" s="3" t="str">
        <f>HYPERLINK("https://ceds.ed.gov/elementComment.aspx?elementName=Child Outcomes Summary Progress A Indicator &amp;elementID=6476", "Click here to submit comment")</f>
        <v>Click here to submit comment</v>
      </c>
    </row>
    <row r="18" spans="1:14" ht="60">
      <c r="A18" s="3" t="s">
        <v>1648</v>
      </c>
      <c r="B18" s="3" t="s">
        <v>1649</v>
      </c>
      <c r="C18" s="3" t="s">
        <v>5963</v>
      </c>
      <c r="D18" s="3" t="s">
        <v>1644</v>
      </c>
      <c r="E18" s="3"/>
      <c r="F18" s="3" t="s">
        <v>54</v>
      </c>
      <c r="G18" s="3"/>
      <c r="H18" s="3"/>
      <c r="I18" s="3"/>
      <c r="J18" s="3" t="s">
        <v>1650</v>
      </c>
      <c r="K18" s="3" t="s">
        <v>1651</v>
      </c>
      <c r="L18" s="3" t="s">
        <v>1652</v>
      </c>
      <c r="M18" s="3" t="str">
        <f>HYPERLINK("https://ceds.ed.gov/cedselementdetails.aspx?termid=6477")</f>
        <v>https://ceds.ed.gov/cedselementdetails.aspx?termid=6477</v>
      </c>
      <c r="N18" s="3" t="str">
        <f>HYPERLINK("https://ceds.ed.gov/elementComment.aspx?elementName=Child Outcomes Summary Progress B Indicator &amp;elementID=6477", "Click here to submit comment")</f>
        <v>Click here to submit comment</v>
      </c>
    </row>
    <row r="19" spans="1:14" ht="45">
      <c r="A19" s="3" t="s">
        <v>1653</v>
      </c>
      <c r="B19" s="3" t="s">
        <v>1654</v>
      </c>
      <c r="C19" s="3" t="s">
        <v>5963</v>
      </c>
      <c r="D19" s="3" t="s">
        <v>1644</v>
      </c>
      <c r="E19" s="3"/>
      <c r="F19" s="3" t="s">
        <v>54</v>
      </c>
      <c r="G19" s="3"/>
      <c r="H19" s="3"/>
      <c r="I19" s="3"/>
      <c r="J19" s="3" t="s">
        <v>1655</v>
      </c>
      <c r="K19" s="3" t="s">
        <v>1656</v>
      </c>
      <c r="L19" s="3" t="s">
        <v>1657</v>
      </c>
      <c r="M19" s="3" t="str">
        <f>HYPERLINK("https://ceds.ed.gov/cedselementdetails.aspx?termid=6478")</f>
        <v>https://ceds.ed.gov/cedselementdetails.aspx?termid=6478</v>
      </c>
      <c r="N19" s="3" t="str">
        <f>HYPERLINK("https://ceds.ed.gov/elementComment.aspx?elementName=Child Outcomes Summary Progress C Indicator &amp;elementID=6478", "Click here to submit comment")</f>
        <v>Click here to submit comment</v>
      </c>
    </row>
    <row r="20" spans="1:14" ht="330">
      <c r="A20" s="3" t="s">
        <v>1658</v>
      </c>
      <c r="B20" s="3" t="s">
        <v>1659</v>
      </c>
      <c r="C20" s="4" t="s">
        <v>6423</v>
      </c>
      <c r="D20" s="3" t="s">
        <v>1644</v>
      </c>
      <c r="E20" s="3"/>
      <c r="F20" s="3" t="s">
        <v>54</v>
      </c>
      <c r="G20" s="3"/>
      <c r="H20" s="3"/>
      <c r="I20" s="3"/>
      <c r="J20" s="3" t="s">
        <v>1660</v>
      </c>
      <c r="K20" s="3" t="s">
        <v>1661</v>
      </c>
      <c r="L20" s="3" t="s">
        <v>1662</v>
      </c>
      <c r="M20" s="3" t="str">
        <f>HYPERLINK("https://ceds.ed.gov/cedselementdetails.aspx?termid=6479")</f>
        <v>https://ceds.ed.gov/cedselementdetails.aspx?termid=6479</v>
      </c>
      <c r="N20" s="3" t="str">
        <f>HYPERLINK("https://ceds.ed.gov/elementComment.aspx?elementName=Child Outcomes Summary Rating A &amp;elementID=6479", "Click here to submit comment")</f>
        <v>Click here to submit comment</v>
      </c>
    </row>
    <row r="21" spans="1:14" ht="330">
      <c r="A21" s="3" t="s">
        <v>1663</v>
      </c>
      <c r="B21" s="3" t="s">
        <v>1664</v>
      </c>
      <c r="C21" s="4" t="s">
        <v>6423</v>
      </c>
      <c r="D21" s="3" t="s">
        <v>1644</v>
      </c>
      <c r="E21" s="3"/>
      <c r="F21" s="3" t="s">
        <v>54</v>
      </c>
      <c r="G21" s="3"/>
      <c r="H21" s="3"/>
      <c r="I21" s="3"/>
      <c r="J21" s="3" t="s">
        <v>1665</v>
      </c>
      <c r="K21" s="3" t="s">
        <v>1666</v>
      </c>
      <c r="L21" s="3" t="s">
        <v>1667</v>
      </c>
      <c r="M21" s="3" t="str">
        <f>HYPERLINK("https://ceds.ed.gov/cedselementdetails.aspx?termid=6480")</f>
        <v>https://ceds.ed.gov/cedselementdetails.aspx?termid=6480</v>
      </c>
      <c r="N21" s="3" t="str">
        <f>HYPERLINK("https://ceds.ed.gov/elementComment.aspx?elementName=Child Outcomes Summary Rating B &amp;elementID=6480", "Click here to submit comment")</f>
        <v>Click here to submit comment</v>
      </c>
    </row>
    <row r="22" spans="1:14" ht="330">
      <c r="A22" s="3" t="s">
        <v>1668</v>
      </c>
      <c r="B22" s="3" t="s">
        <v>1669</v>
      </c>
      <c r="C22" s="4" t="s">
        <v>6423</v>
      </c>
      <c r="D22" s="3" t="s">
        <v>1644</v>
      </c>
      <c r="E22" s="3"/>
      <c r="F22" s="3" t="s">
        <v>54</v>
      </c>
      <c r="G22" s="3"/>
      <c r="H22" s="3"/>
      <c r="I22" s="3"/>
      <c r="J22" s="3" t="s">
        <v>1670</v>
      </c>
      <c r="K22" s="3" t="s">
        <v>1671</v>
      </c>
      <c r="L22" s="3" t="s">
        <v>1672</v>
      </c>
      <c r="M22" s="3" t="str">
        <f>HYPERLINK("https://ceds.ed.gov/cedselementdetails.aspx?termid=6481")</f>
        <v>https://ceds.ed.gov/cedselementdetails.aspx?termid=6481</v>
      </c>
      <c r="N22" s="3" t="str">
        <f>HYPERLINK("https://ceds.ed.gov/elementComment.aspx?elementName=Child Outcomes Summary Rating C &amp;elementID=6481", "Click here to submit comment")</f>
        <v>Click here to submit comment</v>
      </c>
    </row>
    <row r="23" spans="1:14" ht="90">
      <c r="A23" s="3" t="s">
        <v>1757</v>
      </c>
      <c r="B23" s="3" t="s">
        <v>1758</v>
      </c>
      <c r="C23" s="3" t="s">
        <v>5963</v>
      </c>
      <c r="D23" s="3" t="s">
        <v>1759</v>
      </c>
      <c r="E23" s="3"/>
      <c r="F23" s="3" t="s">
        <v>54</v>
      </c>
      <c r="G23" s="3"/>
      <c r="H23" s="3"/>
      <c r="I23" s="3"/>
      <c r="J23" s="3" t="s">
        <v>1760</v>
      </c>
      <c r="K23" s="3"/>
      <c r="L23" s="3" t="s">
        <v>1761</v>
      </c>
      <c r="M23" s="3" t="str">
        <f>HYPERLINK("https://ceds.ed.gov/cedselementdetails.aspx?termid=6261")</f>
        <v>https://ceds.ed.gov/cedselementdetails.aspx?termid=6261</v>
      </c>
      <c r="N23" s="3" t="str">
        <f>HYPERLINK("https://ceds.ed.gov/elementComment.aspx?elementName=Consent to Share Data &amp;elementID=6261", "Click here to submit comment")</f>
        <v>Click here to submit comment</v>
      </c>
    </row>
    <row r="24" spans="1:14" ht="120">
      <c r="A24" s="3" t="s">
        <v>1796</v>
      </c>
      <c r="B24" s="3" t="s">
        <v>1797</v>
      </c>
      <c r="C24" s="4" t="s">
        <v>6431</v>
      </c>
      <c r="D24" s="3" t="s">
        <v>248</v>
      </c>
      <c r="E24" s="3"/>
      <c r="F24" s="3" t="s">
        <v>54</v>
      </c>
      <c r="G24" s="3"/>
      <c r="H24" s="3"/>
      <c r="I24" s="3"/>
      <c r="J24" s="3" t="s">
        <v>1798</v>
      </c>
      <c r="K24" s="3"/>
      <c r="L24" s="3" t="s">
        <v>1799</v>
      </c>
      <c r="M24" s="3" t="str">
        <f>HYPERLINK("https://ceds.ed.gov/cedselementdetails.aspx?termid=6262")</f>
        <v>https://ceds.ed.gov/cedselementdetails.aspx?termid=6262</v>
      </c>
      <c r="N24" s="3" t="str">
        <f>HYPERLINK("https://ceds.ed.gov/elementComment.aspx?elementName=Correctional Education Facility Type &amp;elementID=6262", "Click here to submit comment")</f>
        <v>Click here to submit comment</v>
      </c>
    </row>
    <row r="25" spans="1:14" ht="75">
      <c r="A25" s="3" t="s">
        <v>1800</v>
      </c>
      <c r="B25" s="3" t="s">
        <v>1801</v>
      </c>
      <c r="C25" s="3" t="s">
        <v>5963</v>
      </c>
      <c r="D25" s="3" t="s">
        <v>248</v>
      </c>
      <c r="E25" s="3"/>
      <c r="F25" s="3" t="s">
        <v>54</v>
      </c>
      <c r="G25" s="3"/>
      <c r="H25" s="3"/>
      <c r="I25" s="3"/>
      <c r="J25" s="3" t="s">
        <v>1802</v>
      </c>
      <c r="K25" s="3"/>
      <c r="L25" s="3" t="s">
        <v>1803</v>
      </c>
      <c r="M25" s="3" t="str">
        <f>HYPERLINK("https://ceds.ed.gov/cedselementdetails.aspx?termid=6263")</f>
        <v>https://ceds.ed.gov/cedselementdetails.aspx?termid=6263</v>
      </c>
      <c r="N25" s="3" t="str">
        <f>HYPERLINK("https://ceds.ed.gov/elementComment.aspx?elementName=Correctional Education Reentry Services Participation Indicator &amp;elementID=6263", "Click here to submit comment")</f>
        <v>Click here to submit comment</v>
      </c>
    </row>
    <row r="26" spans="1:14" ht="150">
      <c r="A26" s="3" t="s">
        <v>1829</v>
      </c>
      <c r="B26" s="3" t="s">
        <v>1830</v>
      </c>
      <c r="C26" s="3" t="s">
        <v>13</v>
      </c>
      <c r="D26" s="3" t="s">
        <v>1831</v>
      </c>
      <c r="E26" s="3"/>
      <c r="F26" s="3" t="s">
        <v>54</v>
      </c>
      <c r="G26" s="3" t="s">
        <v>1832</v>
      </c>
      <c r="H26" s="3"/>
      <c r="I26" s="3" t="s">
        <v>1833</v>
      </c>
      <c r="J26" s="3" t="s">
        <v>1834</v>
      </c>
      <c r="K26" s="3"/>
      <c r="L26" s="3" t="s">
        <v>1835</v>
      </c>
      <c r="M26" s="3" t="str">
        <f>HYPERLINK("https://ceds.ed.gov/cedselementdetails.aspx?termid=6264")</f>
        <v>https://ceds.ed.gov/cedselementdetails.aspx?termid=6264</v>
      </c>
      <c r="N26" s="3" t="str">
        <f>HYPERLINK("https://ceds.ed.gov/elementComment.aspx?elementName=Course Academic Grade Scale Code &amp;elementID=6264", "Click here to submit comment")</f>
        <v>Click here to submit comment</v>
      </c>
    </row>
    <row r="27" spans="1:14" ht="285">
      <c r="A27" s="3" t="s">
        <v>1836</v>
      </c>
      <c r="B27" s="3" t="s">
        <v>1837</v>
      </c>
      <c r="C27" s="4" t="s">
        <v>6434</v>
      </c>
      <c r="D27" s="3" t="s">
        <v>1838</v>
      </c>
      <c r="E27" s="3"/>
      <c r="F27" s="3" t="s">
        <v>54</v>
      </c>
      <c r="G27" s="3"/>
      <c r="H27" s="3"/>
      <c r="I27" s="3"/>
      <c r="J27" s="3" t="s">
        <v>1839</v>
      </c>
      <c r="K27" s="3"/>
      <c r="L27" s="3" t="s">
        <v>1840</v>
      </c>
      <c r="M27" s="3" t="str">
        <f>HYPERLINK("https://ceds.ed.gov/cedselementdetails.aspx?termid=6265")</f>
        <v>https://ceds.ed.gov/cedselementdetails.aspx?termid=6265</v>
      </c>
      <c r="N27" s="3" t="str">
        <f>HYPERLINK("https://ceds.ed.gov/elementComment.aspx?elementName=Course Academic Grade Status Code &amp;elementID=6265", "Click here to submit comment")</f>
        <v>Click here to submit comment</v>
      </c>
    </row>
    <row r="28" spans="1:14" ht="30">
      <c r="A28" s="3" t="s">
        <v>1841</v>
      </c>
      <c r="B28" s="3" t="s">
        <v>1842</v>
      </c>
      <c r="C28" s="3" t="s">
        <v>13</v>
      </c>
      <c r="D28" s="3" t="s">
        <v>1825</v>
      </c>
      <c r="E28" s="3"/>
      <c r="F28" s="3" t="s">
        <v>54</v>
      </c>
      <c r="G28" s="3" t="s">
        <v>73</v>
      </c>
      <c r="H28" s="3"/>
      <c r="I28" s="3"/>
      <c r="J28" s="3" t="s">
        <v>1843</v>
      </c>
      <c r="K28" s="3"/>
      <c r="L28" s="3" t="s">
        <v>1844</v>
      </c>
      <c r="M28" s="3" t="str">
        <f>HYPERLINK("https://ceds.ed.gov/cedselementdetails.aspx?termid=6266")</f>
        <v>https://ceds.ed.gov/cedselementdetails.aspx?termid=6266</v>
      </c>
      <c r="N28" s="3" t="str">
        <f>HYPERLINK("https://ceds.ed.gov/elementComment.aspx?elementName=Course Add Date &amp;elementID=6266", "Click here to submit comment")</f>
        <v>Click here to submit comment</v>
      </c>
    </row>
    <row r="29" spans="1:14" ht="409.5">
      <c r="A29" s="3" t="s">
        <v>1850</v>
      </c>
      <c r="B29" s="3" t="s">
        <v>1851</v>
      </c>
      <c r="C29" s="15" t="s">
        <v>10060</v>
      </c>
      <c r="D29" s="3" t="s">
        <v>6081</v>
      </c>
      <c r="E29" s="3"/>
      <c r="F29" s="3" t="s">
        <v>54</v>
      </c>
      <c r="G29" s="3"/>
      <c r="H29" s="3"/>
      <c r="I29" s="3" t="s">
        <v>1852</v>
      </c>
      <c r="J29" s="3" t="s">
        <v>1853</v>
      </c>
      <c r="K29" s="3"/>
      <c r="L29" s="3" t="s">
        <v>1854</v>
      </c>
      <c r="M29" s="3" t="str">
        <f>HYPERLINK("https://ceds.ed.gov/cedselementdetails.aspx?termid=6267")</f>
        <v>https://ceds.ed.gov/cedselementdetails.aspx?termid=6267</v>
      </c>
      <c r="N29" s="3" t="str">
        <f>HYPERLINK("https://ceds.ed.gov/elementComment.aspx?elementName=Course Applicable Education Level &amp;elementID=6267", "Click here to submit comment")</f>
        <v>Click here to submit comment</v>
      </c>
    </row>
    <row r="30" spans="1:14" ht="45">
      <c r="A30" s="3" t="s">
        <v>1859</v>
      </c>
      <c r="B30" s="3" t="s">
        <v>1860</v>
      </c>
      <c r="C30" s="3" t="s">
        <v>13</v>
      </c>
      <c r="D30" s="3" t="s">
        <v>6081</v>
      </c>
      <c r="E30" s="3"/>
      <c r="F30" s="3" t="s">
        <v>54</v>
      </c>
      <c r="G30" s="3" t="s">
        <v>93</v>
      </c>
      <c r="H30" s="3"/>
      <c r="I30" s="3"/>
      <c r="J30" s="3" t="s">
        <v>1861</v>
      </c>
      <c r="K30" s="3"/>
      <c r="L30" s="3" t="s">
        <v>1862</v>
      </c>
      <c r="M30" s="3" t="str">
        <f>HYPERLINK("https://ceds.ed.gov/cedselementdetails.aspx?termid=6268")</f>
        <v>https://ceds.ed.gov/cedselementdetails.aspx?termid=6268</v>
      </c>
      <c r="N30" s="3" t="str">
        <f>HYPERLINK("https://ceds.ed.gov/elementComment.aspx?elementName=Course Certification Description &amp;elementID=6268", "Click here to submit comment")</f>
        <v>Click here to submit comment</v>
      </c>
    </row>
    <row r="31" spans="1:14" ht="45">
      <c r="A31" s="3" t="s">
        <v>1863</v>
      </c>
      <c r="B31" s="3" t="s">
        <v>1864</v>
      </c>
      <c r="C31" s="5" t="s">
        <v>1702</v>
      </c>
      <c r="D31" s="3" t="s">
        <v>1831</v>
      </c>
      <c r="E31" s="3"/>
      <c r="F31" s="3" t="s">
        <v>54</v>
      </c>
      <c r="G31" s="3"/>
      <c r="H31" s="3"/>
      <c r="I31" s="3"/>
      <c r="J31" s="3" t="s">
        <v>1865</v>
      </c>
      <c r="K31" s="3" t="s">
        <v>1866</v>
      </c>
      <c r="L31" s="3" t="s">
        <v>1867</v>
      </c>
      <c r="M31" s="3" t="str">
        <f>HYPERLINK("https://ceds.ed.gov/cedselementdetails.aspx?termid=6474")</f>
        <v>https://ceds.ed.gov/cedselementdetails.aspx?termid=6474</v>
      </c>
      <c r="N31" s="3" t="str">
        <f>HYPERLINK("https://ceds.ed.gov/elementComment.aspx?elementName=Course Classification of Instructional Programs Code &amp;elementID=6474", "Click here to submit comment")</f>
        <v>Click here to submit comment</v>
      </c>
    </row>
    <row r="32" spans="1:14" ht="409.5">
      <c r="A32" s="3" t="s">
        <v>1872</v>
      </c>
      <c r="B32" s="3" t="s">
        <v>1873</v>
      </c>
      <c r="C32" s="4" t="s">
        <v>6436</v>
      </c>
      <c r="D32" s="3" t="s">
        <v>1831</v>
      </c>
      <c r="E32" s="3"/>
      <c r="F32" s="3" t="s">
        <v>54</v>
      </c>
      <c r="G32" s="3"/>
      <c r="H32" s="3"/>
      <c r="I32" s="3"/>
      <c r="J32" s="3" t="s">
        <v>1874</v>
      </c>
      <c r="K32" s="3"/>
      <c r="L32" s="3" t="s">
        <v>1875</v>
      </c>
      <c r="M32" s="3" t="str">
        <f>HYPERLINK("https://ceds.ed.gov/cedselementdetails.aspx?termid=6269")</f>
        <v>https://ceds.ed.gov/cedselementdetails.aspx?termid=6269</v>
      </c>
      <c r="N32" s="3" t="str">
        <f>HYPERLINK("https://ceds.ed.gov/elementComment.aspx?elementName=Course Credit Basis Type &amp;elementID=6269", "Click here to submit comment")</f>
        <v>Click here to submit comment</v>
      </c>
    </row>
    <row r="33" spans="1:14" ht="255">
      <c r="A33" s="3" t="s">
        <v>1876</v>
      </c>
      <c r="B33" s="3" t="s">
        <v>1877</v>
      </c>
      <c r="C33" s="4" t="s">
        <v>6437</v>
      </c>
      <c r="D33" s="3" t="s">
        <v>1831</v>
      </c>
      <c r="E33" s="3"/>
      <c r="F33" s="3" t="s">
        <v>54</v>
      </c>
      <c r="G33" s="3"/>
      <c r="H33" s="3"/>
      <c r="I33" s="3"/>
      <c r="J33" s="3" t="s">
        <v>1878</v>
      </c>
      <c r="K33" s="3"/>
      <c r="L33" s="3" t="s">
        <v>1879</v>
      </c>
      <c r="M33" s="3" t="str">
        <f>HYPERLINK("https://ceds.ed.gov/cedselementdetails.aspx?termid=6270")</f>
        <v>https://ceds.ed.gov/cedselementdetails.aspx?termid=6270</v>
      </c>
      <c r="N33" s="3" t="str">
        <f>HYPERLINK("https://ceds.ed.gov/elementComment.aspx?elementName=Course Credit Level Type &amp;elementID=6270", "Click here to submit comment")</f>
        <v>Click here to submit comment</v>
      </c>
    </row>
    <row r="34" spans="1:14" ht="30">
      <c r="A34" s="3" t="s">
        <v>1893</v>
      </c>
      <c r="B34" s="3" t="s">
        <v>1894</v>
      </c>
      <c r="C34" s="3" t="s">
        <v>13</v>
      </c>
      <c r="D34" s="3" t="s">
        <v>1831</v>
      </c>
      <c r="E34" s="3"/>
      <c r="F34" s="3" t="s">
        <v>54</v>
      </c>
      <c r="G34" s="3" t="s">
        <v>73</v>
      </c>
      <c r="H34" s="3"/>
      <c r="I34" s="3"/>
      <c r="J34" s="3" t="s">
        <v>1895</v>
      </c>
      <c r="K34" s="3"/>
      <c r="L34" s="3" t="s">
        <v>1896</v>
      </c>
      <c r="M34" s="3" t="str">
        <f>HYPERLINK("https://ceds.ed.gov/cedselementdetails.aspx?termid=6271")</f>
        <v>https://ceds.ed.gov/cedselementdetails.aspx?termid=6271</v>
      </c>
      <c r="N34" s="3" t="str">
        <f>HYPERLINK("https://ceds.ed.gov/elementComment.aspx?elementName=Course Drop Date &amp;elementID=6271", "Click here to submit comment")</f>
        <v>Click here to submit comment</v>
      </c>
    </row>
    <row r="35" spans="1:14" ht="90">
      <c r="A35" s="3" t="s">
        <v>1901</v>
      </c>
      <c r="B35" s="3" t="s">
        <v>1902</v>
      </c>
      <c r="C35" s="3" t="s">
        <v>13</v>
      </c>
      <c r="D35" s="3" t="s">
        <v>6081</v>
      </c>
      <c r="E35" s="3"/>
      <c r="F35" s="3" t="s">
        <v>54</v>
      </c>
      <c r="G35" s="3" t="s">
        <v>100</v>
      </c>
      <c r="H35" s="3"/>
      <c r="I35" s="3" t="s">
        <v>1903</v>
      </c>
      <c r="J35" s="3" t="s">
        <v>1904</v>
      </c>
      <c r="K35" s="3"/>
      <c r="L35" s="3" t="s">
        <v>1905</v>
      </c>
      <c r="M35" s="3" t="str">
        <f>HYPERLINK("https://ceds.ed.gov/cedselementdetails.aspx?termid=6272")</f>
        <v>https://ceds.ed.gov/cedselementdetails.aspx?termid=6272</v>
      </c>
      <c r="N35" s="3" t="str">
        <f>HYPERLINK("https://ceds.ed.gov/elementComment.aspx?elementName=Course Funding Program &amp;elementID=6272", "Click here to submit comment")</f>
        <v>Click here to submit comment</v>
      </c>
    </row>
    <row r="36" spans="1:14" ht="45">
      <c r="A36" s="3" t="s">
        <v>1911</v>
      </c>
      <c r="B36" s="3" t="s">
        <v>1912</v>
      </c>
      <c r="C36" s="4" t="s">
        <v>6440</v>
      </c>
      <c r="D36" s="3" t="s">
        <v>1831</v>
      </c>
      <c r="E36" s="3"/>
      <c r="F36" s="3" t="s">
        <v>54</v>
      </c>
      <c r="G36" s="3"/>
      <c r="H36" s="3"/>
      <c r="I36" s="3"/>
      <c r="J36" s="3" t="s">
        <v>1913</v>
      </c>
      <c r="K36" s="3"/>
      <c r="L36" s="3" t="s">
        <v>1914</v>
      </c>
      <c r="M36" s="3" t="str">
        <f>HYPERLINK("https://ceds.ed.gov/cedselementdetails.aspx?termid=6273")</f>
        <v>https://ceds.ed.gov/cedselementdetails.aspx?termid=6273</v>
      </c>
      <c r="N36" s="3" t="str">
        <f>HYPERLINK("https://ceds.ed.gov/elementComment.aspx?elementName=Course Honors Type &amp;elementID=6273", "Click here to submit comment")</f>
        <v>Click here to submit comment</v>
      </c>
    </row>
    <row r="37" spans="1:14" ht="390">
      <c r="A37" s="3" t="s">
        <v>1921</v>
      </c>
      <c r="B37" s="3" t="s">
        <v>1922</v>
      </c>
      <c r="C37" s="3" t="s">
        <v>6117</v>
      </c>
      <c r="D37" s="3" t="s">
        <v>1831</v>
      </c>
      <c r="E37" s="3"/>
      <c r="F37" s="3" t="s">
        <v>54</v>
      </c>
      <c r="G37" s="3"/>
      <c r="H37" s="3"/>
      <c r="I37" s="3"/>
      <c r="J37" s="3" t="s">
        <v>1923</v>
      </c>
      <c r="K37" s="3"/>
      <c r="L37" s="3" t="s">
        <v>1924</v>
      </c>
      <c r="M37" s="3" t="str">
        <f>HYPERLINK("https://ceds.ed.gov/cedselementdetails.aspx?termid=6274")</f>
        <v>https://ceds.ed.gov/cedselementdetails.aspx?termid=6274</v>
      </c>
      <c r="N37" s="3" t="str">
        <f>HYPERLINK("https://ceds.ed.gov/elementComment.aspx?elementName=Course Instruction Method &amp;elementID=6274", "Click here to submit comment")</f>
        <v>Click here to submit comment</v>
      </c>
    </row>
    <row r="38" spans="1:14" ht="30">
      <c r="A38" s="3" t="s">
        <v>1925</v>
      </c>
      <c r="B38" s="3" t="s">
        <v>1926</v>
      </c>
      <c r="C38" s="3" t="s">
        <v>13</v>
      </c>
      <c r="D38" s="3" t="s">
        <v>1831</v>
      </c>
      <c r="E38" s="3"/>
      <c r="F38" s="3" t="s">
        <v>54</v>
      </c>
      <c r="G38" s="3" t="s">
        <v>106</v>
      </c>
      <c r="H38" s="3"/>
      <c r="I38" s="3"/>
      <c r="J38" s="3" t="s">
        <v>1927</v>
      </c>
      <c r="K38" s="3"/>
      <c r="L38" s="3" t="s">
        <v>1928</v>
      </c>
      <c r="M38" s="3" t="str">
        <f>HYPERLINK("https://ceds.ed.gov/cedselementdetails.aspx?termid=6275")</f>
        <v>https://ceds.ed.gov/cedselementdetails.aspx?termid=6275</v>
      </c>
      <c r="N38" s="3" t="str">
        <f>HYPERLINK("https://ceds.ed.gov/elementComment.aspx?elementName=Course Instruction Site Name &amp;elementID=6275", "Click here to submit comment")</f>
        <v>Click here to submit comment</v>
      </c>
    </row>
    <row r="39" spans="1:14" ht="180">
      <c r="A39" s="3" t="s">
        <v>1929</v>
      </c>
      <c r="B39" s="3" t="s">
        <v>1930</v>
      </c>
      <c r="C39" s="4" t="s">
        <v>6441</v>
      </c>
      <c r="D39" s="3" t="s">
        <v>1831</v>
      </c>
      <c r="E39" s="3"/>
      <c r="F39" s="3" t="s">
        <v>54</v>
      </c>
      <c r="G39" s="3"/>
      <c r="H39" s="3"/>
      <c r="I39" s="3"/>
      <c r="J39" s="3" t="s">
        <v>1931</v>
      </c>
      <c r="K39" s="3"/>
      <c r="L39" s="3" t="s">
        <v>1932</v>
      </c>
      <c r="M39" s="3" t="str">
        <f>HYPERLINK("https://ceds.ed.gov/cedselementdetails.aspx?termid=6276")</f>
        <v>https://ceds.ed.gov/cedselementdetails.aspx?termid=6276</v>
      </c>
      <c r="N39" s="3" t="str">
        <f>HYPERLINK("https://ceds.ed.gov/elementComment.aspx?elementName=Course Instruction Site Type &amp;elementID=6276", "Click here to submit comment")</f>
        <v>Click here to submit comment</v>
      </c>
    </row>
    <row r="40" spans="1:14" ht="45">
      <c r="A40" s="3" t="s">
        <v>1933</v>
      </c>
      <c r="B40" s="3" t="s">
        <v>1934</v>
      </c>
      <c r="C40" s="4" t="s">
        <v>6442</v>
      </c>
      <c r="D40" s="3" t="s">
        <v>6081</v>
      </c>
      <c r="E40" s="3"/>
      <c r="F40" s="3" t="s">
        <v>54</v>
      </c>
      <c r="G40" s="3"/>
      <c r="H40" s="3"/>
      <c r="I40" s="3" t="s">
        <v>1935</v>
      </c>
      <c r="J40" s="3" t="s">
        <v>1936</v>
      </c>
      <c r="K40" s="3"/>
      <c r="L40" s="3" t="s">
        <v>1937</v>
      </c>
      <c r="M40" s="3" t="str">
        <f>HYPERLINK("https://ceds.ed.gov/cedselementdetails.aspx?termid=6277")</f>
        <v>https://ceds.ed.gov/cedselementdetails.aspx?termid=6277</v>
      </c>
      <c r="N40" s="3" t="str">
        <f>HYPERLINK("https://ceds.ed.gov/elementComment.aspx?elementName=Course Interaction Mode &amp;elementID=6277", "Click here to submit comment")</f>
        <v>Click here to submit comment</v>
      </c>
    </row>
    <row r="41" spans="1:14" ht="375">
      <c r="A41" s="3" t="s">
        <v>1942</v>
      </c>
      <c r="B41" s="3" t="s">
        <v>1943</v>
      </c>
      <c r="C41" s="4" t="s">
        <v>6444</v>
      </c>
      <c r="D41" s="3" t="s">
        <v>6118</v>
      </c>
      <c r="E41" s="3"/>
      <c r="F41" s="3" t="s">
        <v>54</v>
      </c>
      <c r="G41" s="3"/>
      <c r="H41" s="3"/>
      <c r="I41" s="3"/>
      <c r="J41" s="3" t="s">
        <v>1944</v>
      </c>
      <c r="K41" s="3"/>
      <c r="L41" s="3" t="s">
        <v>1945</v>
      </c>
      <c r="M41" s="3" t="str">
        <f>HYPERLINK("https://ceds.ed.gov/cedselementdetails.aspx?termid=6278")</f>
        <v>https://ceds.ed.gov/cedselementdetails.aspx?termid=6278</v>
      </c>
      <c r="N41" s="3" t="str">
        <f>HYPERLINK("https://ceds.ed.gov/elementComment.aspx?elementName=Course Level Type &amp;elementID=6278", "Click here to submit comment")</f>
        <v>Click here to submit comment</v>
      </c>
    </row>
    <row r="42" spans="1:14" ht="90">
      <c r="A42" s="3" t="s">
        <v>1946</v>
      </c>
      <c r="B42" s="3" t="s">
        <v>1947</v>
      </c>
      <c r="C42" s="3" t="s">
        <v>13</v>
      </c>
      <c r="D42" s="3" t="s">
        <v>1831</v>
      </c>
      <c r="E42" s="3"/>
      <c r="F42" s="3" t="s">
        <v>54</v>
      </c>
      <c r="G42" s="3" t="s">
        <v>319</v>
      </c>
      <c r="H42" s="3"/>
      <c r="I42" s="3"/>
      <c r="J42" s="3" t="s">
        <v>1948</v>
      </c>
      <c r="K42" s="3"/>
      <c r="L42" s="3" t="s">
        <v>1949</v>
      </c>
      <c r="M42" s="3" t="str">
        <f>HYPERLINK("https://ceds.ed.gov/cedselementdetails.aspx?termid=6279")</f>
        <v>https://ceds.ed.gov/cedselementdetails.aspx?termid=6279</v>
      </c>
      <c r="N42" s="3" t="str">
        <f>HYPERLINK("https://ceds.ed.gov/elementComment.aspx?elementName=Course Narrative Explanation Grade &amp;elementID=6279", "Click here to submit comment")</f>
        <v>Click here to submit comment</v>
      </c>
    </row>
    <row r="43" spans="1:14" ht="90">
      <c r="A43" s="3" t="s">
        <v>1950</v>
      </c>
      <c r="B43" s="3" t="s">
        <v>1951</v>
      </c>
      <c r="C43" s="3" t="s">
        <v>13</v>
      </c>
      <c r="D43" s="3" t="s">
        <v>1831</v>
      </c>
      <c r="E43" s="3"/>
      <c r="F43" s="3" t="s">
        <v>54</v>
      </c>
      <c r="G43" s="3" t="s">
        <v>100</v>
      </c>
      <c r="H43" s="3"/>
      <c r="I43" s="3"/>
      <c r="J43" s="3" t="s">
        <v>1952</v>
      </c>
      <c r="K43" s="3"/>
      <c r="L43" s="3" t="s">
        <v>1953</v>
      </c>
      <c r="M43" s="3" t="str">
        <f>HYPERLINK("https://ceds.ed.gov/cedselementdetails.aspx?termid=6280")</f>
        <v>https://ceds.ed.gov/cedselementdetails.aspx?termid=6280</v>
      </c>
      <c r="N43" s="3" t="str">
        <f>HYPERLINK("https://ceds.ed.gov/elementComment.aspx?elementName=Course Number &amp;elementID=6280", "Click here to submit comment")</f>
        <v>Click here to submit comment</v>
      </c>
    </row>
    <row r="44" spans="1:14" ht="75">
      <c r="A44" s="3" t="s">
        <v>2014</v>
      </c>
      <c r="B44" s="3" t="s">
        <v>2015</v>
      </c>
      <c r="C44" s="3" t="s">
        <v>13</v>
      </c>
      <c r="D44" s="3" t="s">
        <v>1831</v>
      </c>
      <c r="E44" s="3"/>
      <c r="F44" s="3" t="s">
        <v>54</v>
      </c>
      <c r="G44" s="3" t="s">
        <v>100</v>
      </c>
      <c r="H44" s="3"/>
      <c r="I44" s="3"/>
      <c r="J44" s="3" t="s">
        <v>2016</v>
      </c>
      <c r="K44" s="3"/>
      <c r="L44" s="3" t="s">
        <v>2017</v>
      </c>
      <c r="M44" s="3" t="str">
        <f>HYPERLINK("https://ceds.ed.gov/cedselementdetails.aspx?termid=6281")</f>
        <v>https://ceds.ed.gov/cedselementdetails.aspx?termid=6281</v>
      </c>
      <c r="N44" s="3" t="str">
        <f>HYPERLINK("https://ceds.ed.gov/elementComment.aspx?elementName=Course Section Number &amp;elementID=6281", "Click here to submit comment")</f>
        <v>Click here to submit comment</v>
      </c>
    </row>
    <row r="45" spans="1:14" ht="45">
      <c r="A45" s="3" t="s">
        <v>2038</v>
      </c>
      <c r="B45" s="3" t="s">
        <v>2039</v>
      </c>
      <c r="C45" s="3" t="s">
        <v>13</v>
      </c>
      <c r="D45" s="3" t="s">
        <v>14</v>
      </c>
      <c r="E45" s="3"/>
      <c r="F45" s="3" t="s">
        <v>54</v>
      </c>
      <c r="G45" s="3" t="s">
        <v>575</v>
      </c>
      <c r="H45" s="3"/>
      <c r="I45" s="3"/>
      <c r="J45" s="3" t="s">
        <v>2040</v>
      </c>
      <c r="K45" s="3"/>
      <c r="L45" s="3" t="s">
        <v>2041</v>
      </c>
      <c r="M45" s="3" t="str">
        <f>HYPERLINK("https://ceds.ed.gov/cedselementdetails.aspx?termid=6282")</f>
        <v>https://ceds.ed.gov/cedselementdetails.aspx?termid=6282</v>
      </c>
      <c r="N45" s="3" t="str">
        <f>HYPERLINK("https://ceds.ed.gov/elementComment.aspx?elementName=Course Total &amp;elementID=6282", "Click here to submit comment")</f>
        <v>Click here to submit comment</v>
      </c>
    </row>
    <row r="46" spans="1:14" ht="270">
      <c r="A46" s="3" t="s">
        <v>2054</v>
      </c>
      <c r="B46" s="3" t="s">
        <v>2055</v>
      </c>
      <c r="C46" s="4" t="s">
        <v>6450</v>
      </c>
      <c r="D46" s="3" t="s">
        <v>14</v>
      </c>
      <c r="E46" s="3"/>
      <c r="F46" s="3" t="s">
        <v>54</v>
      </c>
      <c r="G46" s="3"/>
      <c r="H46" s="3"/>
      <c r="I46" s="3"/>
      <c r="J46" s="3" t="s">
        <v>2056</v>
      </c>
      <c r="K46" s="3"/>
      <c r="L46" s="3" t="s">
        <v>2057</v>
      </c>
      <c r="M46" s="3" t="str">
        <f>HYPERLINK("https://ceds.ed.gov/cedselementdetails.aspx?termid=6283")</f>
        <v>https://ceds.ed.gov/cedselementdetails.aspx?termid=6283</v>
      </c>
      <c r="N46" s="3" t="str">
        <f>HYPERLINK("https://ceds.ed.gov/elementComment.aspx?elementName=Credit Hours Applied Other Program &amp;elementID=6283", "Click here to submit comment")</f>
        <v>Click here to submit comment</v>
      </c>
    </row>
    <row r="47" spans="1:14" ht="75">
      <c r="A47" s="3" t="s">
        <v>2194</v>
      </c>
      <c r="B47" s="3" t="s">
        <v>2195</v>
      </c>
      <c r="C47" s="4" t="s">
        <v>6458</v>
      </c>
      <c r="D47" s="3" t="s">
        <v>53</v>
      </c>
      <c r="E47" s="3"/>
      <c r="F47" s="3" t="s">
        <v>54</v>
      </c>
      <c r="G47" s="3"/>
      <c r="H47" s="3"/>
      <c r="I47" s="3"/>
      <c r="J47" s="3" t="s">
        <v>2196</v>
      </c>
      <c r="K47" s="3" t="s">
        <v>2197</v>
      </c>
      <c r="L47" s="3" t="s">
        <v>2198</v>
      </c>
      <c r="M47" s="3" t="str">
        <f>HYPERLINK("https://ceds.ed.gov/cedselementdetails.aspx?termid=6285")</f>
        <v>https://ceds.ed.gov/cedselementdetails.aspx?termid=6285</v>
      </c>
      <c r="N47" s="3" t="str">
        <f>HYPERLINK("https://ceds.ed.gov/elementComment.aspx?elementName=Disability Condition Status Type &amp;elementID=6285", "Click here to submit comment")</f>
        <v>Click here to submit comment</v>
      </c>
    </row>
    <row r="48" spans="1:14" ht="255">
      <c r="A48" s="3" t="s">
        <v>2199</v>
      </c>
      <c r="B48" s="3" t="s">
        <v>2200</v>
      </c>
      <c r="C48" s="4" t="s">
        <v>6459</v>
      </c>
      <c r="D48" s="3" t="s">
        <v>6136</v>
      </c>
      <c r="E48" s="3"/>
      <c r="F48" s="3" t="s">
        <v>54</v>
      </c>
      <c r="G48" s="3"/>
      <c r="H48" s="3"/>
      <c r="I48" s="3" t="s">
        <v>2201</v>
      </c>
      <c r="J48" s="3" t="s">
        <v>2202</v>
      </c>
      <c r="K48" s="3"/>
      <c r="L48" s="3" t="s">
        <v>2203</v>
      </c>
      <c r="M48" s="3" t="str">
        <f>HYPERLINK("https://ceds.ed.gov/cedselementdetails.aspx?termid=6286")</f>
        <v>https://ceds.ed.gov/cedselementdetails.aspx?termid=6286</v>
      </c>
      <c r="N48" s="3" t="str">
        <f>HYPERLINK("https://ceds.ed.gov/elementComment.aspx?elementName=Disability Condition Type &amp;elementID=6286", "Click here to submit comment")</f>
        <v>Click here to submit comment</v>
      </c>
    </row>
    <row r="49" spans="1:14" ht="180">
      <c r="A49" s="3" t="s">
        <v>2204</v>
      </c>
      <c r="B49" s="3" t="s">
        <v>2205</v>
      </c>
      <c r="C49" s="4" t="s">
        <v>6460</v>
      </c>
      <c r="D49" s="3" t="s">
        <v>6136</v>
      </c>
      <c r="E49" s="3"/>
      <c r="F49" s="3" t="s">
        <v>54</v>
      </c>
      <c r="G49" s="3"/>
      <c r="H49" s="3"/>
      <c r="I49" s="3" t="s">
        <v>2201</v>
      </c>
      <c r="J49" s="3" t="s">
        <v>2206</v>
      </c>
      <c r="K49" s="3"/>
      <c r="L49" s="3" t="s">
        <v>2207</v>
      </c>
      <c r="M49" s="3" t="str">
        <f>HYPERLINK("https://ceds.ed.gov/cedselementdetails.aspx?termid=6287")</f>
        <v>https://ceds.ed.gov/cedselementdetails.aspx?termid=6287</v>
      </c>
      <c r="N49" s="3" t="str">
        <f>HYPERLINK("https://ceds.ed.gov/elementComment.aspx?elementName=Disability Determination Source Type &amp;elementID=6287", "Click here to submit comment")</f>
        <v>Click here to submit comment</v>
      </c>
    </row>
    <row r="50" spans="1:14" ht="75">
      <c r="A50" s="3" t="s">
        <v>2216</v>
      </c>
      <c r="B50" s="3" t="s">
        <v>2217</v>
      </c>
      <c r="C50" s="3" t="s">
        <v>5963</v>
      </c>
      <c r="D50" s="3" t="s">
        <v>2218</v>
      </c>
      <c r="E50" s="3"/>
      <c r="F50" s="3" t="s">
        <v>54</v>
      </c>
      <c r="G50" s="3"/>
      <c r="H50" s="3"/>
      <c r="I50" s="3"/>
      <c r="J50" s="3" t="s">
        <v>2219</v>
      </c>
      <c r="K50" s="3"/>
      <c r="L50" s="3" t="s">
        <v>2220</v>
      </c>
      <c r="M50" s="3" t="str">
        <f>HYPERLINK("https://ceds.ed.gov/cedselementdetails.aspx?termid=6288")</f>
        <v>https://ceds.ed.gov/cedselementdetails.aspx?termid=6288</v>
      </c>
      <c r="N50" s="3" t="str">
        <f>HYPERLINK("https://ceds.ed.gov/elementComment.aspx?elementName=Disciplinary Action IEP Placement Meeting Indicator &amp;elementID=6288", "Click here to submit comment")</f>
        <v>Click here to submit comment</v>
      </c>
    </row>
    <row r="51" spans="1:14" ht="180">
      <c r="A51" s="3" t="s">
        <v>2261</v>
      </c>
      <c r="B51" s="3" t="s">
        <v>2262</v>
      </c>
      <c r="C51" s="3" t="s">
        <v>5963</v>
      </c>
      <c r="D51" s="3" t="s">
        <v>1708</v>
      </c>
      <c r="E51" s="3"/>
      <c r="F51" s="3" t="s">
        <v>54</v>
      </c>
      <c r="G51" s="3"/>
      <c r="H51" s="3"/>
      <c r="I51" s="3" t="s">
        <v>2258</v>
      </c>
      <c r="J51" s="3" t="s">
        <v>2263</v>
      </c>
      <c r="K51" s="3"/>
      <c r="L51" s="3" t="s">
        <v>2264</v>
      </c>
      <c r="M51" s="3" t="str">
        <f>HYPERLINK("https://ceds.ed.gov/cedselementdetails.aspx?termid=6289")</f>
        <v>https://ceds.ed.gov/cedselementdetails.aspx?termid=6289</v>
      </c>
      <c r="N51" s="3" t="str">
        <f>HYPERLINK("https://ceds.ed.gov/elementComment.aspx?elementName=Distance Education Program Enrollment Indicator &amp;elementID=6289", "Click here to submit comment")</f>
        <v>Click here to submit comment</v>
      </c>
    </row>
    <row r="52" spans="1:14" ht="75">
      <c r="A52" s="3" t="s">
        <v>2265</v>
      </c>
      <c r="B52" s="3" t="s">
        <v>2266</v>
      </c>
      <c r="C52" s="4" t="s">
        <v>6467</v>
      </c>
      <c r="D52" s="3" t="s">
        <v>2267</v>
      </c>
      <c r="E52" s="3"/>
      <c r="F52" s="3" t="s">
        <v>54</v>
      </c>
      <c r="G52" s="3"/>
      <c r="H52" s="3"/>
      <c r="I52" s="3"/>
      <c r="J52" s="3" t="s">
        <v>2268</v>
      </c>
      <c r="K52" s="3"/>
      <c r="L52" s="3" t="s">
        <v>2269</v>
      </c>
      <c r="M52" s="3" t="str">
        <f>HYPERLINK("https://ceds.ed.gov/cedselementdetails.aspx?termid=6290")</f>
        <v>https://ceds.ed.gov/cedselementdetails.aspx?termid=6290</v>
      </c>
      <c r="N52" s="3" t="str">
        <f>HYPERLINK("https://ceds.ed.gov/elementComment.aspx?elementName=Doctoral Candidacy Admit Indicator &amp;elementID=6290", "Click here to submit comment")</f>
        <v>Click here to submit comment</v>
      </c>
    </row>
    <row r="53" spans="1:14" ht="30">
      <c r="A53" s="3" t="s">
        <v>2270</v>
      </c>
      <c r="B53" s="3" t="s">
        <v>2271</v>
      </c>
      <c r="C53" s="3" t="s">
        <v>13</v>
      </c>
      <c r="D53" s="3" t="s">
        <v>2267</v>
      </c>
      <c r="E53" s="3"/>
      <c r="F53" s="3" t="s">
        <v>54</v>
      </c>
      <c r="G53" s="3" t="s">
        <v>73</v>
      </c>
      <c r="H53" s="3"/>
      <c r="I53" s="3"/>
      <c r="J53" s="3" t="s">
        <v>2272</v>
      </c>
      <c r="K53" s="3"/>
      <c r="L53" s="3" t="s">
        <v>2273</v>
      </c>
      <c r="M53" s="3" t="str">
        <f>HYPERLINK("https://ceds.ed.gov/cedselementdetails.aspx?termid=6291")</f>
        <v>https://ceds.ed.gov/cedselementdetails.aspx?termid=6291</v>
      </c>
      <c r="N53" s="3" t="str">
        <f>HYPERLINK("https://ceds.ed.gov/elementComment.aspx?elementName=Doctoral Candidacy Date &amp;elementID=6291", "Click here to submit comment")</f>
        <v>Click here to submit comment</v>
      </c>
    </row>
    <row r="54" spans="1:14" ht="60">
      <c r="A54" s="3" t="s">
        <v>2274</v>
      </c>
      <c r="B54" s="3" t="s">
        <v>2275</v>
      </c>
      <c r="C54" s="3" t="s">
        <v>13</v>
      </c>
      <c r="D54" s="3" t="s">
        <v>2267</v>
      </c>
      <c r="E54" s="3"/>
      <c r="F54" s="3" t="s">
        <v>54</v>
      </c>
      <c r="G54" s="3" t="s">
        <v>73</v>
      </c>
      <c r="H54" s="3"/>
      <c r="I54" s="3"/>
      <c r="J54" s="3" t="s">
        <v>2276</v>
      </c>
      <c r="K54" s="3"/>
      <c r="L54" s="3" t="s">
        <v>2277</v>
      </c>
      <c r="M54" s="3" t="str">
        <f>HYPERLINK("https://ceds.ed.gov/cedselementdetails.aspx?termid=6292")</f>
        <v>https://ceds.ed.gov/cedselementdetails.aspx?termid=6292</v>
      </c>
      <c r="N54" s="3" t="str">
        <f>HYPERLINK("https://ceds.ed.gov/elementComment.aspx?elementName=Doctoral Exam Taken Date &amp;elementID=6292", "Click here to submit comment")</f>
        <v>Click here to submit comment</v>
      </c>
    </row>
    <row r="55" spans="1:14" ht="135">
      <c r="A55" s="3" t="s">
        <v>2278</v>
      </c>
      <c r="B55" s="3" t="s">
        <v>2279</v>
      </c>
      <c r="C55" s="4" t="s">
        <v>6468</v>
      </c>
      <c r="D55" s="3" t="s">
        <v>2267</v>
      </c>
      <c r="E55" s="3"/>
      <c r="F55" s="3" t="s">
        <v>54</v>
      </c>
      <c r="G55" s="3"/>
      <c r="H55" s="3"/>
      <c r="I55" s="3"/>
      <c r="J55" s="3" t="s">
        <v>2280</v>
      </c>
      <c r="K55" s="3"/>
      <c r="L55" s="3" t="s">
        <v>2281</v>
      </c>
      <c r="M55" s="3" t="str">
        <f>HYPERLINK("https://ceds.ed.gov/cedselementdetails.aspx?termid=6293")</f>
        <v>https://ceds.ed.gov/cedselementdetails.aspx?termid=6293</v>
      </c>
      <c r="N55" s="3" t="str">
        <f>HYPERLINK("https://ceds.ed.gov/elementComment.aspx?elementName=Doctoral Exams Required Type &amp;elementID=6293", "Click here to submit comment")</f>
        <v>Click here to submit comment</v>
      </c>
    </row>
    <row r="56" spans="1:14" ht="165">
      <c r="A56" s="3" t="s">
        <v>2344</v>
      </c>
      <c r="B56" s="3" t="s">
        <v>2345</v>
      </c>
      <c r="C56" s="4" t="s">
        <v>6478</v>
      </c>
      <c r="D56" s="3" t="s">
        <v>2346</v>
      </c>
      <c r="E56" s="3"/>
      <c r="F56" s="3" t="s">
        <v>54</v>
      </c>
      <c r="G56" s="3"/>
      <c r="H56" s="3"/>
      <c r="I56" s="3"/>
      <c r="J56" s="3" t="s">
        <v>2347</v>
      </c>
      <c r="K56" s="3"/>
      <c r="L56" s="3" t="s">
        <v>2348</v>
      </c>
      <c r="M56" s="3" t="str">
        <f>HYPERLINK("https://ceds.ed.gov/cedselementdetails.aspx?termid=6294")</f>
        <v>https://ceds.ed.gov/cedselementdetails.aspx?termid=6294</v>
      </c>
      <c r="N56" s="3" t="str">
        <f>HYPERLINK("https://ceds.ed.gov/elementComment.aspx?elementName=Early Learning Federal Funding Type &amp;elementID=6294", "Click here to submit comment")</f>
        <v>Click here to submit comment</v>
      </c>
    </row>
    <row r="57" spans="1:14" ht="30">
      <c r="A57" s="3" t="s">
        <v>2349</v>
      </c>
      <c r="B57" s="3" t="s">
        <v>2350</v>
      </c>
      <c r="C57" s="3" t="s">
        <v>13</v>
      </c>
      <c r="D57" s="3" t="s">
        <v>2351</v>
      </c>
      <c r="E57" s="3"/>
      <c r="F57" s="3" t="s">
        <v>54</v>
      </c>
      <c r="G57" s="3" t="s">
        <v>575</v>
      </c>
      <c r="H57" s="3"/>
      <c r="I57" s="3"/>
      <c r="J57" s="3" t="s">
        <v>2352</v>
      </c>
      <c r="K57" s="3"/>
      <c r="L57" s="3" t="s">
        <v>2353</v>
      </c>
      <c r="M57" s="3" t="str">
        <f>HYPERLINK("https://ceds.ed.gov/cedselementdetails.aspx?termid=6295")</f>
        <v>https://ceds.ed.gov/cedselementdetails.aspx?termid=6295</v>
      </c>
      <c r="N57" s="3" t="str">
        <f>HYPERLINK("https://ceds.ed.gov/elementComment.aspx?elementName=Early Learning Group Size &amp;elementID=6295", "Click here to submit comment")</f>
        <v>Click here to submit comment</v>
      </c>
    </row>
    <row r="58" spans="1:14" ht="120">
      <c r="A58" s="3" t="s">
        <v>2363</v>
      </c>
      <c r="B58" s="3" t="s">
        <v>2364</v>
      </c>
      <c r="C58" s="4" t="s">
        <v>6480</v>
      </c>
      <c r="D58" s="3" t="s">
        <v>2346</v>
      </c>
      <c r="E58" s="3"/>
      <c r="F58" s="3" t="s">
        <v>54</v>
      </c>
      <c r="G58" s="3"/>
      <c r="H58" s="3"/>
      <c r="I58" s="3"/>
      <c r="J58" s="3" t="s">
        <v>2365</v>
      </c>
      <c r="K58" s="3"/>
      <c r="L58" s="3" t="s">
        <v>2366</v>
      </c>
      <c r="M58" s="3" t="str">
        <f>HYPERLINK("https://ceds.ed.gov/cedselementdetails.aspx?termid=6302")</f>
        <v>https://ceds.ed.gov/cedselementdetails.aspx?termid=6302</v>
      </c>
      <c r="N58" s="3" t="str">
        <f>HYPERLINK("https://ceds.ed.gov/elementComment.aspx?elementName=Early Learning Other Federal Funding Sources &amp;elementID=6302", "Click here to submit comment")</f>
        <v>Click here to submit comment</v>
      </c>
    </row>
    <row r="59" spans="1:14" ht="75">
      <c r="A59" s="3" t="s">
        <v>2367</v>
      </c>
      <c r="B59" s="3" t="s">
        <v>2368</v>
      </c>
      <c r="C59" s="4" t="s">
        <v>6481</v>
      </c>
      <c r="D59" s="3" t="s">
        <v>2369</v>
      </c>
      <c r="E59" s="3"/>
      <c r="F59" s="3" t="s">
        <v>54</v>
      </c>
      <c r="G59" s="3"/>
      <c r="H59" s="3"/>
      <c r="I59" s="3"/>
      <c r="J59" s="3" t="s">
        <v>2370</v>
      </c>
      <c r="K59" s="3"/>
      <c r="L59" s="3" t="s">
        <v>2371</v>
      </c>
      <c r="M59" s="3" t="str">
        <f>HYPERLINK("https://ceds.ed.gov/cedselementdetails.aspx?termid=6303")</f>
        <v>https://ceds.ed.gov/cedselementdetails.aspx?termid=6303</v>
      </c>
      <c r="N59" s="3" t="str">
        <f>HYPERLINK("https://ceds.ed.gov/elementComment.aspx?elementName=Early Learning Outcome Measurement Level &amp;elementID=6303", "Click here to submit comment")</f>
        <v>Click here to submit comment</v>
      </c>
    </row>
    <row r="60" spans="1:14" ht="75">
      <c r="A60" s="3" t="s">
        <v>2372</v>
      </c>
      <c r="B60" s="3" t="s">
        <v>2373</v>
      </c>
      <c r="C60" s="4" t="s">
        <v>6482</v>
      </c>
      <c r="D60" s="3" t="s">
        <v>2369</v>
      </c>
      <c r="E60" s="3"/>
      <c r="F60" s="3" t="s">
        <v>54</v>
      </c>
      <c r="G60" s="3"/>
      <c r="H60" s="3"/>
      <c r="I60" s="3"/>
      <c r="J60" s="3" t="s">
        <v>2374</v>
      </c>
      <c r="K60" s="3"/>
      <c r="L60" s="3" t="s">
        <v>2375</v>
      </c>
      <c r="M60" s="3" t="str">
        <f>HYPERLINK("https://ceds.ed.gov/cedselementdetails.aspx?termid=6475")</f>
        <v>https://ceds.ed.gov/cedselementdetails.aspx?termid=6475</v>
      </c>
      <c r="N60" s="3" t="str">
        <f>HYPERLINK("https://ceds.ed.gov/elementComment.aspx?elementName=Early Learning Outcome Time Point &amp;elementID=6475", "Click here to submit comment")</f>
        <v>Click here to submit comment</v>
      </c>
    </row>
    <row r="61" spans="1:14" ht="165">
      <c r="A61" s="3" t="s">
        <v>2376</v>
      </c>
      <c r="B61" s="3" t="s">
        <v>2377</v>
      </c>
      <c r="C61" s="4" t="s">
        <v>6483</v>
      </c>
      <c r="D61" s="3" t="s">
        <v>1542</v>
      </c>
      <c r="E61" s="3"/>
      <c r="F61" s="3" t="s">
        <v>54</v>
      </c>
      <c r="G61" s="3"/>
      <c r="H61" s="3"/>
      <c r="I61" s="3"/>
      <c r="J61" s="3" t="s">
        <v>2378</v>
      </c>
      <c r="K61" s="3"/>
      <c r="L61" s="3" t="s">
        <v>2379</v>
      </c>
      <c r="M61" s="3" t="str">
        <f>HYPERLINK("https://ceds.ed.gov/cedselementdetails.aspx?termid=6304")</f>
        <v>https://ceds.ed.gov/cedselementdetails.aspx?termid=6304</v>
      </c>
      <c r="N61" s="3" t="str">
        <f>HYPERLINK("https://ceds.ed.gov/elementComment.aspx?elementName=Early Learning Professional Development Topic Area &amp;elementID=6304", "Click here to submit comment")</f>
        <v>Click here to submit comment</v>
      </c>
    </row>
    <row r="62" spans="1:14" ht="45">
      <c r="A62" s="3" t="s">
        <v>2395</v>
      </c>
      <c r="B62" s="3" t="s">
        <v>2396</v>
      </c>
      <c r="C62" s="3" t="s">
        <v>13</v>
      </c>
      <c r="D62" s="3" t="s">
        <v>2397</v>
      </c>
      <c r="E62" s="3"/>
      <c r="F62" s="3" t="s">
        <v>54</v>
      </c>
      <c r="G62" s="3" t="s">
        <v>73</v>
      </c>
      <c r="H62" s="3"/>
      <c r="I62" s="3"/>
      <c r="J62" s="3" t="s">
        <v>2398</v>
      </c>
      <c r="K62" s="3"/>
      <c r="L62" s="3" t="s">
        <v>2399</v>
      </c>
      <c r="M62" s="3" t="str">
        <f>HYPERLINK("https://ceds.ed.gov/cedselementdetails.aspx?termid=6305")</f>
        <v>https://ceds.ed.gov/cedselementdetails.aspx?termid=6305</v>
      </c>
      <c r="N62" s="3" t="str">
        <f>HYPERLINK("https://ceds.ed.gov/elementComment.aspx?elementName=Early Learning Program Eligibility Expiration Date &amp;elementID=6305", "Click here to submit comment")</f>
        <v>Click here to submit comment</v>
      </c>
    </row>
    <row r="63" spans="1:14" ht="75">
      <c r="A63" s="3" t="s">
        <v>2400</v>
      </c>
      <c r="B63" s="3" t="s">
        <v>2401</v>
      </c>
      <c r="C63" s="4" t="s">
        <v>6485</v>
      </c>
      <c r="D63" s="3" t="s">
        <v>2397</v>
      </c>
      <c r="E63" s="3"/>
      <c r="F63" s="3" t="s">
        <v>54</v>
      </c>
      <c r="G63" s="3"/>
      <c r="H63" s="3"/>
      <c r="I63" s="3"/>
      <c r="J63" s="3" t="s">
        <v>2402</v>
      </c>
      <c r="K63" s="3"/>
      <c r="L63" s="3" t="s">
        <v>2403</v>
      </c>
      <c r="M63" s="3" t="str">
        <f>HYPERLINK("https://ceds.ed.gov/cedselementdetails.aspx?termid=6306")</f>
        <v>https://ceds.ed.gov/cedselementdetails.aspx?termid=6306</v>
      </c>
      <c r="N63" s="3" t="str">
        <f>HYPERLINK("https://ceds.ed.gov/elementComment.aspx?elementName=Early Learning Program Eligibility Status &amp;elementID=6306", "Click here to submit comment")</f>
        <v>Click here to submit comment</v>
      </c>
    </row>
    <row r="64" spans="1:14" ht="30">
      <c r="A64" s="3" t="s">
        <v>2404</v>
      </c>
      <c r="B64" s="3" t="s">
        <v>2405</v>
      </c>
      <c r="C64" s="3" t="s">
        <v>13</v>
      </c>
      <c r="D64" s="3" t="s">
        <v>2397</v>
      </c>
      <c r="E64" s="3"/>
      <c r="F64" s="3" t="s">
        <v>54</v>
      </c>
      <c r="G64" s="3" t="s">
        <v>73</v>
      </c>
      <c r="H64" s="3"/>
      <c r="I64" s="3"/>
      <c r="J64" s="3" t="s">
        <v>2406</v>
      </c>
      <c r="K64" s="3"/>
      <c r="L64" s="3" t="s">
        <v>2407</v>
      </c>
      <c r="M64" s="3" t="str">
        <f>HYPERLINK("https://ceds.ed.gov/cedselementdetails.aspx?termid=6307")</f>
        <v>https://ceds.ed.gov/cedselementdetails.aspx?termid=6307</v>
      </c>
      <c r="N64" s="3" t="str">
        <f>HYPERLINK("https://ceds.ed.gov/elementComment.aspx?elementName=Early Learning Program Eligibility Status Date &amp;elementID=6307", "Click here to submit comment")</f>
        <v>Click here to submit comment</v>
      </c>
    </row>
    <row r="65" spans="1:14" ht="45">
      <c r="A65" s="3" t="s">
        <v>2470</v>
      </c>
      <c r="B65" s="3" t="s">
        <v>2471</v>
      </c>
      <c r="C65" s="3" t="s">
        <v>5963</v>
      </c>
      <c r="D65" s="3" t="s">
        <v>6149</v>
      </c>
      <c r="E65" s="3"/>
      <c r="F65" s="3" t="s">
        <v>54</v>
      </c>
      <c r="G65" s="3"/>
      <c r="H65" s="3"/>
      <c r="I65" s="3"/>
      <c r="J65" s="3" t="s">
        <v>2472</v>
      </c>
      <c r="K65" s="3"/>
      <c r="L65" s="3" t="s">
        <v>2473</v>
      </c>
      <c r="M65" s="3" t="str">
        <f>HYPERLINK("https://ceds.ed.gov/cedselementdetails.aspx?termid=6308")</f>
        <v>https://ceds.ed.gov/cedselementdetails.aspx?termid=6308</v>
      </c>
      <c r="N65" s="3" t="str">
        <f>HYPERLINK("https://ceds.ed.gov/elementComment.aspx?elementName=Emergency Contact Indicator &amp;elementID=6308", "Click here to submit comment")</f>
        <v>Click here to submit comment</v>
      </c>
    </row>
    <row r="66" spans="1:14" ht="225">
      <c r="A66" s="3" t="s">
        <v>2481</v>
      </c>
      <c r="B66" s="3" t="s">
        <v>2482</v>
      </c>
      <c r="C66" s="3" t="s">
        <v>6150</v>
      </c>
      <c r="D66" s="3" t="s">
        <v>2483</v>
      </c>
      <c r="E66" s="3"/>
      <c r="F66" s="3" t="s">
        <v>54</v>
      </c>
      <c r="G66" s="3"/>
      <c r="H66" s="3"/>
      <c r="I66" s="3" t="s">
        <v>2484</v>
      </c>
      <c r="J66" s="3" t="s">
        <v>2485</v>
      </c>
      <c r="K66" s="3"/>
      <c r="L66" s="3" t="s">
        <v>2486</v>
      </c>
      <c r="M66" s="3" t="str">
        <f>HYPERLINK("https://ceds.ed.gov/cedselementdetails.aspx?termid=6309")</f>
        <v>https://ceds.ed.gov/cedselementdetails.aspx?termid=6309</v>
      </c>
      <c r="N66" s="3" t="str">
        <f>HYPERLINK("https://ceds.ed.gov/elementComment.aspx?elementName=Employed Prior to Enrollment &amp;elementID=6309", "Click here to submit comment")</f>
        <v>Click here to submit comment</v>
      </c>
    </row>
    <row r="67" spans="1:14" ht="75">
      <c r="A67" s="3" t="s">
        <v>2541</v>
      </c>
      <c r="B67" s="3" t="s">
        <v>2542</v>
      </c>
      <c r="C67" s="4" t="s">
        <v>6497</v>
      </c>
      <c r="D67" s="3" t="s">
        <v>2543</v>
      </c>
      <c r="E67" s="3"/>
      <c r="F67" s="3" t="s">
        <v>54</v>
      </c>
      <c r="G67" s="3"/>
      <c r="H67" s="3"/>
      <c r="I67" s="3"/>
      <c r="J67" s="3" t="s">
        <v>2544</v>
      </c>
      <c r="K67" s="3"/>
      <c r="L67" s="3" t="s">
        <v>2545</v>
      </c>
      <c r="M67" s="3" t="str">
        <f>HYPERLINK("https://ceds.ed.gov/cedselementdetails.aspx?termid=6310")</f>
        <v>https://ceds.ed.gov/cedselementdetails.aspx?termid=6310</v>
      </c>
      <c r="N67" s="3" t="str">
        <f>HYPERLINK("https://ceds.ed.gov/elementComment.aspx?elementName=Employment Status While Enrolled &amp;elementID=6310", "Click here to submit comment")</f>
        <v>Click here to submit comment</v>
      </c>
    </row>
    <row r="68" spans="1:14" ht="45">
      <c r="A68" s="3" t="s">
        <v>2633</v>
      </c>
      <c r="B68" s="3" t="s">
        <v>2634</v>
      </c>
      <c r="C68" s="3" t="s">
        <v>5963</v>
      </c>
      <c r="D68" s="3" t="s">
        <v>6081</v>
      </c>
      <c r="E68" s="3"/>
      <c r="F68" s="3" t="s">
        <v>54</v>
      </c>
      <c r="G68" s="3"/>
      <c r="H68" s="3"/>
      <c r="I68" s="3"/>
      <c r="J68" s="3" t="s">
        <v>2635</v>
      </c>
      <c r="K68" s="3"/>
      <c r="L68" s="3" t="s">
        <v>2636</v>
      </c>
      <c r="M68" s="3" t="str">
        <f>HYPERLINK("https://ceds.ed.gov/cedselementdetails.aspx?termid=6311")</f>
        <v>https://ceds.ed.gov/cedselementdetails.aspx?termid=6311</v>
      </c>
      <c r="N68" s="3" t="str">
        <f>HYPERLINK("https://ceds.ed.gov/elementComment.aspx?elementName=Family and Consumer Sciences Course Indicator &amp;elementID=6311", "Click here to submit comment")</f>
        <v>Click here to submit comment</v>
      </c>
    </row>
    <row r="69" spans="1:14" ht="105">
      <c r="A69" s="3" t="s">
        <v>2670</v>
      </c>
      <c r="B69" s="3" t="s">
        <v>2671</v>
      </c>
      <c r="C69" s="4" t="s">
        <v>6508</v>
      </c>
      <c r="D69" s="3" t="s">
        <v>6171</v>
      </c>
      <c r="E69" s="3"/>
      <c r="F69" s="3" t="s">
        <v>54</v>
      </c>
      <c r="G69" s="3"/>
      <c r="H69" s="3"/>
      <c r="I69" s="3"/>
      <c r="J69" s="3" t="s">
        <v>2672</v>
      </c>
      <c r="K69" s="3"/>
      <c r="L69" s="3" t="s">
        <v>2673</v>
      </c>
      <c r="M69" s="3" t="str">
        <f>HYPERLINK("https://ceds.ed.gov/cedselementdetails.aspx?termid=6312")</f>
        <v>https://ceds.ed.gov/cedselementdetails.aspx?termid=6312</v>
      </c>
      <c r="N69" s="3" t="str">
        <f>HYPERLINK("https://ceds.ed.gov/elementComment.aspx?elementName=Financial Account Category &amp;elementID=6312", "Click here to submit comment")</f>
        <v>Click here to submit comment</v>
      </c>
    </row>
    <row r="70" spans="1:14" ht="105">
      <c r="A70" s="3" t="s">
        <v>2674</v>
      </c>
      <c r="B70" s="3" t="s">
        <v>2675</v>
      </c>
      <c r="C70" s="3" t="s">
        <v>13</v>
      </c>
      <c r="D70" s="3" t="s">
        <v>6171</v>
      </c>
      <c r="E70" s="3"/>
      <c r="F70" s="3" t="s">
        <v>54</v>
      </c>
      <c r="G70" s="3" t="s">
        <v>93</v>
      </c>
      <c r="H70" s="3"/>
      <c r="I70" s="3"/>
      <c r="J70" s="3" t="s">
        <v>2676</v>
      </c>
      <c r="K70" s="3"/>
      <c r="L70" s="3" t="s">
        <v>2677</v>
      </c>
      <c r="M70" s="3" t="str">
        <f>HYPERLINK("https://ceds.ed.gov/cedselementdetails.aspx?termid=6313")</f>
        <v>https://ceds.ed.gov/cedselementdetails.aspx?termid=6313</v>
      </c>
      <c r="N70" s="3" t="str">
        <f>HYPERLINK("https://ceds.ed.gov/elementComment.aspx?elementName=Financial Account Description &amp;elementID=6313", "Click here to submit comment")</f>
        <v>Click here to submit comment</v>
      </c>
    </row>
    <row r="71" spans="1:14" ht="150">
      <c r="A71" s="3" t="s">
        <v>2678</v>
      </c>
      <c r="B71" s="3" t="s">
        <v>2679</v>
      </c>
      <c r="C71" s="4" t="s">
        <v>6509</v>
      </c>
      <c r="D71" s="3" t="s">
        <v>6171</v>
      </c>
      <c r="E71" s="3"/>
      <c r="F71" s="3" t="s">
        <v>54</v>
      </c>
      <c r="G71" s="3"/>
      <c r="H71" s="3"/>
      <c r="I71" s="3" t="s">
        <v>2680</v>
      </c>
      <c r="J71" s="3" t="s">
        <v>2681</v>
      </c>
      <c r="K71" s="3"/>
      <c r="L71" s="3" t="s">
        <v>2682</v>
      </c>
      <c r="M71" s="3" t="str">
        <f>HYPERLINK("https://ceds.ed.gov/cedselementdetails.aspx?termid=6314")</f>
        <v>https://ceds.ed.gov/cedselementdetails.aspx?termid=6314</v>
      </c>
      <c r="N71" s="3" t="str">
        <f>HYPERLINK("https://ceds.ed.gov/elementComment.aspx?elementName=Financial Account Fund Classification &amp;elementID=6314", "Click here to submit comment")</f>
        <v>Click here to submit comment</v>
      </c>
    </row>
    <row r="72" spans="1:14" ht="105">
      <c r="A72" s="3" t="s">
        <v>2683</v>
      </c>
      <c r="B72" s="3" t="s">
        <v>2684</v>
      </c>
      <c r="C72" s="3" t="s">
        <v>13</v>
      </c>
      <c r="D72" s="3" t="s">
        <v>6171</v>
      </c>
      <c r="E72" s="3"/>
      <c r="F72" s="3" t="s">
        <v>54</v>
      </c>
      <c r="G72" s="3" t="s">
        <v>745</v>
      </c>
      <c r="H72" s="3"/>
      <c r="I72" s="3"/>
      <c r="J72" s="3" t="s">
        <v>2685</v>
      </c>
      <c r="K72" s="3"/>
      <c r="L72" s="3" t="s">
        <v>2686</v>
      </c>
      <c r="M72" s="3" t="str">
        <f>HYPERLINK("https://ceds.ed.gov/cedselementdetails.aspx?termid=6315")</f>
        <v>https://ceds.ed.gov/cedselementdetails.aspx?termid=6315</v>
      </c>
      <c r="N72" s="3" t="str">
        <f>HYPERLINK("https://ceds.ed.gov/elementComment.aspx?elementName=Financial Account Name &amp;elementID=6315", "Click here to submit comment")</f>
        <v>Click here to submit comment</v>
      </c>
    </row>
    <row r="73" spans="1:14" ht="240">
      <c r="A73" s="3" t="s">
        <v>2687</v>
      </c>
      <c r="B73" s="3" t="s">
        <v>2688</v>
      </c>
      <c r="C73" s="4" t="s">
        <v>6510</v>
      </c>
      <c r="D73" s="3" t="s">
        <v>6171</v>
      </c>
      <c r="E73" s="3"/>
      <c r="F73" s="3" t="s">
        <v>54</v>
      </c>
      <c r="G73" s="3"/>
      <c r="H73" s="3"/>
      <c r="I73" s="3"/>
      <c r="J73" s="3" t="s">
        <v>2689</v>
      </c>
      <c r="K73" s="3"/>
      <c r="L73" s="3" t="s">
        <v>2690</v>
      </c>
      <c r="M73" s="3" t="str">
        <f>HYPERLINK("https://ceds.ed.gov/cedselementdetails.aspx?termid=6316")</f>
        <v>https://ceds.ed.gov/cedselementdetails.aspx?termid=6316</v>
      </c>
      <c r="N73" s="3" t="str">
        <f>HYPERLINK("https://ceds.ed.gov/elementComment.aspx?elementName=Financial Account Program Code &amp;elementID=6316", "Click here to submit comment")</f>
        <v>Click here to submit comment</v>
      </c>
    </row>
    <row r="74" spans="1:14" ht="105">
      <c r="A74" s="3" t="s">
        <v>2691</v>
      </c>
      <c r="B74" s="3" t="s">
        <v>2692</v>
      </c>
      <c r="C74" s="3" t="s">
        <v>13</v>
      </c>
      <c r="D74" s="3" t="s">
        <v>6171</v>
      </c>
      <c r="E74" s="3"/>
      <c r="F74" s="3" t="s">
        <v>54</v>
      </c>
      <c r="G74" s="3" t="s">
        <v>1461</v>
      </c>
      <c r="H74" s="3"/>
      <c r="I74" s="3"/>
      <c r="J74" s="3" t="s">
        <v>2693</v>
      </c>
      <c r="K74" s="3"/>
      <c r="L74" s="3" t="s">
        <v>2694</v>
      </c>
      <c r="M74" s="3" t="str">
        <f>HYPERLINK("https://ceds.ed.gov/cedselementdetails.aspx?termid=6317")</f>
        <v>https://ceds.ed.gov/cedselementdetails.aspx?termid=6317</v>
      </c>
      <c r="N74" s="3" t="str">
        <f>HYPERLINK("https://ceds.ed.gov/elementComment.aspx?elementName=Financial Accounting Period Actual Value &amp;elementID=6317", "Click here to submit comment")</f>
        <v>Click here to submit comment</v>
      </c>
    </row>
    <row r="75" spans="1:14" ht="105">
      <c r="A75" s="3" t="s">
        <v>2695</v>
      </c>
      <c r="B75" s="3" t="s">
        <v>2696</v>
      </c>
      <c r="C75" s="3" t="s">
        <v>13</v>
      </c>
      <c r="D75" s="3" t="s">
        <v>6171</v>
      </c>
      <c r="E75" s="3"/>
      <c r="F75" s="3" t="s">
        <v>54</v>
      </c>
      <c r="G75" s="3" t="s">
        <v>1461</v>
      </c>
      <c r="H75" s="3"/>
      <c r="I75" s="3"/>
      <c r="J75" s="3" t="s">
        <v>2697</v>
      </c>
      <c r="K75" s="3"/>
      <c r="L75" s="3" t="s">
        <v>2698</v>
      </c>
      <c r="M75" s="3" t="str">
        <f>HYPERLINK("https://ceds.ed.gov/cedselementdetails.aspx?termid=6318")</f>
        <v>https://ceds.ed.gov/cedselementdetails.aspx?termid=6318</v>
      </c>
      <c r="N75" s="3" t="str">
        <f>HYPERLINK("https://ceds.ed.gov/elementComment.aspx?elementName=Financial Accounting Period Budgeted Value &amp;elementID=6318", "Click here to submit comment")</f>
        <v>Click here to submit comment</v>
      </c>
    </row>
    <row r="76" spans="1:14" ht="150">
      <c r="A76" s="3" t="s">
        <v>2726</v>
      </c>
      <c r="B76" s="3" t="s">
        <v>2727</v>
      </c>
      <c r="C76" s="3" t="s">
        <v>13</v>
      </c>
      <c r="D76" s="3" t="s">
        <v>2701</v>
      </c>
      <c r="E76" s="3"/>
      <c r="F76" s="3" t="s">
        <v>54</v>
      </c>
      <c r="G76" s="3" t="s">
        <v>1461</v>
      </c>
      <c r="H76" s="3"/>
      <c r="I76" s="3"/>
      <c r="J76" s="3" t="s">
        <v>2728</v>
      </c>
      <c r="K76" s="3"/>
      <c r="L76" s="3" t="s">
        <v>2729</v>
      </c>
      <c r="M76" s="3" t="str">
        <f>HYPERLINK("https://ceds.ed.gov/cedselementdetails.aspx?termid=6319")</f>
        <v>https://ceds.ed.gov/cedselementdetails.aspx?termid=6319</v>
      </c>
      <c r="N76" s="3" t="str">
        <f>HYPERLINK("https://ceds.ed.gov/elementComment.aspx?elementName=Financial Aid Income Level &amp;elementID=6319", "Click here to submit comment")</f>
        <v>Click here to submit comment</v>
      </c>
    </row>
    <row r="77" spans="1:14" ht="409.5">
      <c r="A77" s="3" t="s">
        <v>2730</v>
      </c>
      <c r="B77" s="3" t="s">
        <v>2731</v>
      </c>
      <c r="C77" s="4" t="s">
        <v>6513</v>
      </c>
      <c r="D77" s="3" t="s">
        <v>6171</v>
      </c>
      <c r="E77" s="3"/>
      <c r="F77" s="3" t="s">
        <v>54</v>
      </c>
      <c r="G77" s="3"/>
      <c r="H77" s="3"/>
      <c r="I77" s="3" t="s">
        <v>2732</v>
      </c>
      <c r="J77" s="3" t="s">
        <v>2733</v>
      </c>
      <c r="K77" s="3"/>
      <c r="L77" s="3" t="s">
        <v>2734</v>
      </c>
      <c r="M77" s="3" t="str">
        <f>HYPERLINK("https://ceds.ed.gov/cedselementdetails.aspx?termid=6320")</f>
        <v>https://ceds.ed.gov/cedselementdetails.aspx?termid=6320</v>
      </c>
      <c r="N77" s="3" t="str">
        <f>HYPERLINK("https://ceds.ed.gov/elementComment.aspx?elementName=Financial Balance Sheet Account Code &amp;elementID=6320", "Click here to submit comment")</f>
        <v>Click here to submit comment</v>
      </c>
    </row>
    <row r="78" spans="1:14" ht="409.5">
      <c r="A78" s="3" t="s">
        <v>2735</v>
      </c>
      <c r="B78" s="3" t="s">
        <v>2736</v>
      </c>
      <c r="C78" s="4" t="s">
        <v>6514</v>
      </c>
      <c r="D78" s="3" t="s">
        <v>6171</v>
      </c>
      <c r="E78" s="3"/>
      <c r="F78" s="3" t="s">
        <v>54</v>
      </c>
      <c r="G78" s="3"/>
      <c r="H78" s="3"/>
      <c r="I78" s="3" t="s">
        <v>2732</v>
      </c>
      <c r="J78" s="3" t="s">
        <v>2737</v>
      </c>
      <c r="K78" s="3"/>
      <c r="L78" s="3" t="s">
        <v>2738</v>
      </c>
      <c r="M78" s="3" t="str">
        <f>HYPERLINK("https://ceds.ed.gov/cedselementdetails.aspx?termid=6321")</f>
        <v>https://ceds.ed.gov/cedselementdetails.aspx?termid=6321</v>
      </c>
      <c r="N78" s="3" t="str">
        <f>HYPERLINK("https://ceds.ed.gov/elementComment.aspx?elementName=Financial Expenditure Function Code &amp;elementID=6321", "Click here to submit comment")</f>
        <v>Click here to submit comment</v>
      </c>
    </row>
    <row r="79" spans="1:14" ht="409.5">
      <c r="A79" s="3" t="s">
        <v>2739</v>
      </c>
      <c r="B79" s="3" t="s">
        <v>2740</v>
      </c>
      <c r="C79" s="4" t="s">
        <v>6515</v>
      </c>
      <c r="D79" s="3" t="s">
        <v>6171</v>
      </c>
      <c r="E79" s="3"/>
      <c r="F79" s="3" t="s">
        <v>54</v>
      </c>
      <c r="G79" s="3"/>
      <c r="H79" s="3"/>
      <c r="I79" s="3" t="s">
        <v>2741</v>
      </c>
      <c r="J79" s="3" t="s">
        <v>2742</v>
      </c>
      <c r="K79" s="3"/>
      <c r="L79" s="3" t="s">
        <v>2743</v>
      </c>
      <c r="M79" s="3" t="str">
        <f>HYPERLINK("https://ceds.ed.gov/cedselementdetails.aspx?termid=6322")</f>
        <v>https://ceds.ed.gov/cedselementdetails.aspx?termid=6322</v>
      </c>
      <c r="N79" s="3" t="str">
        <f>HYPERLINK("https://ceds.ed.gov/elementComment.aspx?elementName=Financial Expenditure Object Code &amp;elementID=6322", "Click here to submit comment")</f>
        <v>Click here to submit comment</v>
      </c>
    </row>
    <row r="80" spans="1:14" ht="409.5">
      <c r="A80" s="3" t="s">
        <v>2754</v>
      </c>
      <c r="B80" s="3" t="s">
        <v>2755</v>
      </c>
      <c r="C80" s="4" t="s">
        <v>6516</v>
      </c>
      <c r="D80" s="3"/>
      <c r="E80" s="3"/>
      <c r="F80" s="3" t="s">
        <v>54</v>
      </c>
      <c r="G80" s="3"/>
      <c r="H80" s="3"/>
      <c r="I80" s="3"/>
      <c r="J80" s="3" t="s">
        <v>2756</v>
      </c>
      <c r="K80" s="3"/>
      <c r="L80" s="3" t="s">
        <v>2757</v>
      </c>
      <c r="M80" s="3" t="str">
        <f>HYPERLINK("https://ceds.ed.gov/cedselementdetails.aspx?termid=6440")</f>
        <v>https://ceds.ed.gov/cedselementdetails.aspx?termid=6440</v>
      </c>
      <c r="N80" s="3" t="str">
        <f>HYPERLINK("https://ceds.ed.gov/elementComment.aspx?elementName=Financial Revenue Account Code &amp;elementID=6440", "Click here to submit comment")</f>
        <v>Click here to submit comment</v>
      </c>
    </row>
    <row r="81" spans="1:14" ht="30">
      <c r="A81" s="3" t="s">
        <v>2785</v>
      </c>
      <c r="B81" s="3" t="s">
        <v>2786</v>
      </c>
      <c r="C81" s="3" t="s">
        <v>13</v>
      </c>
      <c r="D81" s="3" t="s">
        <v>2787</v>
      </c>
      <c r="E81" s="3"/>
      <c r="F81" s="3" t="s">
        <v>54</v>
      </c>
      <c r="G81" s="3" t="s">
        <v>73</v>
      </c>
      <c r="H81" s="3"/>
      <c r="I81" s="3"/>
      <c r="J81" s="3" t="s">
        <v>2788</v>
      </c>
      <c r="K81" s="3"/>
      <c r="L81" s="3" t="s">
        <v>2789</v>
      </c>
      <c r="M81" s="3" t="str">
        <f>HYPERLINK("https://ceds.ed.gov/cedselementdetails.aspx?termid=6495")</f>
        <v>https://ceds.ed.gov/cedselementdetails.aspx?termid=6495</v>
      </c>
      <c r="N81" s="3" t="str">
        <f>HYPERLINK("https://ceds.ed.gov/elementComment.aspx?elementName=Foster Care End Date &amp;elementID=6495", "Click here to submit comment")</f>
        <v>Click here to submit comment</v>
      </c>
    </row>
    <row r="82" spans="1:14" ht="30">
      <c r="A82" s="3" t="s">
        <v>2790</v>
      </c>
      <c r="B82" s="3" t="s">
        <v>2791</v>
      </c>
      <c r="C82" s="3" t="s">
        <v>13</v>
      </c>
      <c r="D82" s="3" t="s">
        <v>2787</v>
      </c>
      <c r="E82" s="3"/>
      <c r="F82" s="3" t="s">
        <v>54</v>
      </c>
      <c r="G82" s="3" t="s">
        <v>73</v>
      </c>
      <c r="H82" s="3"/>
      <c r="I82" s="3"/>
      <c r="J82" s="3" t="s">
        <v>2792</v>
      </c>
      <c r="K82" s="3"/>
      <c r="L82" s="3" t="s">
        <v>2793</v>
      </c>
      <c r="M82" s="3" t="str">
        <f>HYPERLINK("https://ceds.ed.gov/cedselementdetails.aspx?termid=6496")</f>
        <v>https://ceds.ed.gov/cedselementdetails.aspx?termid=6496</v>
      </c>
      <c r="N82" s="3" t="str">
        <f>HYPERLINK("https://ceds.ed.gov/elementComment.aspx?elementName=Foster Care Start Date &amp;elementID=6496", "Click here to submit comment")</f>
        <v>Click here to submit comment</v>
      </c>
    </row>
    <row r="83" spans="1:14" ht="90">
      <c r="A83" s="3" t="s">
        <v>2802</v>
      </c>
      <c r="B83" s="3" t="s">
        <v>2803</v>
      </c>
      <c r="C83" s="3" t="s">
        <v>6177</v>
      </c>
      <c r="D83" s="3" t="s">
        <v>2804</v>
      </c>
      <c r="E83" s="3"/>
      <c r="F83" s="3" t="s">
        <v>54</v>
      </c>
      <c r="G83" s="3"/>
      <c r="H83" s="3"/>
      <c r="I83" s="3"/>
      <c r="J83" s="3" t="s">
        <v>2805</v>
      </c>
      <c r="K83" s="3"/>
      <c r="L83" s="3" t="s">
        <v>2806</v>
      </c>
      <c r="M83" s="3" t="str">
        <f>HYPERLINK("https://ceds.ed.gov/cedselementdetails.aspx?termid=6323")</f>
        <v>https://ceds.ed.gov/cedselementdetails.aspx?termid=6323</v>
      </c>
      <c r="N83" s="3" t="str">
        <f>HYPERLINK("https://ceds.ed.gov/elementComment.aspx?elementName=Frequency of Service &amp;elementID=6323", "Click here to submit comment")</f>
        <v>Click here to submit comment</v>
      </c>
    </row>
    <row r="84" spans="1:14" ht="105">
      <c r="A84" s="3" t="s">
        <v>2903</v>
      </c>
      <c r="B84" s="3" t="s">
        <v>2904</v>
      </c>
      <c r="C84" s="4" t="s">
        <v>6524</v>
      </c>
      <c r="D84" s="3" t="s">
        <v>2267</v>
      </c>
      <c r="E84" s="3"/>
      <c r="F84" s="3" t="s">
        <v>54</v>
      </c>
      <c r="G84" s="3"/>
      <c r="H84" s="3"/>
      <c r="I84" s="3"/>
      <c r="J84" s="3" t="s">
        <v>2905</v>
      </c>
      <c r="K84" s="3"/>
      <c r="L84" s="3" t="s">
        <v>2906</v>
      </c>
      <c r="M84" s="3" t="str">
        <f>HYPERLINK("https://ceds.ed.gov/cedselementdetails.aspx?termid=6324")</f>
        <v>https://ceds.ed.gov/cedselementdetails.aspx?termid=6324</v>
      </c>
      <c r="N84" s="3" t="str">
        <f>HYPERLINK("https://ceds.ed.gov/elementComment.aspx?elementName=Graduate or Doctoral Exam Results Status &amp;elementID=6324", "Click here to submit comment")</f>
        <v>Click here to submit comment</v>
      </c>
    </row>
    <row r="85" spans="1:14" ht="45">
      <c r="A85" s="3" t="s">
        <v>2924</v>
      </c>
      <c r="B85" s="3" t="s">
        <v>2925</v>
      </c>
      <c r="C85" s="3" t="s">
        <v>13</v>
      </c>
      <c r="D85" s="3" t="s">
        <v>2926</v>
      </c>
      <c r="E85" s="3"/>
      <c r="F85" s="3" t="s">
        <v>54</v>
      </c>
      <c r="G85" s="3" t="s">
        <v>93</v>
      </c>
      <c r="H85" s="3"/>
      <c r="I85" s="3"/>
      <c r="J85" s="3" t="s">
        <v>2927</v>
      </c>
      <c r="K85" s="3"/>
      <c r="L85" s="3" t="s">
        <v>2928</v>
      </c>
      <c r="M85" s="3" t="str">
        <f>HYPERLINK("https://ceds.ed.gov/cedselementdetails.aspx?termid=6325")</f>
        <v>https://ceds.ed.gov/cedselementdetails.aspx?termid=6325</v>
      </c>
      <c r="N85" s="3" t="str">
        <f>HYPERLINK("https://ceds.ed.gov/elementComment.aspx?elementName=Health Screening Equipment Used &amp;elementID=6325", "Click here to submit comment")</f>
        <v>Click here to submit comment</v>
      </c>
    </row>
    <row r="86" spans="1:14" ht="45">
      <c r="A86" s="3" t="s">
        <v>2929</v>
      </c>
      <c r="B86" s="3" t="s">
        <v>2930</v>
      </c>
      <c r="C86" s="3" t="s">
        <v>13</v>
      </c>
      <c r="D86" s="3" t="s">
        <v>2926</v>
      </c>
      <c r="E86" s="3"/>
      <c r="F86" s="3" t="s">
        <v>54</v>
      </c>
      <c r="G86" s="3" t="s">
        <v>319</v>
      </c>
      <c r="H86" s="3"/>
      <c r="I86" s="3"/>
      <c r="J86" s="3" t="s">
        <v>2931</v>
      </c>
      <c r="K86" s="3"/>
      <c r="L86" s="3" t="s">
        <v>2932</v>
      </c>
      <c r="M86" s="3" t="str">
        <f>HYPERLINK("https://ceds.ed.gov/cedselementdetails.aspx?termid=6326")</f>
        <v>https://ceds.ed.gov/cedselementdetails.aspx?termid=6326</v>
      </c>
      <c r="N86" s="3" t="str">
        <f>HYPERLINK("https://ceds.ed.gov/elementComment.aspx?elementName=Health Screening Follow-up Recommendation &amp;elementID=6326", "Click here to submit comment")</f>
        <v>Click here to submit comment</v>
      </c>
    </row>
    <row r="87" spans="1:14" ht="60">
      <c r="A87" s="3" t="s">
        <v>3035</v>
      </c>
      <c r="B87" s="3" t="s">
        <v>3036</v>
      </c>
      <c r="C87" s="4" t="s">
        <v>6537</v>
      </c>
      <c r="D87" s="3" t="s">
        <v>3037</v>
      </c>
      <c r="E87" s="3"/>
      <c r="F87" s="3" t="s">
        <v>54</v>
      </c>
      <c r="G87" s="3"/>
      <c r="H87" s="3"/>
      <c r="I87" s="3"/>
      <c r="J87" s="3" t="s">
        <v>3038</v>
      </c>
      <c r="K87" s="3"/>
      <c r="L87" s="3" t="s">
        <v>3039</v>
      </c>
      <c r="M87" s="3" t="str">
        <f>HYPERLINK("https://ceds.ed.gov/cedselementdetails.aspx?termid=6473")</f>
        <v>https://ceds.ed.gov/cedselementdetails.aspx?termid=6473</v>
      </c>
      <c r="N87" s="3" t="str">
        <f>HYPERLINK("https://ceds.ed.gov/elementComment.aspx?elementName=IDEA IEP Status &amp;elementID=6473", "Click here to submit comment")</f>
        <v>Click here to submit comment</v>
      </c>
    </row>
    <row r="88" spans="1:14" ht="45">
      <c r="A88" s="3" t="s">
        <v>3052</v>
      </c>
      <c r="B88" s="3" t="s">
        <v>3053</v>
      </c>
      <c r="C88" s="3" t="s">
        <v>5963</v>
      </c>
      <c r="D88" s="3" t="s">
        <v>6201</v>
      </c>
      <c r="E88" s="3"/>
      <c r="F88" s="3" t="s">
        <v>54</v>
      </c>
      <c r="G88" s="3"/>
      <c r="H88" s="3"/>
      <c r="I88" s="3"/>
      <c r="J88" s="3" t="s">
        <v>3054</v>
      </c>
      <c r="K88" s="3"/>
      <c r="L88" s="3" t="s">
        <v>3055</v>
      </c>
      <c r="M88" s="3" t="str">
        <f>HYPERLINK("https://ceds.ed.gov/cedselementdetails.aspx?termid=6327")</f>
        <v>https://ceds.ed.gov/cedselementdetails.aspx?termid=6327</v>
      </c>
      <c r="N88" s="3" t="str">
        <f>HYPERLINK("https://ceds.ed.gov/elementComment.aspx?elementName=IDEA Part B 619 Potential Eligibility Indicator &amp;elementID=6327", "Click here to submit comment")</f>
        <v>Click here to submit comment</v>
      </c>
    </row>
    <row r="89" spans="1:14" ht="75">
      <c r="A89" s="3" t="s">
        <v>3056</v>
      </c>
      <c r="B89" s="3" t="s">
        <v>3057</v>
      </c>
      <c r="C89" s="3" t="s">
        <v>13</v>
      </c>
      <c r="D89" s="3" t="s">
        <v>3037</v>
      </c>
      <c r="E89" s="3"/>
      <c r="F89" s="3" t="s">
        <v>54</v>
      </c>
      <c r="G89" s="3" t="s">
        <v>73</v>
      </c>
      <c r="H89" s="3"/>
      <c r="I89" s="3"/>
      <c r="J89" s="3" t="s">
        <v>3058</v>
      </c>
      <c r="K89" s="3"/>
      <c r="L89" s="3" t="s">
        <v>3059</v>
      </c>
      <c r="M89" s="3" t="str">
        <f>HYPERLINK("https://ceds.ed.gov/cedselementdetails.aspx?termid=6472")</f>
        <v>https://ceds.ed.gov/cedselementdetails.aspx?termid=6472</v>
      </c>
      <c r="N89" s="3" t="str">
        <f>HYPERLINK("https://ceds.ed.gov/elementComment.aspx?elementName=IDEA Part C to B Sharing Notification Date &amp;elementID=6472", "Click here to submit comment")</f>
        <v>Click here to submit comment</v>
      </c>
    </row>
    <row r="90" spans="1:14" ht="30">
      <c r="A90" s="3" t="s">
        <v>3060</v>
      </c>
      <c r="B90" s="3" t="s">
        <v>3061</v>
      </c>
      <c r="C90" s="3" t="s">
        <v>13</v>
      </c>
      <c r="D90" s="3" t="s">
        <v>3037</v>
      </c>
      <c r="E90" s="3"/>
      <c r="F90" s="3" t="s">
        <v>54</v>
      </c>
      <c r="G90" s="3" t="s">
        <v>73</v>
      </c>
      <c r="H90" s="3"/>
      <c r="I90" s="3"/>
      <c r="J90" s="3" t="s">
        <v>3062</v>
      </c>
      <c r="K90" s="3"/>
      <c r="L90" s="3" t="s">
        <v>3063</v>
      </c>
      <c r="M90" s="3" t="str">
        <f>HYPERLINK("https://ceds.ed.gov/cedselementdetails.aspx?termid=6333")</f>
        <v>https://ceds.ed.gov/cedselementdetails.aspx?termid=6333</v>
      </c>
      <c r="N90" s="3" t="str">
        <f>HYPERLINK("https://ceds.ed.gov/elementComment.aspx?elementName=IDEA Part C to Part B Date of Transition Conference &amp;elementID=6333", "Click here to submit comment")</f>
        <v>Click here to submit comment</v>
      </c>
    </row>
    <row r="91" spans="1:14" ht="45">
      <c r="A91" s="3" t="s">
        <v>3064</v>
      </c>
      <c r="B91" s="3" t="s">
        <v>3065</v>
      </c>
      <c r="C91" s="3" t="s">
        <v>13</v>
      </c>
      <c r="D91" s="3" t="s">
        <v>3037</v>
      </c>
      <c r="E91" s="3"/>
      <c r="F91" s="3" t="s">
        <v>54</v>
      </c>
      <c r="G91" s="3" t="s">
        <v>73</v>
      </c>
      <c r="H91" s="3"/>
      <c r="I91" s="3"/>
      <c r="J91" s="3" t="s">
        <v>3066</v>
      </c>
      <c r="K91" s="3"/>
      <c r="L91" s="3" t="s">
        <v>3067</v>
      </c>
      <c r="M91" s="3" t="str">
        <f>HYPERLINK("https://ceds.ed.gov/cedselementdetails.aspx?termid=6334")</f>
        <v>https://ceds.ed.gov/cedselementdetails.aspx?termid=6334</v>
      </c>
      <c r="N91" s="3" t="str">
        <f>HYPERLINK("https://ceds.ed.gov/elementComment.aspx?elementName=IDEA Part C to Part B Date of Transition Conference Decline &amp;elementID=6334", "Click here to submit comment")</f>
        <v>Click here to submit comment</v>
      </c>
    </row>
    <row r="92" spans="1:14" ht="45">
      <c r="A92" s="3" t="s">
        <v>3068</v>
      </c>
      <c r="B92" s="3" t="s">
        <v>3069</v>
      </c>
      <c r="C92" s="3" t="s">
        <v>13</v>
      </c>
      <c r="D92" s="3" t="s">
        <v>3037</v>
      </c>
      <c r="E92" s="3"/>
      <c r="F92" s="3" t="s">
        <v>54</v>
      </c>
      <c r="G92" s="3" t="s">
        <v>73</v>
      </c>
      <c r="H92" s="3"/>
      <c r="I92" s="3"/>
      <c r="J92" s="3" t="s">
        <v>3070</v>
      </c>
      <c r="K92" s="3"/>
      <c r="L92" s="3" t="s">
        <v>3071</v>
      </c>
      <c r="M92" s="3" t="str">
        <f>HYPERLINK("https://ceds.ed.gov/cedselementdetails.aspx?termid=6335")</f>
        <v>https://ceds.ed.gov/cedselementdetails.aspx?termid=6335</v>
      </c>
      <c r="N92" s="3" t="str">
        <f>HYPERLINK("https://ceds.ed.gov/elementComment.aspx?elementName=IDEA Part C to Part B Date of Transition Plan Steps or Services &amp;elementID=6335", "Click here to submit comment")</f>
        <v>Click here to submit comment</v>
      </c>
    </row>
    <row r="93" spans="1:14" ht="105">
      <c r="A93" s="3" t="s">
        <v>3072</v>
      </c>
      <c r="B93" s="3" t="s">
        <v>3073</v>
      </c>
      <c r="C93" s="3" t="s">
        <v>13</v>
      </c>
      <c r="D93" s="3" t="s">
        <v>3037</v>
      </c>
      <c r="E93" s="3"/>
      <c r="F93" s="3" t="s">
        <v>54</v>
      </c>
      <c r="G93" s="3" t="s">
        <v>73</v>
      </c>
      <c r="H93" s="3"/>
      <c r="I93" s="3"/>
      <c r="J93" s="3" t="s">
        <v>3074</v>
      </c>
      <c r="K93" s="3"/>
      <c r="L93" s="3" t="s">
        <v>3075</v>
      </c>
      <c r="M93" s="3" t="str">
        <f>HYPERLINK("https://ceds.ed.gov/cedselementdetails.aspx?termid=6331")</f>
        <v>https://ceds.ed.gov/cedselementdetails.aspx?termid=6331</v>
      </c>
      <c r="N93" s="3" t="str">
        <f>HYPERLINK("https://ceds.ed.gov/elementComment.aspx?elementName=IDEA Part C to Part B Parent Notification Opt Out Date &amp;elementID=6331", "Click here to submit comment")</f>
        <v>Click here to submit comment</v>
      </c>
    </row>
    <row r="94" spans="1:14" ht="105">
      <c r="A94" s="3" t="s">
        <v>3076</v>
      </c>
      <c r="B94" s="3" t="s">
        <v>3077</v>
      </c>
      <c r="C94" s="3" t="s">
        <v>5963</v>
      </c>
      <c r="D94" s="3" t="s">
        <v>3037</v>
      </c>
      <c r="E94" s="3"/>
      <c r="F94" s="3" t="s">
        <v>54</v>
      </c>
      <c r="G94" s="3"/>
      <c r="H94" s="3"/>
      <c r="I94" s="3"/>
      <c r="J94" s="3" t="s">
        <v>3078</v>
      </c>
      <c r="K94" s="3"/>
      <c r="L94" s="3" t="s">
        <v>3079</v>
      </c>
      <c r="M94" s="3" t="str">
        <f>HYPERLINK("https://ceds.ed.gov/cedselementdetails.aspx?termid=6330")</f>
        <v>https://ceds.ed.gov/cedselementdetails.aspx?termid=6330</v>
      </c>
      <c r="N94" s="3" t="str">
        <f>HYPERLINK("https://ceds.ed.gov/elementComment.aspx?elementName=IDEA Part C to Part B Parent Notification Opt Out Indicator &amp;elementID=6330", "Click here to submit comment")</f>
        <v>Click here to submit comment</v>
      </c>
    </row>
    <row r="95" spans="1:14" ht="60">
      <c r="A95" s="3" t="s">
        <v>3130</v>
      </c>
      <c r="B95" s="3" t="s">
        <v>3131</v>
      </c>
      <c r="C95" s="3" t="s">
        <v>6205</v>
      </c>
      <c r="D95" s="3" t="s">
        <v>2760</v>
      </c>
      <c r="E95" s="3"/>
      <c r="F95" s="3" t="s">
        <v>54</v>
      </c>
      <c r="G95" s="3"/>
      <c r="H95" s="3"/>
      <c r="I95" s="3"/>
      <c r="J95" s="3" t="s">
        <v>3132</v>
      </c>
      <c r="K95" s="3"/>
      <c r="L95" s="3" t="s">
        <v>3133</v>
      </c>
      <c r="M95" s="3" t="str">
        <f>HYPERLINK("https://ceds.ed.gov/cedselementdetails.aspx?termid=6337")</f>
        <v>https://ceds.ed.gov/cedselementdetails.aspx?termid=6337</v>
      </c>
      <c r="N95" s="3" t="str">
        <f>HYPERLINK("https://ceds.ed.gov/elementComment.aspx?elementName=Incident Multiple Offense Type &amp;elementID=6337", "Click here to submit comment")</f>
        <v>Click here to submit comment</v>
      </c>
    </row>
    <row r="96" spans="1:14" ht="60">
      <c r="A96" s="3" t="s">
        <v>3134</v>
      </c>
      <c r="B96" s="3" t="s">
        <v>3135</v>
      </c>
      <c r="C96" s="3" t="s">
        <v>13</v>
      </c>
      <c r="D96" s="3" t="s">
        <v>2760</v>
      </c>
      <c r="E96" s="3"/>
      <c r="F96" s="3" t="s">
        <v>54</v>
      </c>
      <c r="G96" s="3" t="s">
        <v>100</v>
      </c>
      <c r="H96" s="3"/>
      <c r="I96" s="3"/>
      <c r="J96" s="3" t="s">
        <v>3136</v>
      </c>
      <c r="K96" s="3"/>
      <c r="L96" s="3" t="s">
        <v>3137</v>
      </c>
      <c r="M96" s="3" t="str">
        <f>HYPERLINK("https://ceds.ed.gov/cedselementdetails.aspx?termid=6338")</f>
        <v>https://ceds.ed.gov/cedselementdetails.aspx?termid=6338</v>
      </c>
      <c r="N96" s="3" t="str">
        <f>HYPERLINK("https://ceds.ed.gov/elementComment.aspx?elementName=Incident Perpetrator Identifier &amp;elementID=6338", "Click here to submit comment")</f>
        <v>Click here to submit comment</v>
      </c>
    </row>
    <row r="97" spans="1:14" ht="105">
      <c r="A97" s="3" t="s">
        <v>3138</v>
      </c>
      <c r="B97" s="3" t="s">
        <v>3139</v>
      </c>
      <c r="C97" s="4" t="s">
        <v>6542</v>
      </c>
      <c r="D97" s="3" t="s">
        <v>2760</v>
      </c>
      <c r="E97" s="3"/>
      <c r="F97" s="3" t="s">
        <v>54</v>
      </c>
      <c r="G97" s="3"/>
      <c r="H97" s="3"/>
      <c r="I97" s="3"/>
      <c r="J97" s="3" t="s">
        <v>3140</v>
      </c>
      <c r="K97" s="3"/>
      <c r="L97" s="3" t="s">
        <v>3141</v>
      </c>
      <c r="M97" s="3" t="str">
        <f>HYPERLINK("https://ceds.ed.gov/cedselementdetails.aspx?termid=6339")</f>
        <v>https://ceds.ed.gov/cedselementdetails.aspx?termid=6339</v>
      </c>
      <c r="N97" s="3" t="str">
        <f>HYPERLINK("https://ceds.ed.gov/elementComment.aspx?elementName=Incident Perpetrator Injury Type &amp;elementID=6339", "Click here to submit comment")</f>
        <v>Click here to submit comment</v>
      </c>
    </row>
    <row r="98" spans="1:14" ht="409.5">
      <c r="A98" s="3" t="s">
        <v>3142</v>
      </c>
      <c r="B98" s="3" t="s">
        <v>3143</v>
      </c>
      <c r="C98" s="4" t="s">
        <v>6544</v>
      </c>
      <c r="D98" s="3" t="s">
        <v>2760</v>
      </c>
      <c r="E98" s="3"/>
      <c r="F98" s="3" t="s">
        <v>54</v>
      </c>
      <c r="G98" s="3"/>
      <c r="H98" s="3"/>
      <c r="I98" s="3"/>
      <c r="J98" s="3" t="s">
        <v>3144</v>
      </c>
      <c r="K98" s="3"/>
      <c r="L98" s="3" t="s">
        <v>3145</v>
      </c>
      <c r="M98" s="3" t="str">
        <f>HYPERLINK("https://ceds.ed.gov/cedselementdetails.aspx?termid=6340")</f>
        <v>https://ceds.ed.gov/cedselementdetails.aspx?termid=6340</v>
      </c>
      <c r="N98" s="3" t="str">
        <f>HYPERLINK("https://ceds.ed.gov/elementComment.aspx?elementName=Incident Perpetrator Type &amp;elementID=6340", "Click here to submit comment")</f>
        <v>Click here to submit comment</v>
      </c>
    </row>
    <row r="99" spans="1:14" ht="75">
      <c r="A99" s="3" t="s">
        <v>3146</v>
      </c>
      <c r="B99" s="3" t="s">
        <v>3147</v>
      </c>
      <c r="C99" s="3" t="s">
        <v>6206</v>
      </c>
      <c r="D99" s="3" t="s">
        <v>2760</v>
      </c>
      <c r="E99" s="3"/>
      <c r="F99" s="3" t="s">
        <v>54</v>
      </c>
      <c r="G99" s="3"/>
      <c r="H99" s="3"/>
      <c r="I99" s="3"/>
      <c r="J99" s="3" t="s">
        <v>3148</v>
      </c>
      <c r="K99" s="3"/>
      <c r="L99" s="3" t="s">
        <v>3149</v>
      </c>
      <c r="M99" s="3" t="str">
        <f>HYPERLINK("https://ceds.ed.gov/cedselementdetails.aspx?termid=6341")</f>
        <v>https://ceds.ed.gov/cedselementdetails.aspx?termid=6341</v>
      </c>
      <c r="N99" s="3" t="str">
        <f>HYPERLINK("https://ceds.ed.gov/elementComment.aspx?elementName=Incident Person Role Type &amp;elementID=6341", "Click here to submit comment")</f>
        <v>Click here to submit comment</v>
      </c>
    </row>
    <row r="100" spans="1:14" ht="90">
      <c r="A100" s="3" t="s">
        <v>3150</v>
      </c>
      <c r="B100" s="3" t="s">
        <v>3151</v>
      </c>
      <c r="C100" s="3" t="s">
        <v>13</v>
      </c>
      <c r="D100" s="3" t="s">
        <v>2760</v>
      </c>
      <c r="E100" s="3"/>
      <c r="F100" s="3" t="s">
        <v>54</v>
      </c>
      <c r="G100" s="3" t="s">
        <v>745</v>
      </c>
      <c r="H100" s="3"/>
      <c r="I100" s="3"/>
      <c r="J100" s="3" t="s">
        <v>3152</v>
      </c>
      <c r="K100" s="3"/>
      <c r="L100" s="3" t="s">
        <v>3153</v>
      </c>
      <c r="M100" s="3" t="str">
        <f>HYPERLINK("https://ceds.ed.gov/cedselementdetails.aspx?termid=6342")</f>
        <v>https://ceds.ed.gov/cedselementdetails.aspx?termid=6342</v>
      </c>
      <c r="N100" s="3" t="str">
        <f>HYPERLINK("https://ceds.ed.gov/elementComment.aspx?elementName=Incident Regulation Violated Description &amp;elementID=6342", "Click here to submit comment")</f>
        <v>Click here to submit comment</v>
      </c>
    </row>
    <row r="101" spans="1:14" ht="90">
      <c r="A101" s="3" t="s">
        <v>3154</v>
      </c>
      <c r="B101" s="3" t="s">
        <v>3155</v>
      </c>
      <c r="C101" s="3" t="s">
        <v>5963</v>
      </c>
      <c r="D101" s="3" t="s">
        <v>2760</v>
      </c>
      <c r="E101" s="3"/>
      <c r="F101" s="3" t="s">
        <v>54</v>
      </c>
      <c r="G101" s="3"/>
      <c r="H101" s="3"/>
      <c r="I101" s="3" t="s">
        <v>3156</v>
      </c>
      <c r="J101" s="3" t="s">
        <v>3157</v>
      </c>
      <c r="K101" s="3"/>
      <c r="L101" s="3" t="s">
        <v>3158</v>
      </c>
      <c r="M101" s="3" t="str">
        <f>HYPERLINK("https://ceds.ed.gov/cedselementdetails.aspx?termid=6343")</f>
        <v>https://ceds.ed.gov/cedselementdetails.aspx?termid=6343</v>
      </c>
      <c r="N101" s="3" t="str">
        <f>HYPERLINK("https://ceds.ed.gov/elementComment.aspx?elementName=Incident Related to Disability Manifestation &amp;elementID=6343", "Click here to submit comment")</f>
        <v>Click here to submit comment</v>
      </c>
    </row>
    <row r="102" spans="1:14" ht="75">
      <c r="A102" s="3" t="s">
        <v>3159</v>
      </c>
      <c r="B102" s="3" t="s">
        <v>3160</v>
      </c>
      <c r="C102" s="3" t="s">
        <v>5963</v>
      </c>
      <c r="D102" s="3" t="s">
        <v>2760</v>
      </c>
      <c r="E102" s="3"/>
      <c r="F102" s="3" t="s">
        <v>54</v>
      </c>
      <c r="G102" s="3"/>
      <c r="H102" s="3"/>
      <c r="I102" s="3"/>
      <c r="J102" s="3" t="s">
        <v>3161</v>
      </c>
      <c r="K102" s="3"/>
      <c r="L102" s="3" t="s">
        <v>3162</v>
      </c>
      <c r="M102" s="3" t="str">
        <f>HYPERLINK("https://ceds.ed.gov/cedselementdetails.aspx?termid=6345")</f>
        <v>https://ceds.ed.gov/cedselementdetails.aspx?termid=6345</v>
      </c>
      <c r="N102" s="3" t="str">
        <f>HYPERLINK("https://ceds.ed.gov/elementComment.aspx?elementName=Incident Reported to Law Enforcement Indicator &amp;elementID=6345", "Click here to submit comment")</f>
        <v>Click here to submit comment</v>
      </c>
    </row>
    <row r="103" spans="1:14" ht="60">
      <c r="A103" s="3" t="s">
        <v>3175</v>
      </c>
      <c r="B103" s="3" t="s">
        <v>3176</v>
      </c>
      <c r="C103" s="3" t="s">
        <v>13</v>
      </c>
      <c r="D103" s="3" t="s">
        <v>2760</v>
      </c>
      <c r="E103" s="3"/>
      <c r="F103" s="3" t="s">
        <v>54</v>
      </c>
      <c r="G103" s="3" t="s">
        <v>100</v>
      </c>
      <c r="H103" s="3"/>
      <c r="I103" s="3"/>
      <c r="J103" s="3" t="s">
        <v>3177</v>
      </c>
      <c r="K103" s="3"/>
      <c r="L103" s="3" t="s">
        <v>3178</v>
      </c>
      <c r="M103" s="3" t="str">
        <f>HYPERLINK("https://ceds.ed.gov/cedselementdetails.aspx?termid=6346")</f>
        <v>https://ceds.ed.gov/cedselementdetails.aspx?termid=6346</v>
      </c>
      <c r="N103" s="3" t="str">
        <f>HYPERLINK("https://ceds.ed.gov/elementComment.aspx?elementName=Incident Victim Identifier &amp;elementID=6346", "Click here to submit comment")</f>
        <v>Click here to submit comment</v>
      </c>
    </row>
    <row r="104" spans="1:14" ht="409.5">
      <c r="A104" s="3" t="s">
        <v>3179</v>
      </c>
      <c r="B104" s="3" t="s">
        <v>3180</v>
      </c>
      <c r="C104" s="4" t="s">
        <v>6544</v>
      </c>
      <c r="D104" s="3" t="s">
        <v>2760</v>
      </c>
      <c r="E104" s="3"/>
      <c r="F104" s="3" t="s">
        <v>54</v>
      </c>
      <c r="G104" s="3"/>
      <c r="H104" s="3"/>
      <c r="I104" s="3"/>
      <c r="J104" s="3" t="s">
        <v>3181</v>
      </c>
      <c r="K104" s="3"/>
      <c r="L104" s="3" t="s">
        <v>3182</v>
      </c>
      <c r="M104" s="3" t="str">
        <f>HYPERLINK("https://ceds.ed.gov/cedselementdetails.aspx?termid=6347")</f>
        <v>https://ceds.ed.gov/cedselementdetails.aspx?termid=6347</v>
      </c>
      <c r="N104" s="3" t="str">
        <f>HYPERLINK("https://ceds.ed.gov/elementComment.aspx?elementName=Incident Victim Type &amp;elementID=6347", "Click here to submit comment")</f>
        <v>Click here to submit comment</v>
      </c>
    </row>
    <row r="105" spans="1:14" ht="120">
      <c r="A105" s="3" t="s">
        <v>3183</v>
      </c>
      <c r="B105" s="3" t="s">
        <v>3184</v>
      </c>
      <c r="C105" s="3" t="s">
        <v>13</v>
      </c>
      <c r="D105" s="3" t="s">
        <v>2760</v>
      </c>
      <c r="E105" s="3"/>
      <c r="F105" s="3" t="s">
        <v>54</v>
      </c>
      <c r="G105" s="3" t="s">
        <v>100</v>
      </c>
      <c r="H105" s="3"/>
      <c r="I105" s="3"/>
      <c r="J105" s="3" t="s">
        <v>3185</v>
      </c>
      <c r="K105" s="3"/>
      <c r="L105" s="3" t="s">
        <v>3186</v>
      </c>
      <c r="M105" s="3" t="str">
        <f>HYPERLINK("https://ceds.ed.gov/cedselementdetails.aspx?termid=6348")</f>
        <v>https://ceds.ed.gov/cedselementdetails.aspx?termid=6348</v>
      </c>
      <c r="N105" s="3" t="str">
        <f>HYPERLINK("https://ceds.ed.gov/elementComment.aspx?elementName=Incident Witness Identifier &amp;elementID=6348", "Click here to submit comment")</f>
        <v>Click here to submit comment</v>
      </c>
    </row>
    <row r="106" spans="1:14" ht="409.5">
      <c r="A106" s="3" t="s">
        <v>3187</v>
      </c>
      <c r="B106" s="3" t="s">
        <v>3188</v>
      </c>
      <c r="C106" s="4" t="s">
        <v>6544</v>
      </c>
      <c r="D106" s="3" t="s">
        <v>2760</v>
      </c>
      <c r="E106" s="3"/>
      <c r="F106" s="3" t="s">
        <v>54</v>
      </c>
      <c r="G106" s="3"/>
      <c r="H106" s="3"/>
      <c r="I106" s="3"/>
      <c r="J106" s="3" t="s">
        <v>3189</v>
      </c>
      <c r="K106" s="3"/>
      <c r="L106" s="3" t="s">
        <v>3190</v>
      </c>
      <c r="M106" s="3" t="str">
        <f>HYPERLINK("https://ceds.ed.gov/cedselementdetails.aspx?termid=6349")</f>
        <v>https://ceds.ed.gov/cedselementdetails.aspx?termid=6349</v>
      </c>
      <c r="N106" s="3" t="str">
        <f>HYPERLINK("https://ceds.ed.gov/elementComment.aspx?elementName=Incident Witness Type &amp;elementID=6349", "Click here to submit comment")</f>
        <v>Click here to submit comment</v>
      </c>
    </row>
    <row r="107" spans="1:14" ht="30">
      <c r="A107" s="3" t="s">
        <v>3215</v>
      </c>
      <c r="B107" s="3" t="s">
        <v>3216</v>
      </c>
      <c r="C107" s="3" t="s">
        <v>13</v>
      </c>
      <c r="D107" s="3" t="s">
        <v>2804</v>
      </c>
      <c r="E107" s="3"/>
      <c r="F107" s="3" t="s">
        <v>54</v>
      </c>
      <c r="G107" s="3" t="s">
        <v>1461</v>
      </c>
      <c r="H107" s="3"/>
      <c r="I107" s="3"/>
      <c r="J107" s="3" t="s">
        <v>3217</v>
      </c>
      <c r="K107" s="3"/>
      <c r="L107" s="3" t="s">
        <v>3218</v>
      </c>
      <c r="M107" s="3" t="str">
        <f>HYPERLINK("https://ceds.ed.gov/cedselementdetails.aspx?termid=6493")</f>
        <v>https://ceds.ed.gov/cedselementdetails.aspx?termid=6493</v>
      </c>
      <c r="N107" s="3" t="str">
        <f>HYPERLINK("https://ceds.ed.gov/elementComment.aspx?elementName=Individualized Program Planned Service Duration &amp;elementID=6493", "Click here to submit comment")</f>
        <v>Click here to submit comment</v>
      </c>
    </row>
    <row r="108" spans="1:14" ht="150">
      <c r="A108" s="3" t="s">
        <v>3219</v>
      </c>
      <c r="B108" s="3" t="s">
        <v>3220</v>
      </c>
      <c r="C108" s="3" t="s">
        <v>6208</v>
      </c>
      <c r="D108" s="3" t="s">
        <v>2804</v>
      </c>
      <c r="E108" s="3"/>
      <c r="F108" s="3" t="s">
        <v>54</v>
      </c>
      <c r="G108" s="3"/>
      <c r="H108" s="3"/>
      <c r="I108" s="3"/>
      <c r="J108" s="3" t="s">
        <v>3221</v>
      </c>
      <c r="K108" s="3"/>
      <c r="L108" s="3" t="s">
        <v>3222</v>
      </c>
      <c r="M108" s="3" t="str">
        <f>HYPERLINK("https://ceds.ed.gov/cedselementdetails.aspx?termid=6492")</f>
        <v>https://ceds.ed.gov/cedselementdetails.aspx?termid=6492</v>
      </c>
      <c r="N108" s="3" t="str">
        <f>HYPERLINK("https://ceds.ed.gov/elementComment.aspx?elementName=Individualized Program Planned Service Frequency &amp;elementID=6492", "Click here to submit comment")</f>
        <v>Click here to submit comment</v>
      </c>
    </row>
    <row r="109" spans="1:14" ht="30">
      <c r="A109" s="3" t="s">
        <v>3223</v>
      </c>
      <c r="B109" s="3" t="s">
        <v>3224</v>
      </c>
      <c r="C109" s="3" t="s">
        <v>13</v>
      </c>
      <c r="D109" s="3" t="s">
        <v>2804</v>
      </c>
      <c r="E109" s="3"/>
      <c r="F109" s="3" t="s">
        <v>54</v>
      </c>
      <c r="G109" s="3" t="s">
        <v>73</v>
      </c>
      <c r="H109" s="3"/>
      <c r="I109" s="3" t="s">
        <v>3225</v>
      </c>
      <c r="J109" s="3" t="s">
        <v>3226</v>
      </c>
      <c r="K109" s="3"/>
      <c r="L109" s="3" t="s">
        <v>3227</v>
      </c>
      <c r="M109" s="3" t="str">
        <f>HYPERLINK("https://ceds.ed.gov/cedselementdetails.aspx?termid=6350")</f>
        <v>https://ceds.ed.gov/cedselementdetails.aspx?termid=6350</v>
      </c>
      <c r="N109" s="3" t="str">
        <f>HYPERLINK("https://ceds.ed.gov/elementComment.aspx?elementName=Individualized Program Planned Service Start Date &amp;elementID=6350", "Click here to submit comment")</f>
        <v>Click here to submit comment</v>
      </c>
    </row>
    <row r="110" spans="1:14" ht="300">
      <c r="A110" s="3" t="s">
        <v>3228</v>
      </c>
      <c r="B110" s="3" t="s">
        <v>2313</v>
      </c>
      <c r="C110" s="4" t="s">
        <v>6473</v>
      </c>
      <c r="D110" s="3" t="s">
        <v>2804</v>
      </c>
      <c r="E110" s="3"/>
      <c r="F110" s="3" t="s">
        <v>54</v>
      </c>
      <c r="G110" s="3"/>
      <c r="H110" s="3"/>
      <c r="I110" s="3"/>
      <c r="J110" s="3" t="s">
        <v>3229</v>
      </c>
      <c r="K110" s="3"/>
      <c r="L110" s="3" t="s">
        <v>3230</v>
      </c>
      <c r="M110" s="3" t="str">
        <f>HYPERLINK("https://ceds.ed.gov/cedselementdetails.aspx?termid=6352")</f>
        <v>https://ceds.ed.gov/cedselementdetails.aspx?termid=6352</v>
      </c>
      <c r="N110" s="3" t="str">
        <f>HYPERLINK("https://ceds.ed.gov/elementComment.aspx?elementName=Individualized Program Planned Service Type &amp;elementID=6352", "Click here to submit comment")</f>
        <v>Click here to submit comment</v>
      </c>
    </row>
    <row r="111" spans="1:14" ht="45">
      <c r="A111" s="3" t="s">
        <v>3384</v>
      </c>
      <c r="B111" s="3" t="s">
        <v>3385</v>
      </c>
      <c r="C111" s="3" t="s">
        <v>5963</v>
      </c>
      <c r="D111" s="3" t="s">
        <v>3012</v>
      </c>
      <c r="E111" s="3"/>
      <c r="F111" s="3" t="s">
        <v>54</v>
      </c>
      <c r="G111" s="3"/>
      <c r="H111" s="3"/>
      <c r="I111" s="3"/>
      <c r="J111" s="3" t="s">
        <v>3386</v>
      </c>
      <c r="K111" s="3"/>
      <c r="L111" s="3" t="s">
        <v>3387</v>
      </c>
      <c r="M111" s="3" t="str">
        <f>HYPERLINK("https://ceds.ed.gov/cedselementdetails.aspx?termid=6353")</f>
        <v>https://ceds.ed.gov/cedselementdetails.aspx?termid=6353</v>
      </c>
      <c r="N111" s="3" t="str">
        <f>HYPERLINK("https://ceds.ed.gov/elementComment.aspx?elementName=Itinerant Provider &amp;elementID=6353", "Click here to submit comment")</f>
        <v>Click here to submit comment</v>
      </c>
    </row>
    <row r="112" spans="1:14" ht="75">
      <c r="A112" s="3" t="s">
        <v>3392</v>
      </c>
      <c r="B112" s="3" t="s">
        <v>3393</v>
      </c>
      <c r="C112" s="4" t="s">
        <v>6560</v>
      </c>
      <c r="D112" s="3" t="s">
        <v>3394</v>
      </c>
      <c r="E112" s="3"/>
      <c r="F112" s="3" t="s">
        <v>54</v>
      </c>
      <c r="G112" s="3"/>
      <c r="H112" s="3"/>
      <c r="I112" s="3"/>
      <c r="J112" s="3" t="s">
        <v>3395</v>
      </c>
      <c r="K112" s="3"/>
      <c r="L112" s="3" t="s">
        <v>3396</v>
      </c>
      <c r="M112" s="3" t="str">
        <f>HYPERLINK("https://ceds.ed.gov/cedselementdetails.aspx?termid=6355")</f>
        <v>https://ceds.ed.gov/cedselementdetails.aspx?termid=6355</v>
      </c>
      <c r="N112" s="3" t="str">
        <f>HYPERLINK("https://ceds.ed.gov/elementComment.aspx?elementName=K12 End of Course Requirement &amp;elementID=6355", "Click here to submit comment")</f>
        <v>Click here to submit comment</v>
      </c>
    </row>
    <row r="113" spans="1:14" ht="45">
      <c r="A113" s="3" t="s">
        <v>3411</v>
      </c>
      <c r="B113" s="3" t="s">
        <v>3412</v>
      </c>
      <c r="C113" s="5" t="s">
        <v>939</v>
      </c>
      <c r="D113" s="3"/>
      <c r="E113" s="3"/>
      <c r="F113" s="3" t="s">
        <v>54</v>
      </c>
      <c r="G113" s="3"/>
      <c r="H113" s="3"/>
      <c r="I113" s="3"/>
      <c r="J113" s="3" t="s">
        <v>3413</v>
      </c>
      <c r="K113" s="3"/>
      <c r="L113" s="3" t="s">
        <v>3414</v>
      </c>
      <c r="M113" s="3" t="str">
        <f>HYPERLINK("https://ceds.ed.gov/cedselementdetails.aspx?termid=6357")</f>
        <v>https://ceds.ed.gov/cedselementdetails.aspx?termid=6357</v>
      </c>
      <c r="N113" s="3" t="str">
        <f>HYPERLINK("https://ceds.ed.gov/elementComment.aspx?elementName=Language of Session &amp;elementID=6357", "Click here to submit comment")</f>
        <v>Click here to submit comment</v>
      </c>
    </row>
    <row r="114" spans="1:14" ht="180">
      <c r="A114" s="3" t="s">
        <v>3540</v>
      </c>
      <c r="B114" s="3" t="s">
        <v>3541</v>
      </c>
      <c r="C114" s="3" t="s">
        <v>6225</v>
      </c>
      <c r="D114" s="3" t="s">
        <v>6226</v>
      </c>
      <c r="E114" s="3"/>
      <c r="F114" s="3" t="s">
        <v>54</v>
      </c>
      <c r="G114" s="3"/>
      <c r="H114" s="3"/>
      <c r="I114" s="3" t="s">
        <v>3542</v>
      </c>
      <c r="J114" s="3" t="s">
        <v>3543</v>
      </c>
      <c r="K114" s="3"/>
      <c r="L114" s="3" t="s">
        <v>3544</v>
      </c>
      <c r="M114" s="3" t="str">
        <f>HYPERLINK("https://ceds.ed.gov/cedselementdetails.aspx?termid=6358")</f>
        <v>https://ceds.ed.gov/cedselementdetails.aspx?termid=6358</v>
      </c>
      <c r="N114" s="3" t="str">
        <f>HYPERLINK("https://ceds.ed.gov/elementComment.aspx?elementName=Learning Resource Access API Type &amp;elementID=6358", "Click here to submit comment")</f>
        <v>Click here to submit comment</v>
      </c>
    </row>
    <row r="115" spans="1:14" ht="90">
      <c r="A115" s="3" t="s">
        <v>3545</v>
      </c>
      <c r="B115" s="3" t="s">
        <v>3546</v>
      </c>
      <c r="C115" s="3" t="s">
        <v>6227</v>
      </c>
      <c r="D115" s="3" t="s">
        <v>6226</v>
      </c>
      <c r="E115" s="3"/>
      <c r="F115" s="3" t="s">
        <v>54</v>
      </c>
      <c r="G115" s="3"/>
      <c r="H115" s="3"/>
      <c r="I115" s="3"/>
      <c r="J115" s="3" t="s">
        <v>3547</v>
      </c>
      <c r="K115" s="3"/>
      <c r="L115" s="3" t="s">
        <v>3548</v>
      </c>
      <c r="M115" s="3" t="str">
        <f>HYPERLINK("https://ceds.ed.gov/cedselementdetails.aspx?termid=6359")</f>
        <v>https://ceds.ed.gov/cedselementdetails.aspx?termid=6359</v>
      </c>
      <c r="N115" s="3" t="str">
        <f>HYPERLINK("https://ceds.ed.gov/elementComment.aspx?elementName=Learning Resource Access Hazard Type &amp;elementID=6359", "Click here to submit comment")</f>
        <v>Click here to submit comment</v>
      </c>
    </row>
    <row r="116" spans="1:14" ht="105">
      <c r="A116" s="3" t="s">
        <v>3549</v>
      </c>
      <c r="B116" s="3" t="s">
        <v>3550</v>
      </c>
      <c r="C116" s="3" t="s">
        <v>6228</v>
      </c>
      <c r="D116" s="3" t="s">
        <v>6226</v>
      </c>
      <c r="E116" s="3"/>
      <c r="F116" s="3" t="s">
        <v>54</v>
      </c>
      <c r="G116" s="3"/>
      <c r="H116" s="3"/>
      <c r="I116" s="3" t="s">
        <v>3551</v>
      </c>
      <c r="J116" s="3" t="s">
        <v>3552</v>
      </c>
      <c r="K116" s="3"/>
      <c r="L116" s="3" t="s">
        <v>3553</v>
      </c>
      <c r="M116" s="3" t="str">
        <f>HYPERLINK("https://ceds.ed.gov/cedselementdetails.aspx?termid=6360")</f>
        <v>https://ceds.ed.gov/cedselementdetails.aspx?termid=6360</v>
      </c>
      <c r="N116" s="3" t="str">
        <f>HYPERLINK("https://ceds.ed.gov/elementComment.aspx?elementName=Learning Resource Access Mode Type &amp;elementID=6360", "Click here to submit comment")</f>
        <v>Click here to submit comment</v>
      </c>
    </row>
    <row r="117" spans="1:14" ht="90">
      <c r="A117" s="3" t="s">
        <v>3554</v>
      </c>
      <c r="B117" s="3" t="s">
        <v>3555</v>
      </c>
      <c r="C117" s="3" t="s">
        <v>13</v>
      </c>
      <c r="D117" s="3" t="s">
        <v>6226</v>
      </c>
      <c r="E117" s="3"/>
      <c r="F117" s="3" t="s">
        <v>54</v>
      </c>
      <c r="G117" s="3" t="s">
        <v>93</v>
      </c>
      <c r="H117" s="3"/>
      <c r="I117" s="3"/>
      <c r="J117" s="3" t="s">
        <v>3556</v>
      </c>
      <c r="K117" s="3"/>
      <c r="L117" s="3" t="s">
        <v>3557</v>
      </c>
      <c r="M117" s="3" t="str">
        <f>HYPERLINK("https://ceds.ed.gov/cedselementdetails.aspx?termid=6361")</f>
        <v>https://ceds.ed.gov/cedselementdetails.aspx?termid=6361</v>
      </c>
      <c r="N117" s="3" t="str">
        <f>HYPERLINK("https://ceds.ed.gov/elementComment.aspx?elementName=Learning Resource Adaptation URL &amp;elementID=6361", "Click here to submit comment")</f>
        <v>Click here to submit comment</v>
      </c>
    </row>
    <row r="118" spans="1:14" ht="90">
      <c r="A118" s="3" t="s">
        <v>3558</v>
      </c>
      <c r="B118" s="3" t="s">
        <v>3559</v>
      </c>
      <c r="C118" s="3" t="s">
        <v>13</v>
      </c>
      <c r="D118" s="3" t="s">
        <v>6226</v>
      </c>
      <c r="E118" s="3"/>
      <c r="F118" s="3" t="s">
        <v>54</v>
      </c>
      <c r="G118" s="3" t="s">
        <v>93</v>
      </c>
      <c r="H118" s="3"/>
      <c r="I118" s="3"/>
      <c r="J118" s="3" t="s">
        <v>3560</v>
      </c>
      <c r="K118" s="3"/>
      <c r="L118" s="3" t="s">
        <v>3561</v>
      </c>
      <c r="M118" s="3" t="str">
        <f>HYPERLINK("https://ceds.ed.gov/cedselementdetails.aspx?termid=6367")</f>
        <v>https://ceds.ed.gov/cedselementdetails.aspx?termid=6367</v>
      </c>
      <c r="N118" s="3" t="str">
        <f>HYPERLINK("https://ceds.ed.gov/elementComment.aspx?elementName=Learning Resource Adapted From URL &amp;elementID=6367", "Click here to submit comment")</f>
        <v>Click here to submit comment</v>
      </c>
    </row>
    <row r="119" spans="1:14" ht="90">
      <c r="A119" s="3" t="s">
        <v>3562</v>
      </c>
      <c r="B119" s="3" t="s">
        <v>3563</v>
      </c>
      <c r="C119" s="3" t="s">
        <v>5963</v>
      </c>
      <c r="D119" s="3" t="s">
        <v>6226</v>
      </c>
      <c r="E119" s="3"/>
      <c r="F119" s="3" t="s">
        <v>54</v>
      </c>
      <c r="G119" s="3"/>
      <c r="H119" s="3"/>
      <c r="I119" s="3" t="s">
        <v>3564</v>
      </c>
      <c r="J119" s="3" t="s">
        <v>3565</v>
      </c>
      <c r="K119" s="3"/>
      <c r="L119" s="3" t="s">
        <v>3566</v>
      </c>
      <c r="M119" s="3" t="str">
        <f>HYPERLINK("https://ceds.ed.gov/cedselementdetails.aspx?termid=6362")</f>
        <v>https://ceds.ed.gov/cedselementdetails.aspx?termid=6362</v>
      </c>
      <c r="N119" s="3" t="str">
        <f>HYPERLINK("https://ceds.ed.gov/elementComment.aspx?elementName=Learning Resource Assistive Technologies Compatible Indicator &amp;elementID=6362", "Click here to submit comment")</f>
        <v>Click here to submit comment</v>
      </c>
    </row>
    <row r="120" spans="1:14" ht="135">
      <c r="A120" s="3" t="s">
        <v>3573</v>
      </c>
      <c r="B120" s="3" t="s">
        <v>3574</v>
      </c>
      <c r="C120" s="3" t="s">
        <v>6229</v>
      </c>
      <c r="D120" s="3" t="s">
        <v>6226</v>
      </c>
      <c r="E120" s="3"/>
      <c r="F120" s="3" t="s">
        <v>54</v>
      </c>
      <c r="G120" s="3"/>
      <c r="H120" s="3"/>
      <c r="I120" s="3"/>
      <c r="J120" s="3" t="s">
        <v>3575</v>
      </c>
      <c r="K120" s="3"/>
      <c r="L120" s="3" t="s">
        <v>3576</v>
      </c>
      <c r="M120" s="3" t="str">
        <f>HYPERLINK("https://ceds.ed.gov/cedselementdetails.aspx?termid=6363")</f>
        <v>https://ceds.ed.gov/cedselementdetails.aspx?termid=6363</v>
      </c>
      <c r="N120" s="3" t="str">
        <f>HYPERLINK("https://ceds.ed.gov/elementComment.aspx?elementName=Learning Resource Book Format Type &amp;elementID=6363", "Click here to submit comment")</f>
        <v>Click here to submit comment</v>
      </c>
    </row>
    <row r="121" spans="1:14" ht="90">
      <c r="A121" s="3" t="s">
        <v>3586</v>
      </c>
      <c r="B121" s="3" t="s">
        <v>3587</v>
      </c>
      <c r="C121" s="3" t="s">
        <v>6232</v>
      </c>
      <c r="D121" s="3" t="s">
        <v>6226</v>
      </c>
      <c r="E121" s="3"/>
      <c r="F121" s="3" t="s">
        <v>54</v>
      </c>
      <c r="G121" s="3"/>
      <c r="H121" s="3"/>
      <c r="I121" s="3"/>
      <c r="J121" s="3" t="s">
        <v>3588</v>
      </c>
      <c r="K121" s="3"/>
      <c r="L121" s="3" t="s">
        <v>3589</v>
      </c>
      <c r="M121" s="3" t="str">
        <f>HYPERLINK("https://ceds.ed.gov/cedselementdetails.aspx?termid=6364")</f>
        <v>https://ceds.ed.gov/cedselementdetails.aspx?termid=6364</v>
      </c>
      <c r="N121" s="3" t="str">
        <f>HYPERLINK("https://ceds.ed.gov/elementComment.aspx?elementName=Learning Resource Control Flexibility Type &amp;elementID=6364", "Click here to submit comment")</f>
        <v>Click here to submit comment</v>
      </c>
    </row>
    <row r="122" spans="1:14" ht="105">
      <c r="A122" s="3" t="s">
        <v>3610</v>
      </c>
      <c r="B122" s="3" t="s">
        <v>3611</v>
      </c>
      <c r="C122" s="3" t="s">
        <v>3612</v>
      </c>
      <c r="D122" s="3" t="s">
        <v>6226</v>
      </c>
      <c r="E122" s="3"/>
      <c r="F122" s="3" t="s">
        <v>54</v>
      </c>
      <c r="G122" s="3"/>
      <c r="H122" s="3"/>
      <c r="I122" s="3"/>
      <c r="J122" s="3" t="s">
        <v>3613</v>
      </c>
      <c r="K122" s="3"/>
      <c r="L122" s="3" t="s">
        <v>3614</v>
      </c>
      <c r="M122" s="3" t="str">
        <f>HYPERLINK("https://ceds.ed.gov/cedselementdetails.aspx?termid=6365")</f>
        <v>https://ceds.ed.gov/cedselementdetails.aspx?termid=6365</v>
      </c>
      <c r="N122" s="3" t="str">
        <f>HYPERLINK("https://ceds.ed.gov/elementComment.aspx?elementName=Learning Resource Digital Media Sub Type &amp;elementID=6365", "Click here to submit comment")</f>
        <v>Click here to submit comment</v>
      </c>
    </row>
    <row r="123" spans="1:14" ht="150">
      <c r="A123" s="3" t="s">
        <v>3615</v>
      </c>
      <c r="B123" s="3" t="s">
        <v>3616</v>
      </c>
      <c r="C123" s="3" t="s">
        <v>6233</v>
      </c>
      <c r="D123" s="3" t="s">
        <v>6226</v>
      </c>
      <c r="E123" s="3"/>
      <c r="F123" s="3" t="s">
        <v>54</v>
      </c>
      <c r="G123" s="3"/>
      <c r="H123" s="3"/>
      <c r="I123" s="3"/>
      <c r="J123" s="3" t="s">
        <v>3617</v>
      </c>
      <c r="K123" s="3"/>
      <c r="L123" s="3" t="s">
        <v>3618</v>
      </c>
      <c r="M123" s="3" t="str">
        <f>HYPERLINK("https://ceds.ed.gov/cedselementdetails.aspx?termid=6366")</f>
        <v>https://ceds.ed.gov/cedselementdetails.aspx?termid=6366</v>
      </c>
      <c r="N123" s="3" t="str">
        <f>HYPERLINK("https://ceds.ed.gov/elementComment.aspx?elementName=Learning Resource Digital Media Type &amp;elementID=6366", "Click here to submit comment")</f>
        <v>Click here to submit comment</v>
      </c>
    </row>
    <row r="124" spans="1:14" ht="315">
      <c r="A124" s="3" t="s">
        <v>3643</v>
      </c>
      <c r="B124" s="3" t="s">
        <v>3644</v>
      </c>
      <c r="C124" s="3" t="s">
        <v>6237</v>
      </c>
      <c r="D124" s="3" t="s">
        <v>6226</v>
      </c>
      <c r="E124" s="3"/>
      <c r="F124" s="3" t="s">
        <v>54</v>
      </c>
      <c r="G124" s="3"/>
      <c r="H124" s="3"/>
      <c r="I124" s="3" t="s">
        <v>3645</v>
      </c>
      <c r="J124" s="3" t="s">
        <v>3646</v>
      </c>
      <c r="K124" s="3"/>
      <c r="L124" s="3" t="s">
        <v>3647</v>
      </c>
      <c r="M124" s="3" t="str">
        <f>HYPERLINK("https://ceds.ed.gov/cedselementdetails.aspx?termid=6368")</f>
        <v>https://ceds.ed.gov/cedselementdetails.aspx?termid=6368</v>
      </c>
      <c r="N124" s="3" t="str">
        <f>HYPERLINK("https://ceds.ed.gov/elementComment.aspx?elementName=Learning Resource Media Feature Type &amp;elementID=6368", "Click here to submit comment")</f>
        <v>Click here to submit comment</v>
      </c>
    </row>
    <row r="125" spans="1:14" ht="90">
      <c r="A125" s="3" t="s">
        <v>3653</v>
      </c>
      <c r="B125" s="3" t="s">
        <v>3654</v>
      </c>
      <c r="C125" s="3" t="s">
        <v>13</v>
      </c>
      <c r="D125" s="3" t="s">
        <v>6238</v>
      </c>
      <c r="E125" s="3"/>
      <c r="F125" s="3" t="s">
        <v>54</v>
      </c>
      <c r="G125" s="3" t="s">
        <v>575</v>
      </c>
      <c r="H125" s="3"/>
      <c r="I125" s="3"/>
      <c r="J125" s="3" t="s">
        <v>3655</v>
      </c>
      <c r="K125" s="3"/>
      <c r="L125" s="3" t="s">
        <v>3656</v>
      </c>
      <c r="M125" s="3" t="str">
        <f>HYPERLINK("https://ceds.ed.gov/cedselementdetails.aspx?termid=6369")</f>
        <v>https://ceds.ed.gov/cedselementdetails.aspx?termid=6369</v>
      </c>
      <c r="N125" s="3" t="str">
        <f>HYPERLINK("https://ceds.ed.gov/elementComment.aspx?elementName=Learning Resource Peer Rating Sample Size &amp;elementID=6369", "Click here to submit comment")</f>
        <v>Click here to submit comment</v>
      </c>
    </row>
    <row r="126" spans="1:14" ht="409.5">
      <c r="A126" s="3" t="s">
        <v>3661</v>
      </c>
      <c r="B126" s="3" t="s">
        <v>3662</v>
      </c>
      <c r="C126" s="4" t="s">
        <v>6566</v>
      </c>
      <c r="D126" s="3" t="s">
        <v>6226</v>
      </c>
      <c r="E126" s="3"/>
      <c r="F126" s="3" t="s">
        <v>54</v>
      </c>
      <c r="G126" s="3"/>
      <c r="H126" s="3"/>
      <c r="I126" s="3"/>
      <c r="J126" s="3" t="s">
        <v>3663</v>
      </c>
      <c r="K126" s="3"/>
      <c r="L126" s="3" t="s">
        <v>3664</v>
      </c>
      <c r="M126" s="3" t="str">
        <f>HYPERLINK("https://ceds.ed.gov/cedselementdetails.aspx?termid=6370")</f>
        <v>https://ceds.ed.gov/cedselementdetails.aspx?termid=6370</v>
      </c>
      <c r="N126" s="3" t="str">
        <f>HYPERLINK("https://ceds.ed.gov/elementComment.aspx?elementName=Learning Resource Physical Media Type &amp;elementID=6370", "Click here to submit comment")</f>
        <v>Click here to submit comment</v>
      </c>
    </row>
    <row r="127" spans="1:14" ht="45">
      <c r="A127" s="3" t="s">
        <v>3791</v>
      </c>
      <c r="B127" s="3" t="s">
        <v>3792</v>
      </c>
      <c r="C127" s="3" t="s">
        <v>13</v>
      </c>
      <c r="D127" s="3" t="s">
        <v>3793</v>
      </c>
      <c r="E127" s="3"/>
      <c r="F127" s="3" t="s">
        <v>54</v>
      </c>
      <c r="G127" s="3" t="s">
        <v>93</v>
      </c>
      <c r="H127" s="3"/>
      <c r="I127" s="3"/>
      <c r="J127" s="3" t="s">
        <v>3794</v>
      </c>
      <c r="K127" s="3"/>
      <c r="L127" s="3" t="s">
        <v>3795</v>
      </c>
      <c r="M127" s="3" t="str">
        <f>HYPERLINK("https://ceds.ed.gov/cedselementdetails.aspx?termid=6371")</f>
        <v>https://ceds.ed.gov/cedselementdetails.aspx?termid=6371</v>
      </c>
      <c r="N127" s="3" t="str">
        <f>HYPERLINK("https://ceds.ed.gov/elementComment.aspx?elementName=Learning Standard Item Association Connection Citation &amp;elementID=6371", "Click here to submit comment")</f>
        <v>Click here to submit comment</v>
      </c>
    </row>
    <row r="128" spans="1:14" ht="60">
      <c r="A128" s="3" t="s">
        <v>3796</v>
      </c>
      <c r="B128" s="3" t="s">
        <v>3797</v>
      </c>
      <c r="C128" s="3" t="s">
        <v>13</v>
      </c>
      <c r="D128" s="3" t="s">
        <v>3793</v>
      </c>
      <c r="E128" s="3"/>
      <c r="F128" s="3" t="s">
        <v>54</v>
      </c>
      <c r="G128" s="3" t="s">
        <v>100</v>
      </c>
      <c r="H128" s="3"/>
      <c r="I128" s="3"/>
      <c r="J128" s="3" t="s">
        <v>3798</v>
      </c>
      <c r="K128" s="3"/>
      <c r="L128" s="3" t="s">
        <v>3799</v>
      </c>
      <c r="M128" s="3" t="str">
        <f>HYPERLINK("https://ceds.ed.gov/cedselementdetails.aspx?termid=6372")</f>
        <v>https://ceds.ed.gov/cedselementdetails.aspx?termid=6372</v>
      </c>
      <c r="N128" s="3" t="str">
        <f>HYPERLINK("https://ceds.ed.gov/elementComment.aspx?elementName=Learning Standard Item Association Destination Node Name &amp;elementID=6372", "Click here to submit comment")</f>
        <v>Click here to submit comment</v>
      </c>
    </row>
    <row r="129" spans="1:14" ht="45">
      <c r="A129" s="3" t="s">
        <v>3800</v>
      </c>
      <c r="B129" s="3" t="s">
        <v>3801</v>
      </c>
      <c r="C129" s="3" t="s">
        <v>13</v>
      </c>
      <c r="D129" s="3" t="s">
        <v>3793</v>
      </c>
      <c r="E129" s="3"/>
      <c r="F129" s="3" t="s">
        <v>54</v>
      </c>
      <c r="G129" s="3" t="s">
        <v>93</v>
      </c>
      <c r="H129" s="3"/>
      <c r="I129" s="3"/>
      <c r="J129" s="3" t="s">
        <v>3802</v>
      </c>
      <c r="K129" s="3"/>
      <c r="L129" s="3" t="s">
        <v>3803</v>
      </c>
      <c r="M129" s="3" t="str">
        <f>HYPERLINK("https://ceds.ed.gov/cedselementdetails.aspx?termid=6373")</f>
        <v>https://ceds.ed.gov/cedselementdetails.aspx?termid=6373</v>
      </c>
      <c r="N129" s="3" t="str">
        <f>HYPERLINK("https://ceds.ed.gov/elementComment.aspx?elementName=Learning Standard Item Association Destination Node URI &amp;elementID=6373", "Click here to submit comment")</f>
        <v>Click here to submit comment</v>
      </c>
    </row>
    <row r="130" spans="1:14" ht="45">
      <c r="A130" s="3" t="s">
        <v>3808</v>
      </c>
      <c r="B130" s="3" t="s">
        <v>3809</v>
      </c>
      <c r="C130" s="3" t="s">
        <v>13</v>
      </c>
      <c r="D130" s="3" t="s">
        <v>3793</v>
      </c>
      <c r="E130" s="3"/>
      <c r="F130" s="3" t="s">
        <v>54</v>
      </c>
      <c r="G130" s="3" t="s">
        <v>100</v>
      </c>
      <c r="H130" s="3"/>
      <c r="I130" s="3"/>
      <c r="J130" s="3" t="s">
        <v>3810</v>
      </c>
      <c r="K130" s="3"/>
      <c r="L130" s="3" t="s">
        <v>3811</v>
      </c>
      <c r="M130" s="3" t="str">
        <f>HYPERLINK("https://ceds.ed.gov/cedselementdetails.aspx?termid=6374")</f>
        <v>https://ceds.ed.gov/cedselementdetails.aspx?termid=6374</v>
      </c>
      <c r="N130" s="3" t="str">
        <f>HYPERLINK("https://ceds.ed.gov/elementComment.aspx?elementName=Learning Standard Item Association Origin Node Name &amp;elementID=6374", "Click here to submit comment")</f>
        <v>Click here to submit comment</v>
      </c>
    </row>
    <row r="131" spans="1:14" ht="45">
      <c r="A131" s="3" t="s">
        <v>3812</v>
      </c>
      <c r="B131" s="3" t="s">
        <v>3813</v>
      </c>
      <c r="C131" s="3" t="s">
        <v>13</v>
      </c>
      <c r="D131" s="3" t="s">
        <v>3793</v>
      </c>
      <c r="E131" s="3"/>
      <c r="F131" s="3" t="s">
        <v>54</v>
      </c>
      <c r="G131" s="3" t="s">
        <v>93</v>
      </c>
      <c r="H131" s="3"/>
      <c r="I131" s="3"/>
      <c r="J131" s="3" t="s">
        <v>3814</v>
      </c>
      <c r="K131" s="3"/>
      <c r="L131" s="3" t="s">
        <v>3815</v>
      </c>
      <c r="M131" s="3" t="str">
        <f>HYPERLINK("https://ceds.ed.gov/cedselementdetails.aspx?termid=6375")</f>
        <v>https://ceds.ed.gov/cedselementdetails.aspx?termid=6375</v>
      </c>
      <c r="N131" s="3" t="str">
        <f>HYPERLINK("https://ceds.ed.gov/elementComment.aspx?elementName=Learning Standard Item Association Origin Node URI &amp;elementID=6375", "Click here to submit comment")</f>
        <v>Click here to submit comment</v>
      </c>
    </row>
    <row r="132" spans="1:14" ht="135">
      <c r="A132" s="3" t="s">
        <v>3822</v>
      </c>
      <c r="B132" s="3" t="s">
        <v>3823</v>
      </c>
      <c r="C132" s="3" t="s">
        <v>13</v>
      </c>
      <c r="D132" s="3" t="s">
        <v>3793</v>
      </c>
      <c r="E132" s="3"/>
      <c r="F132" s="3" t="s">
        <v>54</v>
      </c>
      <c r="G132" s="3" t="s">
        <v>3824</v>
      </c>
      <c r="H132" s="3"/>
      <c r="I132" s="3" t="s">
        <v>3825</v>
      </c>
      <c r="J132" s="3" t="s">
        <v>3826</v>
      </c>
      <c r="K132" s="3"/>
      <c r="L132" s="3" t="s">
        <v>3827</v>
      </c>
      <c r="M132" s="3" t="str">
        <f>HYPERLINK("https://ceds.ed.gov/cedselementdetails.aspx?termid=6376")</f>
        <v>https://ceds.ed.gov/cedselementdetails.aspx?termid=6376</v>
      </c>
      <c r="N132" s="3" t="str">
        <f>HYPERLINK("https://ceds.ed.gov/elementComment.aspx?elementName=Learning Standard Item Association Weight &amp;elementID=6376", "Click here to submit comment")</f>
        <v>Click here to submit comment</v>
      </c>
    </row>
    <row r="133" spans="1:14" ht="240">
      <c r="A133" s="3" t="s">
        <v>3846</v>
      </c>
      <c r="B133" s="3" t="s">
        <v>3847</v>
      </c>
      <c r="C133" s="3" t="s">
        <v>5963</v>
      </c>
      <c r="D133" s="3" t="s">
        <v>6247</v>
      </c>
      <c r="E133" s="3"/>
      <c r="F133" s="3" t="s">
        <v>54</v>
      </c>
      <c r="G133" s="3"/>
      <c r="H133" s="3"/>
      <c r="I133" s="3" t="s">
        <v>3848</v>
      </c>
      <c r="J133" s="3" t="s">
        <v>3849</v>
      </c>
      <c r="K133" s="3"/>
      <c r="L133" s="3" t="s">
        <v>3850</v>
      </c>
      <c r="M133" s="3" t="str">
        <f>HYPERLINK("https://ceds.ed.gov/cedselementdetails.aspx?termid=6499")</f>
        <v>https://ceds.ed.gov/cedselementdetails.aspx?termid=6499</v>
      </c>
      <c r="N133" s="3" t="str">
        <f>HYPERLINK("https://ceds.ed.gov/elementComment.aspx?elementName=Learning Standard Item Current Version Indicator &amp;elementID=6499", "Click here to submit comment")</f>
        <v>Click here to submit comment</v>
      </c>
    </row>
    <row r="134" spans="1:14" ht="105">
      <c r="A134" s="3" t="s">
        <v>3874</v>
      </c>
      <c r="B134" s="3" t="s">
        <v>3875</v>
      </c>
      <c r="C134" s="3" t="s">
        <v>6248</v>
      </c>
      <c r="D134" s="3" t="s">
        <v>3876</v>
      </c>
      <c r="E134" s="3"/>
      <c r="F134" s="3" t="s">
        <v>54</v>
      </c>
      <c r="G134" s="3"/>
      <c r="H134" s="3"/>
      <c r="I134" s="3"/>
      <c r="J134" s="3" t="s">
        <v>3877</v>
      </c>
      <c r="K134" s="3"/>
      <c r="L134" s="3" t="s">
        <v>3878</v>
      </c>
      <c r="M134" s="3" t="str">
        <f>HYPERLINK("https://ceds.ed.gov/cedselementdetails.aspx?termid=6377")</f>
        <v>https://ceds.ed.gov/cedselementdetails.aspx?termid=6377</v>
      </c>
      <c r="N134" s="3" t="str">
        <f>HYPERLINK("https://ceds.ed.gov/elementComment.aspx?elementName=Learning Standard Item Node Accessibility Profile &amp;elementID=6377", "Click here to submit comment")</f>
        <v>Click here to submit comment</v>
      </c>
    </row>
    <row r="135" spans="1:14" ht="45">
      <c r="A135" s="3" t="s">
        <v>3879</v>
      </c>
      <c r="B135" s="3" t="s">
        <v>3880</v>
      </c>
      <c r="C135" s="3" t="s">
        <v>13</v>
      </c>
      <c r="D135" s="3" t="s">
        <v>3876</v>
      </c>
      <c r="E135" s="3"/>
      <c r="F135" s="3" t="s">
        <v>54</v>
      </c>
      <c r="G135" s="3" t="s">
        <v>100</v>
      </c>
      <c r="H135" s="3"/>
      <c r="I135" s="3"/>
      <c r="J135" s="3" t="s">
        <v>3881</v>
      </c>
      <c r="K135" s="3"/>
      <c r="L135" s="3" t="s">
        <v>3882</v>
      </c>
      <c r="M135" s="3" t="str">
        <f>HYPERLINK("https://ceds.ed.gov/cedselementdetails.aspx?termid=6378")</f>
        <v>https://ceds.ed.gov/cedselementdetails.aspx?termid=6378</v>
      </c>
      <c r="N135" s="3" t="str">
        <f>HYPERLINK("https://ceds.ed.gov/elementComment.aspx?elementName=Learning Standard Item Node Name &amp;elementID=6378", "Click here to submit comment")</f>
        <v>Click here to submit comment</v>
      </c>
    </row>
    <row r="136" spans="1:14" ht="240">
      <c r="A136" s="3" t="s">
        <v>3904</v>
      </c>
      <c r="B136" s="3" t="s">
        <v>3905</v>
      </c>
      <c r="C136" s="3" t="s">
        <v>13</v>
      </c>
      <c r="D136" s="3" t="s">
        <v>6247</v>
      </c>
      <c r="E136" s="3"/>
      <c r="F136" s="3" t="s">
        <v>54</v>
      </c>
      <c r="G136" s="3" t="s">
        <v>3906</v>
      </c>
      <c r="H136" s="3"/>
      <c r="I136" s="3" t="s">
        <v>3848</v>
      </c>
      <c r="J136" s="3" t="s">
        <v>3907</v>
      </c>
      <c r="K136" s="3"/>
      <c r="L136" s="3" t="s">
        <v>3908</v>
      </c>
      <c r="M136" s="3" t="str">
        <f>HYPERLINK("https://ceds.ed.gov/cedselementdetails.aspx?termid=6498")</f>
        <v>https://ceds.ed.gov/cedselementdetails.aspx?termid=6498</v>
      </c>
      <c r="N136" s="3" t="str">
        <f>HYPERLINK("https://ceds.ed.gov/elementComment.aspx?elementName=Learning Standard Item Previous Version Identifier &amp;elementID=6498", "Click here to submit comment")</f>
        <v>Click here to submit comment</v>
      </c>
    </row>
    <row r="137" spans="1:14" ht="105">
      <c r="A137" s="3" t="s">
        <v>3915</v>
      </c>
      <c r="B137" s="3" t="s">
        <v>3916</v>
      </c>
      <c r="C137" s="4" t="s">
        <v>6570</v>
      </c>
      <c r="D137" s="3" t="s">
        <v>3876</v>
      </c>
      <c r="E137" s="3"/>
      <c r="F137" s="3" t="s">
        <v>54</v>
      </c>
      <c r="G137" s="3"/>
      <c r="H137" s="3"/>
      <c r="I137" s="3"/>
      <c r="J137" s="3" t="s">
        <v>3917</v>
      </c>
      <c r="K137" s="3"/>
      <c r="L137" s="3" t="s">
        <v>3918</v>
      </c>
      <c r="M137" s="3" t="str">
        <f>HYPERLINK("https://ceds.ed.gov/cedselementdetails.aspx?termid=6380")</f>
        <v>https://ceds.ed.gov/cedselementdetails.aspx?termid=6380</v>
      </c>
      <c r="N137" s="3" t="str">
        <f>HYPERLINK("https://ceds.ed.gov/elementComment.aspx?elementName=Learning Standard Item Testability Type &amp;elementID=6380", "Click here to submit comment")</f>
        <v>Click here to submit comment</v>
      </c>
    </row>
    <row r="138" spans="1:14" ht="120">
      <c r="A138" s="3" t="s">
        <v>3945</v>
      </c>
      <c r="B138" s="3" t="s">
        <v>3946</v>
      </c>
      <c r="C138" s="3" t="s">
        <v>13</v>
      </c>
      <c r="D138" s="3" t="s">
        <v>6240</v>
      </c>
      <c r="E138" s="3"/>
      <c r="F138" s="3" t="s">
        <v>54</v>
      </c>
      <c r="G138" s="3" t="s">
        <v>73</v>
      </c>
      <c r="H138" s="3"/>
      <c r="I138" s="3" t="s">
        <v>3947</v>
      </c>
      <c r="J138" s="3" t="s">
        <v>3948</v>
      </c>
      <c r="K138" s="3"/>
      <c r="L138" s="3" t="s">
        <v>3949</v>
      </c>
      <c r="M138" s="3" t="str">
        <f>HYPERLINK("https://ceds.ed.gov/cedselementdetails.aspx?termid=6483")</f>
        <v>https://ceds.ed.gov/cedselementdetails.aspx?termid=6483</v>
      </c>
      <c r="N138" s="3" t="str">
        <f>HYPERLINK("https://ceds.ed.gov/elementComment.aspx?elementName=Learning Standard Item Valid End Date &amp;elementID=6483", "Click here to submit comment")</f>
        <v>Click here to submit comment</v>
      </c>
    </row>
    <row r="139" spans="1:14" ht="120">
      <c r="A139" s="3" t="s">
        <v>3950</v>
      </c>
      <c r="B139" s="3" t="s">
        <v>3951</v>
      </c>
      <c r="C139" s="3" t="s">
        <v>13</v>
      </c>
      <c r="D139" s="3" t="s">
        <v>6240</v>
      </c>
      <c r="E139" s="3"/>
      <c r="F139" s="3" t="s">
        <v>54</v>
      </c>
      <c r="G139" s="3" t="s">
        <v>73</v>
      </c>
      <c r="H139" s="3"/>
      <c r="I139" s="3"/>
      <c r="J139" s="3" t="s">
        <v>3952</v>
      </c>
      <c r="K139" s="3"/>
      <c r="L139" s="3" t="s">
        <v>3953</v>
      </c>
      <c r="M139" s="3" t="str">
        <f>HYPERLINK("https://ceds.ed.gov/cedselementdetails.aspx?termid=6484")</f>
        <v>https://ceds.ed.gov/cedselementdetails.aspx?termid=6484</v>
      </c>
      <c r="N139" s="3" t="str">
        <f>HYPERLINK("https://ceds.ed.gov/elementComment.aspx?elementName=Learning Standard Item Valid Start Date &amp;elementID=6484", "Click here to submit comment")</f>
        <v>Click here to submit comment</v>
      </c>
    </row>
    <row r="140" spans="1:14" ht="45">
      <c r="A140" s="3" t="s">
        <v>4078</v>
      </c>
      <c r="B140" s="3" t="s">
        <v>4079</v>
      </c>
      <c r="C140" s="3" t="s">
        <v>6254</v>
      </c>
      <c r="D140" s="3" t="s">
        <v>4080</v>
      </c>
      <c r="E140" s="3"/>
      <c r="F140" s="3" t="s">
        <v>54</v>
      </c>
      <c r="G140" s="3" t="s">
        <v>106</v>
      </c>
      <c r="H140" s="3"/>
      <c r="I140" s="3"/>
      <c r="J140" s="3" t="s">
        <v>4081</v>
      </c>
      <c r="K140" s="3"/>
      <c r="L140" s="3" t="s">
        <v>4082</v>
      </c>
      <c r="M140" s="3" t="str">
        <f>HYPERLINK("https://ceds.ed.gov/cedselementdetails.aspx?termid=6482")</f>
        <v>https://ceds.ed.gov/cedselementdetails.aspx?termid=6482</v>
      </c>
      <c r="N140" s="3" t="str">
        <f>HYPERLINK("https://ceds.ed.gov/elementComment.aspx?elementName=Method of Service Delivery &amp;elementID=6482", "Click here to submit comment")</f>
        <v>Click here to submit comment</v>
      </c>
    </row>
    <row r="141" spans="1:14" ht="210">
      <c r="A141" s="3" t="s">
        <v>4155</v>
      </c>
      <c r="B141" s="3" t="s">
        <v>4156</v>
      </c>
      <c r="C141" s="3" t="s">
        <v>5963</v>
      </c>
      <c r="D141" s="3" t="s">
        <v>2483</v>
      </c>
      <c r="E141" s="3"/>
      <c r="F141" s="3" t="s">
        <v>54</v>
      </c>
      <c r="G141" s="3"/>
      <c r="H141" s="3"/>
      <c r="I141" s="3" t="s">
        <v>4157</v>
      </c>
      <c r="J141" s="3" t="s">
        <v>4158</v>
      </c>
      <c r="K141" s="3"/>
      <c r="L141" s="3" t="s">
        <v>4159</v>
      </c>
      <c r="M141" s="3" t="str">
        <f>HYPERLINK("https://ceds.ed.gov/cedselementdetails.aspx?termid=6381")</f>
        <v>https://ceds.ed.gov/cedselementdetails.aspx?termid=6381</v>
      </c>
      <c r="N141" s="3" t="str">
        <f>HYPERLINK("https://ceds.ed.gov/elementComment.aspx?elementName=Military Enlistment After Exit &amp;elementID=6381", "Click here to submit comment")</f>
        <v>Click here to submit comment</v>
      </c>
    </row>
    <row r="142" spans="1:14" ht="30">
      <c r="A142" s="3" t="s">
        <v>4164</v>
      </c>
      <c r="B142" s="3" t="s">
        <v>4165</v>
      </c>
      <c r="C142" s="3" t="s">
        <v>13</v>
      </c>
      <c r="D142" s="3" t="s">
        <v>4166</v>
      </c>
      <c r="E142" s="3"/>
      <c r="F142" s="3" t="s">
        <v>54</v>
      </c>
      <c r="G142" s="3" t="s">
        <v>73</v>
      </c>
      <c r="H142" s="3"/>
      <c r="I142" s="3"/>
      <c r="J142" s="3" t="s">
        <v>4167</v>
      </c>
      <c r="K142" s="3"/>
      <c r="L142" s="3" t="s">
        <v>4168</v>
      </c>
      <c r="M142" s="3" t="str">
        <f>HYPERLINK("https://ceds.ed.gov/cedselementdetails.aspx?termid=6298")</f>
        <v>https://ceds.ed.gov/cedselementdetails.aspx?termid=6298</v>
      </c>
      <c r="N142" s="3" t="str">
        <f>HYPERLINK("https://ceds.ed.gov/elementComment.aspx?elementName=Monitoring Visit End Date &amp;elementID=6298", "Click here to submit comment")</f>
        <v>Click here to submit comment</v>
      </c>
    </row>
    <row r="143" spans="1:14" ht="30">
      <c r="A143" s="3" t="s">
        <v>4169</v>
      </c>
      <c r="B143" s="3" t="s">
        <v>4170</v>
      </c>
      <c r="C143" s="3" t="s">
        <v>13</v>
      </c>
      <c r="D143" s="3" t="s">
        <v>4166</v>
      </c>
      <c r="E143" s="3"/>
      <c r="F143" s="3" t="s">
        <v>54</v>
      </c>
      <c r="G143" s="3" t="s">
        <v>73</v>
      </c>
      <c r="H143" s="3"/>
      <c r="I143" s="3"/>
      <c r="J143" s="3" t="s">
        <v>4171</v>
      </c>
      <c r="K143" s="3"/>
      <c r="L143" s="3" t="s">
        <v>4172</v>
      </c>
      <c r="M143" s="3" t="str">
        <f>HYPERLINK("https://ceds.ed.gov/cedselementdetails.aspx?termid=6297")</f>
        <v>https://ceds.ed.gov/cedselementdetails.aspx?termid=6297</v>
      </c>
      <c r="N143" s="3" t="str">
        <f>HYPERLINK("https://ceds.ed.gov/elementComment.aspx?elementName=Monitoring Visit Start Date &amp;elementID=6297", "Click here to submit comment")</f>
        <v>Click here to submit comment</v>
      </c>
    </row>
    <row r="144" spans="1:14" ht="45">
      <c r="A144" s="3" t="s">
        <v>4197</v>
      </c>
      <c r="B144" s="3" t="s">
        <v>4198</v>
      </c>
      <c r="C144" s="3" t="s">
        <v>5963</v>
      </c>
      <c r="D144" s="3" t="s">
        <v>6081</v>
      </c>
      <c r="E144" s="3"/>
      <c r="F144" s="3" t="s">
        <v>54</v>
      </c>
      <c r="G144" s="3"/>
      <c r="H144" s="3"/>
      <c r="I144" s="3"/>
      <c r="J144" s="3" t="s">
        <v>4199</v>
      </c>
      <c r="K144" s="3" t="s">
        <v>4200</v>
      </c>
      <c r="L144" s="3" t="s">
        <v>4201</v>
      </c>
      <c r="M144" s="3" t="str">
        <f>HYPERLINK("https://ceds.ed.gov/cedselementdetails.aspx?termid=6382")</f>
        <v>https://ceds.ed.gov/cedselementdetails.aspx?termid=6382</v>
      </c>
      <c r="N144" s="3" t="str">
        <f>HYPERLINK("https://ceds.ed.gov/elementComment.aspx?elementName=National Collegiate Athletic Association Eligibility &amp;elementID=6382", "Click here to submit comment")</f>
        <v>Click here to submit comment</v>
      </c>
    </row>
    <row r="145" spans="1:14" ht="45">
      <c r="A145" s="3" t="s">
        <v>4206</v>
      </c>
      <c r="B145" s="3" t="s">
        <v>4207</v>
      </c>
      <c r="C145" s="3" t="s">
        <v>4208</v>
      </c>
      <c r="D145" s="3" t="s">
        <v>1831</v>
      </c>
      <c r="E145" s="3"/>
      <c r="F145" s="3" t="s">
        <v>54</v>
      </c>
      <c r="G145" s="3"/>
      <c r="H145" s="3"/>
      <c r="I145" s="3"/>
      <c r="J145" s="3" t="s">
        <v>4209</v>
      </c>
      <c r="K145" s="3"/>
      <c r="L145" s="3" t="s">
        <v>4210</v>
      </c>
      <c r="M145" s="3" t="str">
        <f>HYPERLINK("https://ceds.ed.gov/cedselementdetails.aspx?termid=6383")</f>
        <v>https://ceds.ed.gov/cedselementdetails.aspx?termid=6383</v>
      </c>
      <c r="N145" s="3" t="str">
        <f>HYPERLINK("https://ceds.ed.gov/elementComment.aspx?elementName=NCES College Course Map Code &amp;elementID=6383", "Click here to submit comment")</f>
        <v>Click here to submit comment</v>
      </c>
    </row>
    <row r="146" spans="1:14" ht="60">
      <c r="A146" s="3" t="s">
        <v>4274</v>
      </c>
      <c r="B146" s="3" t="s">
        <v>4275</v>
      </c>
      <c r="C146" s="3" t="s">
        <v>13</v>
      </c>
      <c r="D146" s="3" t="s">
        <v>1536</v>
      </c>
      <c r="E146" s="3"/>
      <c r="F146" s="3" t="s">
        <v>54</v>
      </c>
      <c r="G146" s="3" t="s">
        <v>575</v>
      </c>
      <c r="H146" s="3"/>
      <c r="I146" s="3"/>
      <c r="J146" s="3" t="s">
        <v>4276</v>
      </c>
      <c r="K146" s="3"/>
      <c r="L146" s="3" t="s">
        <v>4277</v>
      </c>
      <c r="M146" s="3" t="str">
        <f>HYPERLINK("https://ceds.ed.gov/cedselementdetails.aspx?termid=6384")</f>
        <v>https://ceds.ed.gov/cedselementdetails.aspx?termid=6384</v>
      </c>
      <c r="N146" s="3" t="str">
        <f>HYPERLINK("https://ceds.ed.gov/elementComment.aspx?elementName=Number of Dependents &amp;elementID=6384", "Click here to submit comment")</f>
        <v>Click here to submit comment</v>
      </c>
    </row>
    <row r="147" spans="1:14" ht="90">
      <c r="A147" s="3" t="s">
        <v>4329</v>
      </c>
      <c r="B147" s="3" t="s">
        <v>4330</v>
      </c>
      <c r="C147" s="3" t="s">
        <v>5963</v>
      </c>
      <c r="D147" s="3" t="s">
        <v>2267</v>
      </c>
      <c r="E147" s="3"/>
      <c r="F147" s="3" t="s">
        <v>54</v>
      </c>
      <c r="G147" s="3"/>
      <c r="H147" s="3"/>
      <c r="I147" s="3"/>
      <c r="J147" s="3" t="s">
        <v>4331</v>
      </c>
      <c r="K147" s="3"/>
      <c r="L147" s="3" t="s">
        <v>4332</v>
      </c>
      <c r="M147" s="3" t="str">
        <f>HYPERLINK("https://ceds.ed.gov/cedselementdetails.aspx?termid=6385")</f>
        <v>https://ceds.ed.gov/cedselementdetails.aspx?termid=6385</v>
      </c>
      <c r="N147" s="3" t="str">
        <f>HYPERLINK("https://ceds.ed.gov/elementComment.aspx?elementName=Oral Defense Completed Indicator &amp;elementID=6385", "Click here to submit comment")</f>
        <v>Click here to submit comment</v>
      </c>
    </row>
    <row r="148" spans="1:14" ht="30">
      <c r="A148" s="3" t="s">
        <v>4333</v>
      </c>
      <c r="B148" s="3" t="s">
        <v>4334</v>
      </c>
      <c r="C148" s="3" t="s">
        <v>13</v>
      </c>
      <c r="D148" s="3" t="s">
        <v>2267</v>
      </c>
      <c r="E148" s="3"/>
      <c r="F148" s="3" t="s">
        <v>54</v>
      </c>
      <c r="G148" s="3" t="s">
        <v>73</v>
      </c>
      <c r="H148" s="3"/>
      <c r="I148" s="3"/>
      <c r="J148" s="3" t="s">
        <v>4335</v>
      </c>
      <c r="K148" s="3"/>
      <c r="L148" s="3" t="s">
        <v>4336</v>
      </c>
      <c r="M148" s="3" t="str">
        <f>HYPERLINK("https://ceds.ed.gov/cedselementdetails.aspx?termid=6386")</f>
        <v>https://ceds.ed.gov/cedselementdetails.aspx?termid=6386</v>
      </c>
      <c r="N148" s="3" t="str">
        <f>HYPERLINK("https://ceds.ed.gov/elementComment.aspx?elementName=Oral Defense Date &amp;elementID=6386", "Click here to submit comment")</f>
        <v>Click here to submit comment</v>
      </c>
    </row>
    <row r="149" spans="1:14" ht="45">
      <c r="A149" s="3" t="s">
        <v>4345</v>
      </c>
      <c r="B149" s="3" t="s">
        <v>4346</v>
      </c>
      <c r="C149" s="3" t="s">
        <v>6265</v>
      </c>
      <c r="D149" s="3" t="s">
        <v>4166</v>
      </c>
      <c r="E149" s="3"/>
      <c r="F149" s="3" t="s">
        <v>54</v>
      </c>
      <c r="G149" s="3"/>
      <c r="H149" s="3"/>
      <c r="I149" s="3"/>
      <c r="J149" s="3" t="s">
        <v>4347</v>
      </c>
      <c r="K149" s="3"/>
      <c r="L149" s="3" t="s">
        <v>4348</v>
      </c>
      <c r="M149" s="3" t="str">
        <f>HYPERLINK("https://ceds.ed.gov/cedselementdetails.aspx?termid=6296")</f>
        <v>https://ceds.ed.gov/cedselementdetails.aspx?termid=6296</v>
      </c>
      <c r="N149" s="3" t="str">
        <f>HYPERLINK("https://ceds.ed.gov/elementComment.aspx?elementName=Organization Monitoring Notifications &amp;elementID=6296", "Click here to submit comment")</f>
        <v>Click here to submit comment</v>
      </c>
    </row>
    <row r="150" spans="1:14" ht="60">
      <c r="A150" s="3" t="s">
        <v>4353</v>
      </c>
      <c r="B150" s="3" t="s">
        <v>4354</v>
      </c>
      <c r="C150" s="3" t="s">
        <v>6267</v>
      </c>
      <c r="D150" s="3" t="s">
        <v>6268</v>
      </c>
      <c r="E150" s="3"/>
      <c r="F150" s="3" t="s">
        <v>54</v>
      </c>
      <c r="G150" s="3"/>
      <c r="H150" s="3"/>
      <c r="I150" s="3"/>
      <c r="J150" s="3" t="s">
        <v>4355</v>
      </c>
      <c r="K150" s="3"/>
      <c r="L150" s="3" t="s">
        <v>4356</v>
      </c>
      <c r="M150" s="3" t="str">
        <f>HYPERLINK("https://ceds.ed.gov/cedselementdetails.aspx?termid=6387")</f>
        <v>https://ceds.ed.gov/cedselementdetails.aspx?termid=6387</v>
      </c>
      <c r="N150" s="3" t="str">
        <f>HYPERLINK("https://ceds.ed.gov/elementComment.aspx?elementName=Organization Operational Status &amp;elementID=6387", "Click here to submit comment")</f>
        <v>Click here to submit comment</v>
      </c>
    </row>
    <row r="151" spans="1:14" ht="45">
      <c r="A151" s="3" t="s">
        <v>4357</v>
      </c>
      <c r="B151" s="3" t="s">
        <v>4358</v>
      </c>
      <c r="C151" s="3" t="s">
        <v>13</v>
      </c>
      <c r="D151" s="3" t="s">
        <v>64</v>
      </c>
      <c r="E151" s="3"/>
      <c r="F151" s="3" t="s">
        <v>54</v>
      </c>
      <c r="G151" s="3" t="s">
        <v>73</v>
      </c>
      <c r="H151" s="3"/>
      <c r="I151" s="3"/>
      <c r="J151" s="3" t="s">
        <v>4359</v>
      </c>
      <c r="K151" s="3"/>
      <c r="L151" s="3" t="s">
        <v>4360</v>
      </c>
      <c r="M151" s="3" t="str">
        <f>HYPERLINK("https://ceds.ed.gov/cedselementdetails.aspx?termid=6388")</f>
        <v>https://ceds.ed.gov/cedselementdetails.aspx?termid=6388</v>
      </c>
      <c r="N151" s="3" t="str">
        <f>HYPERLINK("https://ceds.ed.gov/elementComment.aspx?elementName=Organization Seeking Accreditation Date &amp;elementID=6388", "Click here to submit comment")</f>
        <v>Click here to submit comment</v>
      </c>
    </row>
    <row r="152" spans="1:14" ht="30">
      <c r="A152" s="3" t="s">
        <v>4367</v>
      </c>
      <c r="B152" s="3" t="s">
        <v>4368</v>
      </c>
      <c r="C152" s="3" t="s">
        <v>13</v>
      </c>
      <c r="D152" s="3" t="s">
        <v>4166</v>
      </c>
      <c r="E152" s="3"/>
      <c r="F152" s="3" t="s">
        <v>54</v>
      </c>
      <c r="G152" s="3" t="s">
        <v>93</v>
      </c>
      <c r="H152" s="3"/>
      <c r="I152" s="3"/>
      <c r="J152" s="3" t="s">
        <v>4369</v>
      </c>
      <c r="K152" s="3"/>
      <c r="L152" s="3" t="s">
        <v>4370</v>
      </c>
      <c r="M152" s="3" t="str">
        <f>HYPERLINK("https://ceds.ed.gov/cedselementdetails.aspx?termid=6300")</f>
        <v>https://ceds.ed.gov/cedselementdetails.aspx?termid=6300</v>
      </c>
      <c r="N152" s="3" t="str">
        <f>HYPERLINK("https://ceds.ed.gov/elementComment.aspx?elementName=Organization Type of Monitoring &amp;elementID=6300", "Click here to submit comment")</f>
        <v>Click here to submit comment</v>
      </c>
    </row>
    <row r="153" spans="1:14" ht="75">
      <c r="A153" s="3" t="s">
        <v>4371</v>
      </c>
      <c r="B153" s="3" t="s">
        <v>4372</v>
      </c>
      <c r="C153" s="3" t="s">
        <v>13</v>
      </c>
      <c r="D153" s="3" t="s">
        <v>1831</v>
      </c>
      <c r="E153" s="3"/>
      <c r="F153" s="3" t="s">
        <v>54</v>
      </c>
      <c r="G153" s="3" t="s">
        <v>100</v>
      </c>
      <c r="H153" s="3"/>
      <c r="I153" s="3"/>
      <c r="J153" s="3" t="s">
        <v>4373</v>
      </c>
      <c r="K153" s="3"/>
      <c r="L153" s="3" t="s">
        <v>4374</v>
      </c>
      <c r="M153" s="3" t="str">
        <f>HYPERLINK("https://ceds.ed.gov/cedselementdetails.aspx?termid=6389")</f>
        <v>https://ceds.ed.gov/cedselementdetails.aspx?termid=6389</v>
      </c>
      <c r="N153" s="3" t="str">
        <f>HYPERLINK("https://ceds.ed.gov/elementComment.aspx?elementName=Original Course Identifier &amp;elementID=6389", "Click here to submit comment")</f>
        <v>Click here to submit comment</v>
      </c>
    </row>
    <row r="154" spans="1:14" ht="409.5">
      <c r="A154" s="3" t="s">
        <v>4375</v>
      </c>
      <c r="B154" s="3" t="s">
        <v>4376</v>
      </c>
      <c r="C154" s="3" t="s">
        <v>13</v>
      </c>
      <c r="D154" s="3" t="s">
        <v>6270</v>
      </c>
      <c r="E154" s="3"/>
      <c r="F154" s="3" t="s">
        <v>54</v>
      </c>
      <c r="G154" s="3" t="s">
        <v>1368</v>
      </c>
      <c r="H154" s="3"/>
      <c r="I154" s="3" t="s">
        <v>4377</v>
      </c>
      <c r="J154" s="3" t="s">
        <v>4378</v>
      </c>
      <c r="K154" s="3"/>
      <c r="L154" s="3" t="s">
        <v>4379</v>
      </c>
      <c r="M154" s="3" t="str">
        <f>HYPERLINK("https://ceds.ed.gov/cedselementdetails.aspx?termid=6486")</f>
        <v>https://ceds.ed.gov/cedselementdetails.aspx?termid=6486</v>
      </c>
      <c r="N154" s="3" t="str">
        <f>HYPERLINK("https://ceds.ed.gov/elementComment.aspx?elementName=Other First Name &amp;elementID=6486", "Click here to submit comment")</f>
        <v>Click here to submit comment</v>
      </c>
    </row>
    <row r="155" spans="1:14" ht="409.5">
      <c r="A155" s="3" t="s">
        <v>4380</v>
      </c>
      <c r="B155" s="3" t="s">
        <v>4381</v>
      </c>
      <c r="C155" s="3" t="s">
        <v>13</v>
      </c>
      <c r="D155" s="3" t="s">
        <v>6270</v>
      </c>
      <c r="E155" s="3"/>
      <c r="F155" s="3" t="s">
        <v>54</v>
      </c>
      <c r="G155" s="3" t="s">
        <v>1368</v>
      </c>
      <c r="H155" s="3"/>
      <c r="I155" s="3" t="s">
        <v>4382</v>
      </c>
      <c r="J155" s="3" t="s">
        <v>4383</v>
      </c>
      <c r="K155" s="3"/>
      <c r="L155" s="3" t="s">
        <v>4384</v>
      </c>
      <c r="M155" s="3" t="str">
        <f>HYPERLINK("https://ceds.ed.gov/cedselementdetails.aspx?termid=6485")</f>
        <v>https://ceds.ed.gov/cedselementdetails.aspx?termid=6485</v>
      </c>
      <c r="N155" s="3" t="str">
        <f>HYPERLINK("https://ceds.ed.gov/elementComment.aspx?elementName=Other Last Name &amp;elementID=6485", "Click here to submit comment")</f>
        <v>Click here to submit comment</v>
      </c>
    </row>
    <row r="156" spans="1:14" ht="409.5">
      <c r="A156" s="3" t="s">
        <v>4385</v>
      </c>
      <c r="B156" s="3" t="s">
        <v>4386</v>
      </c>
      <c r="C156" s="3" t="s">
        <v>13</v>
      </c>
      <c r="D156" s="3" t="s">
        <v>6270</v>
      </c>
      <c r="E156" s="3"/>
      <c r="F156" s="3" t="s">
        <v>54</v>
      </c>
      <c r="G156" s="3" t="s">
        <v>1368</v>
      </c>
      <c r="H156" s="3"/>
      <c r="I156" s="3" t="s">
        <v>4387</v>
      </c>
      <c r="J156" s="3" t="s">
        <v>4388</v>
      </c>
      <c r="K156" s="3"/>
      <c r="L156" s="3" t="s">
        <v>4389</v>
      </c>
      <c r="M156" s="3" t="str">
        <f>HYPERLINK("https://ceds.ed.gov/cedselementdetails.aspx?termid=6487")</f>
        <v>https://ceds.ed.gov/cedselementdetails.aspx?termid=6487</v>
      </c>
      <c r="N156" s="3" t="str">
        <f>HYPERLINK("https://ceds.ed.gov/elementComment.aspx?elementName=Other Middle Name &amp;elementID=6487", "Click here to submit comment")</f>
        <v>Click here to submit comment</v>
      </c>
    </row>
    <row r="157" spans="1:14" ht="45">
      <c r="A157" s="3" t="s">
        <v>4398</v>
      </c>
      <c r="B157" s="3" t="s">
        <v>4399</v>
      </c>
      <c r="C157" s="3" t="s">
        <v>5963</v>
      </c>
      <c r="D157" s="3" t="s">
        <v>2787</v>
      </c>
      <c r="E157" s="3"/>
      <c r="F157" s="3" t="s">
        <v>54</v>
      </c>
      <c r="G157" s="3"/>
      <c r="H157" s="3"/>
      <c r="I157" s="3" t="s">
        <v>4400</v>
      </c>
      <c r="J157" s="3" t="s">
        <v>4401</v>
      </c>
      <c r="K157" s="3"/>
      <c r="L157" s="3" t="s">
        <v>4402</v>
      </c>
      <c r="M157" s="3" t="str">
        <f>HYPERLINK("https://ceds.ed.gov/cedselementdetails.aspx?termid=6390")</f>
        <v>https://ceds.ed.gov/cedselementdetails.aspx?termid=6390</v>
      </c>
      <c r="N157" s="3" t="str">
        <f>HYPERLINK("https://ceds.ed.gov/elementComment.aspx?elementName=Other Race Indicator &amp;elementID=6390", "Click here to submit comment")</f>
        <v>Click here to submit comment</v>
      </c>
    </row>
    <row r="158" spans="1:14" ht="45">
      <c r="A158" s="3" t="s">
        <v>4407</v>
      </c>
      <c r="B158" s="3" t="s">
        <v>4408</v>
      </c>
      <c r="C158" s="3" t="s">
        <v>13</v>
      </c>
      <c r="D158" s="3" t="s">
        <v>1831</v>
      </c>
      <c r="E158" s="3"/>
      <c r="F158" s="3" t="s">
        <v>54</v>
      </c>
      <c r="G158" s="3" t="s">
        <v>100</v>
      </c>
      <c r="H158" s="3"/>
      <c r="I158" s="3"/>
      <c r="J158" s="3" t="s">
        <v>4409</v>
      </c>
      <c r="K158" s="3"/>
      <c r="L158" s="3" t="s">
        <v>4410</v>
      </c>
      <c r="M158" s="3" t="str">
        <f>HYPERLINK("https://ceds.ed.gov/cedselementdetails.aspx?termid=6391")</f>
        <v>https://ceds.ed.gov/cedselementdetails.aspx?termid=6391</v>
      </c>
      <c r="N158" s="3" t="str">
        <f>HYPERLINK("https://ceds.ed.gov/elementComment.aspx?elementName=Override School Course Number &amp;elementID=6391", "Click here to submit comment")</f>
        <v>Click here to submit comment</v>
      </c>
    </row>
    <row r="159" spans="1:14" ht="45">
      <c r="A159" s="3" t="s">
        <v>4478</v>
      </c>
      <c r="B159" s="3" t="s">
        <v>4479</v>
      </c>
      <c r="C159" s="3" t="s">
        <v>13</v>
      </c>
      <c r="D159" s="3" t="s">
        <v>6149</v>
      </c>
      <c r="E159" s="3"/>
      <c r="F159" s="3" t="s">
        <v>54</v>
      </c>
      <c r="G159" s="3" t="s">
        <v>575</v>
      </c>
      <c r="H159" s="3"/>
      <c r="I159" s="3"/>
      <c r="J159" s="3" t="s">
        <v>4480</v>
      </c>
      <c r="K159" s="3"/>
      <c r="L159" s="3" t="s">
        <v>4481</v>
      </c>
      <c r="M159" s="3" t="str">
        <f>HYPERLINK("https://ceds.ed.gov/cedselementdetails.aspx?termid=6392")</f>
        <v>https://ceds.ed.gov/cedselementdetails.aspx?termid=6392</v>
      </c>
      <c r="N159" s="3" t="str">
        <f>HYPERLINK("https://ceds.ed.gov/elementComment.aspx?elementName=Person Relationship to Learner Contact Priority Number &amp;elementID=6392", "Click here to submit comment")</f>
        <v>Click here to submit comment</v>
      </c>
    </row>
    <row r="160" spans="1:14" ht="60">
      <c r="A160" s="3" t="s">
        <v>4482</v>
      </c>
      <c r="B160" s="3" t="s">
        <v>4483</v>
      </c>
      <c r="C160" s="3" t="s">
        <v>13</v>
      </c>
      <c r="D160" s="3" t="s">
        <v>6149</v>
      </c>
      <c r="E160" s="3"/>
      <c r="F160" s="3" t="s">
        <v>54</v>
      </c>
      <c r="G160" s="3" t="s">
        <v>319</v>
      </c>
      <c r="H160" s="3"/>
      <c r="I160" s="3"/>
      <c r="J160" s="3" t="s">
        <v>4484</v>
      </c>
      <c r="K160" s="3"/>
      <c r="L160" s="3" t="s">
        <v>4485</v>
      </c>
      <c r="M160" s="3" t="str">
        <f>HYPERLINK("https://ceds.ed.gov/cedselementdetails.aspx?termid=6393")</f>
        <v>https://ceds.ed.gov/cedselementdetails.aspx?termid=6393</v>
      </c>
      <c r="N160" s="3" t="str">
        <f>HYPERLINK("https://ceds.ed.gov/elementComment.aspx?elementName=Person Relationship to Learner Contact Restrictions Description &amp;elementID=6393", "Click here to submit comment")</f>
        <v>Click here to submit comment</v>
      </c>
    </row>
    <row r="161" spans="1:14" ht="45">
      <c r="A161" s="3" t="s">
        <v>4486</v>
      </c>
      <c r="B161" s="3" t="s">
        <v>4487</v>
      </c>
      <c r="C161" s="3" t="s">
        <v>5963</v>
      </c>
      <c r="D161" s="3" t="s">
        <v>6149</v>
      </c>
      <c r="E161" s="3"/>
      <c r="F161" s="3" t="s">
        <v>54</v>
      </c>
      <c r="G161" s="3"/>
      <c r="H161" s="3"/>
      <c r="I161" s="3"/>
      <c r="J161" s="3" t="s">
        <v>4488</v>
      </c>
      <c r="K161" s="3"/>
      <c r="L161" s="3" t="s">
        <v>4489</v>
      </c>
      <c r="M161" s="3" t="str">
        <f>HYPERLINK("https://ceds.ed.gov/cedselementdetails.aspx?termid=6394")</f>
        <v>https://ceds.ed.gov/cedselementdetails.aspx?termid=6394</v>
      </c>
      <c r="N161" s="3" t="str">
        <f>HYPERLINK("https://ceds.ed.gov/elementComment.aspx?elementName=Person Relationship to Learner Lives With Indicator &amp;elementID=6394", "Click here to submit comment")</f>
        <v>Click here to submit comment</v>
      </c>
    </row>
    <row r="162" spans="1:14" ht="105">
      <c r="A162" s="3" t="s">
        <v>4536</v>
      </c>
      <c r="B162" s="3" t="s">
        <v>4537</v>
      </c>
      <c r="C162" s="3" t="s">
        <v>5963</v>
      </c>
      <c r="D162" s="3" t="s">
        <v>53</v>
      </c>
      <c r="E162" s="3"/>
      <c r="F162" s="3" t="s">
        <v>54</v>
      </c>
      <c r="G162" s="3"/>
      <c r="H162" s="3"/>
      <c r="I162" s="3" t="s">
        <v>4538</v>
      </c>
      <c r="J162" s="3" t="s">
        <v>4539</v>
      </c>
      <c r="K162" s="3"/>
      <c r="L162" s="3" t="s">
        <v>4540</v>
      </c>
      <c r="M162" s="3" t="str">
        <f>HYPERLINK("https://ceds.ed.gov/cedselementdetails.aspx?termid=6395")</f>
        <v>https://ceds.ed.gov/cedselementdetails.aspx?termid=6395</v>
      </c>
      <c r="N162" s="3" t="str">
        <f>HYPERLINK("https://ceds.ed.gov/elementComment.aspx?elementName=Postsecondary Entering Student Indicator &amp;elementID=6395", "Click here to submit comment")</f>
        <v>Click here to submit comment</v>
      </c>
    </row>
    <row r="163" spans="1:14" ht="120">
      <c r="A163" s="3" t="s">
        <v>4541</v>
      </c>
      <c r="B163" s="3" t="s">
        <v>4542</v>
      </c>
      <c r="C163" s="3" t="s">
        <v>13</v>
      </c>
      <c r="D163" s="3" t="s">
        <v>53</v>
      </c>
      <c r="E163" s="3"/>
      <c r="F163" s="3" t="s">
        <v>54</v>
      </c>
      <c r="G163" s="3" t="s">
        <v>100</v>
      </c>
      <c r="H163" s="3"/>
      <c r="I163" s="3" t="s">
        <v>4538</v>
      </c>
      <c r="J163" s="3" t="s">
        <v>4543</v>
      </c>
      <c r="K163" s="3"/>
      <c r="L163" s="3" t="s">
        <v>4544</v>
      </c>
      <c r="M163" s="3" t="str">
        <f>HYPERLINK("https://ceds.ed.gov/cedselementdetails.aspx?termid=6396")</f>
        <v>https://ceds.ed.gov/cedselementdetails.aspx?termid=6396</v>
      </c>
      <c r="N163" s="3" t="str">
        <f>HYPERLINK("https://ceds.ed.gov/elementComment.aspx?elementName=Postsecondary Student Entering Term &amp;elementID=6396", "Click here to submit comment")</f>
        <v>Click here to submit comment</v>
      </c>
    </row>
    <row r="164" spans="1:14" ht="90">
      <c r="A164" s="3" t="s">
        <v>4583</v>
      </c>
      <c r="B164" s="3" t="s">
        <v>4584</v>
      </c>
      <c r="C164" s="3" t="s">
        <v>5963</v>
      </c>
      <c r="D164" s="3" t="s">
        <v>6284</v>
      </c>
      <c r="E164" s="3"/>
      <c r="F164" s="3" t="s">
        <v>54</v>
      </c>
      <c r="G164" s="3"/>
      <c r="H164" s="3"/>
      <c r="I164" s="3"/>
      <c r="J164" s="3" t="s">
        <v>4585</v>
      </c>
      <c r="K164" s="3"/>
      <c r="L164" s="3" t="s">
        <v>4586</v>
      </c>
      <c r="M164" s="3" t="str">
        <f>HYPERLINK("https://ceds.ed.gov/cedselementdetails.aspx?termid=6397")</f>
        <v>https://ceds.ed.gov/cedselementdetails.aspx?termid=6397</v>
      </c>
      <c r="N164" s="3" t="str">
        <f>HYPERLINK("https://ceds.ed.gov/elementComment.aspx?elementName=Primary Contact Indicator &amp;elementID=6397", "Click here to submit comment")</f>
        <v>Click here to submit comment</v>
      </c>
    </row>
    <row r="165" spans="1:14" ht="30">
      <c r="A165" s="3" t="s">
        <v>4615</v>
      </c>
      <c r="B165" s="3" t="s">
        <v>4616</v>
      </c>
      <c r="C165" s="3" t="s">
        <v>13</v>
      </c>
      <c r="D165" s="3" t="s">
        <v>4617</v>
      </c>
      <c r="E165" s="3"/>
      <c r="F165" s="3" t="s">
        <v>54</v>
      </c>
      <c r="G165" s="3" t="s">
        <v>100</v>
      </c>
      <c r="H165" s="3"/>
      <c r="I165" s="3"/>
      <c r="J165" s="3" t="s">
        <v>4618</v>
      </c>
      <c r="K165" s="3"/>
      <c r="L165" s="3" t="s">
        <v>4619</v>
      </c>
      <c r="M165" s="3" t="str">
        <f>HYPERLINK("https://ceds.ed.gov/cedselementdetails.aspx?termid=6398")</f>
        <v>https://ceds.ed.gov/cedselementdetails.aspx?termid=6398</v>
      </c>
      <c r="N165" s="3" t="str">
        <f>HYPERLINK("https://ceds.ed.gov/elementComment.aspx?elementName=Professional Certificate or License Number &amp;elementID=6398", "Click here to submit comment")</f>
        <v>Click here to submit comment</v>
      </c>
    </row>
    <row r="166" spans="1:14" ht="75">
      <c r="A166" s="3" t="s">
        <v>4620</v>
      </c>
      <c r="B166" s="3" t="s">
        <v>4621</v>
      </c>
      <c r="C166" s="3" t="s">
        <v>13</v>
      </c>
      <c r="D166" s="3" t="s">
        <v>6288</v>
      </c>
      <c r="E166" s="3"/>
      <c r="F166" s="3" t="s">
        <v>54</v>
      </c>
      <c r="G166" s="3" t="s">
        <v>100</v>
      </c>
      <c r="H166" s="3"/>
      <c r="I166" s="3"/>
      <c r="J166" s="3" t="s">
        <v>4622</v>
      </c>
      <c r="K166" s="3"/>
      <c r="L166" s="3" t="s">
        <v>4623</v>
      </c>
      <c r="M166" s="3" t="str">
        <f>HYPERLINK("https://ceds.ed.gov/cedselementdetails.aspx?termid=6402")</f>
        <v>https://ceds.ed.gov/cedselementdetails.aspx?termid=6402</v>
      </c>
      <c r="N166" s="3" t="str">
        <f>HYPERLINK("https://ceds.ed.gov/elementComment.aspx?elementName=Professional Development Activity Approval Code &amp;elementID=6402", "Click here to submit comment")</f>
        <v>Click here to submit comment</v>
      </c>
    </row>
    <row r="167" spans="1:14" ht="90">
      <c r="A167" s="3" t="s">
        <v>4624</v>
      </c>
      <c r="B167" s="3" t="s">
        <v>4625</v>
      </c>
      <c r="C167" s="4" t="s">
        <v>6611</v>
      </c>
      <c r="D167" s="3" t="s">
        <v>6288</v>
      </c>
      <c r="E167" s="3"/>
      <c r="F167" s="3" t="s">
        <v>54</v>
      </c>
      <c r="G167" s="3"/>
      <c r="H167" s="3"/>
      <c r="I167" s="3"/>
      <c r="J167" s="3" t="s">
        <v>4626</v>
      </c>
      <c r="K167" s="3"/>
      <c r="L167" s="3" t="s">
        <v>4627</v>
      </c>
      <c r="M167" s="3" t="str">
        <f>HYPERLINK("https://ceds.ed.gov/cedselementdetails.aspx?termid=6403")</f>
        <v>https://ceds.ed.gov/cedselementdetails.aspx?termid=6403</v>
      </c>
      <c r="N167" s="3" t="str">
        <f>HYPERLINK("https://ceds.ed.gov/elementComment.aspx?elementName=Professional Development Activity Approved For &amp;elementID=6403", "Click here to submit comment")</f>
        <v>Click here to submit comment</v>
      </c>
    </row>
    <row r="168" spans="1:14" ht="75">
      <c r="A168" s="3" t="s">
        <v>4628</v>
      </c>
      <c r="B168" s="3" t="s">
        <v>4629</v>
      </c>
      <c r="C168" s="3" t="s">
        <v>13</v>
      </c>
      <c r="D168" s="3" t="s">
        <v>6288</v>
      </c>
      <c r="E168" s="3"/>
      <c r="F168" s="3" t="s">
        <v>54</v>
      </c>
      <c r="G168" s="3" t="s">
        <v>100</v>
      </c>
      <c r="H168" s="3"/>
      <c r="I168" s="3"/>
      <c r="J168" s="3" t="s">
        <v>4630</v>
      </c>
      <c r="K168" s="3"/>
      <c r="L168" s="3" t="s">
        <v>4631</v>
      </c>
      <c r="M168" s="3" t="str">
        <f>HYPERLINK("https://ceds.ed.gov/cedselementdetails.aspx?termid=6404")</f>
        <v>https://ceds.ed.gov/cedselementdetails.aspx?termid=6404</v>
      </c>
      <c r="N168" s="3" t="str">
        <f>HYPERLINK("https://ceds.ed.gov/elementComment.aspx?elementName=Professional Development Activity Code &amp;elementID=6404", "Click here to submit comment")</f>
        <v>Click here to submit comment</v>
      </c>
    </row>
    <row r="169" spans="1:14" ht="75">
      <c r="A169" s="3" t="s">
        <v>4632</v>
      </c>
      <c r="B169" s="3" t="s">
        <v>4633</v>
      </c>
      <c r="C169" s="3" t="s">
        <v>13</v>
      </c>
      <c r="D169" s="3" t="s">
        <v>6288</v>
      </c>
      <c r="E169" s="3"/>
      <c r="F169" s="3" t="s">
        <v>54</v>
      </c>
      <c r="G169" s="3" t="s">
        <v>1461</v>
      </c>
      <c r="H169" s="3"/>
      <c r="I169" s="3"/>
      <c r="J169" s="3" t="s">
        <v>4634</v>
      </c>
      <c r="K169" s="3"/>
      <c r="L169" s="3" t="s">
        <v>4635</v>
      </c>
      <c r="M169" s="3" t="str">
        <f>HYPERLINK("https://ceds.ed.gov/cedselementdetails.aspx?termid=6405")</f>
        <v>https://ceds.ed.gov/cedselementdetails.aspx?termid=6405</v>
      </c>
      <c r="N169" s="3" t="str">
        <f>HYPERLINK("https://ceds.ed.gov/elementComment.aspx?elementName=Professional Development Activity Cost &amp;elementID=6405", "Click here to submit comment")</f>
        <v>Click here to submit comment</v>
      </c>
    </row>
    <row r="170" spans="1:14" ht="75">
      <c r="A170" s="3" t="s">
        <v>4636</v>
      </c>
      <c r="B170" s="3" t="s">
        <v>4637</v>
      </c>
      <c r="C170" s="4" t="s">
        <v>6612</v>
      </c>
      <c r="D170" s="3" t="s">
        <v>6288</v>
      </c>
      <c r="E170" s="3"/>
      <c r="F170" s="3" t="s">
        <v>54</v>
      </c>
      <c r="G170" s="3"/>
      <c r="H170" s="3"/>
      <c r="I170" s="3"/>
      <c r="J170" s="3" t="s">
        <v>4638</v>
      </c>
      <c r="K170" s="3"/>
      <c r="L170" s="3" t="s">
        <v>4639</v>
      </c>
      <c r="M170" s="3" t="str">
        <f>HYPERLINK("https://ceds.ed.gov/cedselementdetails.aspx?termid=6406")</f>
        <v>https://ceds.ed.gov/cedselementdetails.aspx?termid=6406</v>
      </c>
      <c r="N170" s="3" t="str">
        <f>HYPERLINK("https://ceds.ed.gov/elementComment.aspx?elementName=Professional Development Activity Credit Type &amp;elementID=6406", "Click here to submit comment")</f>
        <v>Click here to submit comment</v>
      </c>
    </row>
    <row r="171" spans="1:14" ht="75">
      <c r="A171" s="3" t="s">
        <v>4640</v>
      </c>
      <c r="B171" s="3" t="s">
        <v>4641</v>
      </c>
      <c r="C171" s="3" t="s">
        <v>13</v>
      </c>
      <c r="D171" s="3" t="s">
        <v>6288</v>
      </c>
      <c r="E171" s="3"/>
      <c r="F171" s="3" t="s">
        <v>54</v>
      </c>
      <c r="G171" s="3" t="s">
        <v>1461</v>
      </c>
      <c r="H171" s="3"/>
      <c r="I171" s="3"/>
      <c r="J171" s="3" t="s">
        <v>4642</v>
      </c>
      <c r="K171" s="3"/>
      <c r="L171" s="3" t="s">
        <v>4643</v>
      </c>
      <c r="M171" s="3" t="str">
        <f>HYPERLINK("https://ceds.ed.gov/cedselementdetails.aspx?termid=6407")</f>
        <v>https://ceds.ed.gov/cedselementdetails.aspx?termid=6407</v>
      </c>
      <c r="N171" s="3" t="str">
        <f>HYPERLINK("https://ceds.ed.gov/elementComment.aspx?elementName=Professional Development Activity Credits &amp;elementID=6407", "Click here to submit comment")</f>
        <v>Click here to submit comment</v>
      </c>
    </row>
    <row r="172" spans="1:14" ht="75">
      <c r="A172" s="3" t="s">
        <v>4644</v>
      </c>
      <c r="B172" s="3" t="s">
        <v>4645</v>
      </c>
      <c r="C172" s="3" t="s">
        <v>13</v>
      </c>
      <c r="D172" s="3" t="s">
        <v>6288</v>
      </c>
      <c r="E172" s="3"/>
      <c r="F172" s="3" t="s">
        <v>54</v>
      </c>
      <c r="G172" s="3" t="s">
        <v>319</v>
      </c>
      <c r="H172" s="3"/>
      <c r="I172" s="3"/>
      <c r="J172" s="3" t="s">
        <v>4646</v>
      </c>
      <c r="K172" s="3"/>
      <c r="L172" s="3" t="s">
        <v>4647</v>
      </c>
      <c r="M172" s="3" t="str">
        <f>HYPERLINK("https://ceds.ed.gov/cedselementdetails.aspx?termid=6408")</f>
        <v>https://ceds.ed.gov/cedselementdetails.aspx?termid=6408</v>
      </c>
      <c r="N172" s="3" t="str">
        <f>HYPERLINK("https://ceds.ed.gov/elementComment.aspx?elementName=Professional Development Activity Description &amp;elementID=6408", "Click here to submit comment")</f>
        <v>Click here to submit comment</v>
      </c>
    </row>
    <row r="173" spans="1:14" ht="409.5">
      <c r="A173" s="3" t="s">
        <v>4648</v>
      </c>
      <c r="B173" s="3" t="s">
        <v>4649</v>
      </c>
      <c r="C173" s="4" t="s">
        <v>6613</v>
      </c>
      <c r="D173" s="3" t="s">
        <v>4650</v>
      </c>
      <c r="E173" s="3"/>
      <c r="F173" s="3" t="s">
        <v>54</v>
      </c>
      <c r="G173" s="3"/>
      <c r="H173" s="3"/>
      <c r="I173" s="3" t="s">
        <v>4651</v>
      </c>
      <c r="J173" s="3" t="s">
        <v>4652</v>
      </c>
      <c r="K173" s="3"/>
      <c r="L173" s="3" t="s">
        <v>4653</v>
      </c>
      <c r="M173" s="3" t="str">
        <f>HYPERLINK("https://ceds.ed.gov/cedselementdetails.aspx?termid=6245")</f>
        <v>https://ceds.ed.gov/cedselementdetails.aspx?termid=6245</v>
      </c>
      <c r="N173" s="3" t="str">
        <f>HYPERLINK("https://ceds.ed.gov/elementComment.aspx?elementName=Professional Development Activity Education Levels Addressed &amp;elementID=6245", "Click here to submit comment")</f>
        <v>Click here to submit comment</v>
      </c>
    </row>
    <row r="174" spans="1:14" ht="75">
      <c r="A174" s="3" t="s">
        <v>4654</v>
      </c>
      <c r="B174" s="3" t="s">
        <v>4655</v>
      </c>
      <c r="C174" s="3" t="s">
        <v>13</v>
      </c>
      <c r="D174" s="3" t="s">
        <v>6288</v>
      </c>
      <c r="E174" s="3"/>
      <c r="F174" s="3" t="s">
        <v>54</v>
      </c>
      <c r="G174" s="3" t="s">
        <v>73</v>
      </c>
      <c r="H174" s="3"/>
      <c r="I174" s="3"/>
      <c r="J174" s="3" t="s">
        <v>4656</v>
      </c>
      <c r="K174" s="3"/>
      <c r="L174" s="3" t="s">
        <v>4657</v>
      </c>
      <c r="M174" s="3" t="str">
        <f>HYPERLINK("https://ceds.ed.gov/cedselementdetails.aspx?termid=6421")</f>
        <v>https://ceds.ed.gov/cedselementdetails.aspx?termid=6421</v>
      </c>
      <c r="N174" s="3" t="str">
        <f>HYPERLINK("https://ceds.ed.gov/elementComment.aspx?elementName=Professional Development Activity Expiration Date &amp;elementID=6421", "Click here to submit comment")</f>
        <v>Click here to submit comment</v>
      </c>
    </row>
    <row r="175" spans="1:14" ht="75">
      <c r="A175" s="3" t="s">
        <v>4664</v>
      </c>
      <c r="B175" s="3" t="s">
        <v>4665</v>
      </c>
      <c r="C175" s="3" t="s">
        <v>6289</v>
      </c>
      <c r="D175" s="3" t="s">
        <v>6288</v>
      </c>
      <c r="E175" s="3"/>
      <c r="F175" s="3" t="s">
        <v>54</v>
      </c>
      <c r="G175" s="3"/>
      <c r="H175" s="3"/>
      <c r="I175" s="3"/>
      <c r="J175" s="3" t="s">
        <v>4666</v>
      </c>
      <c r="K175" s="3"/>
      <c r="L175" s="3" t="s">
        <v>4667</v>
      </c>
      <c r="M175" s="3" t="str">
        <f>HYPERLINK("https://ceds.ed.gov/cedselementdetails.aspx?termid=6409")</f>
        <v>https://ceds.ed.gov/cedselementdetails.aspx?termid=6409</v>
      </c>
      <c r="N175" s="3" t="str">
        <f>HYPERLINK("https://ceds.ed.gov/elementComment.aspx?elementName=Professional Development Activity Level &amp;elementID=6409", "Click here to submit comment")</f>
        <v>Click here to submit comment</v>
      </c>
    </row>
    <row r="176" spans="1:14" ht="75">
      <c r="A176" s="3" t="s">
        <v>4668</v>
      </c>
      <c r="B176" s="3" t="s">
        <v>4669</v>
      </c>
      <c r="C176" s="3" t="s">
        <v>13</v>
      </c>
      <c r="D176" s="3" t="s">
        <v>6288</v>
      </c>
      <c r="E176" s="3"/>
      <c r="F176" s="3" t="s">
        <v>54</v>
      </c>
      <c r="G176" s="3" t="s">
        <v>319</v>
      </c>
      <c r="H176" s="3"/>
      <c r="I176" s="3"/>
      <c r="J176" s="3" t="s">
        <v>4670</v>
      </c>
      <c r="K176" s="3"/>
      <c r="L176" s="3" t="s">
        <v>4671</v>
      </c>
      <c r="M176" s="3" t="str">
        <f>HYPERLINK("https://ceds.ed.gov/cedselementdetails.aspx?termid=6410")</f>
        <v>https://ceds.ed.gov/cedselementdetails.aspx?termid=6410</v>
      </c>
      <c r="N176" s="3" t="str">
        <f>HYPERLINK("https://ceds.ed.gov/elementComment.aspx?elementName=Professional Development Activity Objective &amp;elementID=6410", "Click here to submit comment")</f>
        <v>Click here to submit comment</v>
      </c>
    </row>
    <row r="177" spans="1:14" ht="409.5">
      <c r="A177" s="3" t="s">
        <v>4672</v>
      </c>
      <c r="B177" s="3" t="s">
        <v>4673</v>
      </c>
      <c r="C177" s="4" t="s">
        <v>6614</v>
      </c>
      <c r="D177" s="3" t="s">
        <v>6288</v>
      </c>
      <c r="E177" s="3"/>
      <c r="F177" s="3" t="s">
        <v>54</v>
      </c>
      <c r="G177" s="3"/>
      <c r="H177" s="3"/>
      <c r="I177" s="3"/>
      <c r="J177" s="3" t="s">
        <v>4674</v>
      </c>
      <c r="K177" s="3"/>
      <c r="L177" s="3" t="s">
        <v>4675</v>
      </c>
      <c r="M177" s="3" t="str">
        <f>HYPERLINK("https://ceds.ed.gov/cedselementdetails.aspx?termid=6464")</f>
        <v>https://ceds.ed.gov/cedselementdetails.aspx?termid=6464</v>
      </c>
      <c r="N177" s="3" t="str">
        <f>HYPERLINK("https://ceds.ed.gov/elementComment.aspx?elementName=Professional Development Activity Target Audience &amp;elementID=6464", "Click here to submit comment")</f>
        <v>Click here to submit comment</v>
      </c>
    </row>
    <row r="178" spans="1:14" ht="165">
      <c r="A178" s="3" t="s">
        <v>4681</v>
      </c>
      <c r="B178" s="3" t="s">
        <v>4682</v>
      </c>
      <c r="C178" s="4" t="s">
        <v>6615</v>
      </c>
      <c r="D178" s="3" t="s">
        <v>6288</v>
      </c>
      <c r="E178" s="3"/>
      <c r="F178" s="3" t="s">
        <v>54</v>
      </c>
      <c r="G178" s="3"/>
      <c r="H178" s="3"/>
      <c r="I178" s="3" t="s">
        <v>4683</v>
      </c>
      <c r="J178" s="3" t="s">
        <v>4684</v>
      </c>
      <c r="K178" s="3"/>
      <c r="L178" s="3" t="s">
        <v>4685</v>
      </c>
      <c r="M178" s="3" t="str">
        <f>HYPERLINK("https://ceds.ed.gov/cedselementdetails.aspx?termid=6412")</f>
        <v>https://ceds.ed.gov/cedselementdetails.aspx?termid=6412</v>
      </c>
      <c r="N178" s="3" t="str">
        <f>HYPERLINK("https://ceds.ed.gov/elementComment.aspx?elementName=Professional Development Activity Type &amp;elementID=6412", "Click here to submit comment")</f>
        <v>Click here to submit comment</v>
      </c>
    </row>
    <row r="179" spans="1:14" ht="45">
      <c r="A179" s="3" t="s">
        <v>4686</v>
      </c>
      <c r="B179" s="3" t="s">
        <v>4687</v>
      </c>
      <c r="C179" s="3" t="s">
        <v>6254</v>
      </c>
      <c r="D179" s="3" t="s">
        <v>1542</v>
      </c>
      <c r="E179" s="3"/>
      <c r="F179" s="3" t="s">
        <v>54</v>
      </c>
      <c r="G179" s="3"/>
      <c r="H179" s="3"/>
      <c r="I179" s="3"/>
      <c r="J179" s="3" t="s">
        <v>4688</v>
      </c>
      <c r="K179" s="3"/>
      <c r="L179" s="3" t="s">
        <v>4689</v>
      </c>
      <c r="M179" s="3" t="str">
        <f>HYPERLINK("https://ceds.ed.gov/cedselementdetails.aspx?termid=6399")</f>
        <v>https://ceds.ed.gov/cedselementdetails.aspx?termid=6399</v>
      </c>
      <c r="N179" s="3" t="str">
        <f>HYPERLINK("https://ceds.ed.gov/elementComment.aspx?elementName=Professional Development Audience Type &amp;elementID=6399", "Click here to submit comment")</f>
        <v>Click here to submit comment</v>
      </c>
    </row>
    <row r="180" spans="1:14" ht="90">
      <c r="A180" s="3" t="s">
        <v>4690</v>
      </c>
      <c r="B180" s="3" t="s">
        <v>4691</v>
      </c>
      <c r="C180" s="4" t="s">
        <v>6616</v>
      </c>
      <c r="D180" s="3" t="s">
        <v>6290</v>
      </c>
      <c r="E180" s="3"/>
      <c r="F180" s="3" t="s">
        <v>54</v>
      </c>
      <c r="G180" s="3"/>
      <c r="H180" s="3"/>
      <c r="I180" s="3"/>
      <c r="J180" s="3" t="s">
        <v>4692</v>
      </c>
      <c r="K180" s="3"/>
      <c r="L180" s="3" t="s">
        <v>4693</v>
      </c>
      <c r="M180" s="3" t="str">
        <f>HYPERLINK("https://ceds.ed.gov/cedselementdetails.aspx?termid=6401")</f>
        <v>https://ceds.ed.gov/cedselementdetails.aspx?termid=6401</v>
      </c>
      <c r="N180" s="3" t="str">
        <f>HYPERLINK("https://ceds.ed.gov/elementComment.aspx?elementName=Professional Development Delivery Method &amp;elementID=6401", "Click here to submit comment")</f>
        <v>Click here to submit comment</v>
      </c>
    </row>
    <row r="181" spans="1:14" ht="90">
      <c r="A181" s="3" t="s">
        <v>4698</v>
      </c>
      <c r="B181" s="3" t="s">
        <v>4699</v>
      </c>
      <c r="C181" s="3" t="s">
        <v>13</v>
      </c>
      <c r="D181" s="3" t="s">
        <v>6290</v>
      </c>
      <c r="E181" s="3"/>
      <c r="F181" s="3" t="s">
        <v>54</v>
      </c>
      <c r="G181" s="3" t="s">
        <v>100</v>
      </c>
      <c r="H181" s="3"/>
      <c r="I181" s="3"/>
      <c r="J181" s="3" t="s">
        <v>4700</v>
      </c>
      <c r="K181" s="3"/>
      <c r="L181" s="3" t="s">
        <v>4701</v>
      </c>
      <c r="M181" s="3" t="str">
        <f>HYPERLINK("https://ceds.ed.gov/cedselementdetails.aspx?termid=6413")</f>
        <v>https://ceds.ed.gov/cedselementdetails.aspx?termid=6413</v>
      </c>
      <c r="N181" s="3" t="str">
        <f>HYPERLINK("https://ceds.ed.gov/elementComment.aspx?elementName=Professional Development Funding Source &amp;elementID=6413", "Click here to submit comment")</f>
        <v>Click here to submit comment</v>
      </c>
    </row>
    <row r="182" spans="1:14" ht="180">
      <c r="A182" s="3" t="s">
        <v>4702</v>
      </c>
      <c r="B182" s="3" t="s">
        <v>4703</v>
      </c>
      <c r="C182" s="4" t="s">
        <v>6618</v>
      </c>
      <c r="D182" s="3" t="s">
        <v>6290</v>
      </c>
      <c r="E182" s="3"/>
      <c r="F182" s="3" t="s">
        <v>54</v>
      </c>
      <c r="G182" s="3"/>
      <c r="H182" s="3"/>
      <c r="I182" s="3"/>
      <c r="J182" s="3" t="s">
        <v>4704</v>
      </c>
      <c r="K182" s="3"/>
      <c r="L182" s="3" t="s">
        <v>4705</v>
      </c>
      <c r="M182" s="3" t="str">
        <f>HYPERLINK("https://ceds.ed.gov/cedselementdetails.aspx?termid=6429")</f>
        <v>https://ceds.ed.gov/cedselementdetails.aspx?termid=6429</v>
      </c>
      <c r="N182" s="3" t="str">
        <f>HYPERLINK("https://ceds.ed.gov/elementComment.aspx?elementName=Professional Development Instructional Delivery Mode &amp;elementID=6429", "Click here to submit comment")</f>
        <v>Click here to submit comment</v>
      </c>
    </row>
    <row r="183" spans="1:14" ht="90">
      <c r="A183" s="3" t="s">
        <v>4706</v>
      </c>
      <c r="B183" s="3" t="s">
        <v>4707</v>
      </c>
      <c r="C183" s="3" t="s">
        <v>13</v>
      </c>
      <c r="D183" s="3" t="s">
        <v>6290</v>
      </c>
      <c r="E183" s="3"/>
      <c r="F183" s="3" t="s">
        <v>54</v>
      </c>
      <c r="G183" s="3" t="s">
        <v>100</v>
      </c>
      <c r="H183" s="3"/>
      <c r="I183" s="3"/>
      <c r="J183" s="3" t="s">
        <v>4708</v>
      </c>
      <c r="K183" s="3"/>
      <c r="L183" s="3" t="s">
        <v>4709</v>
      </c>
      <c r="M183" s="3" t="str">
        <f>HYPERLINK("https://ceds.ed.gov/cedselementdetails.aspx?termid=6414")</f>
        <v>https://ceds.ed.gov/cedselementdetails.aspx?termid=6414</v>
      </c>
      <c r="N183" s="3" t="str">
        <f>HYPERLINK("https://ceds.ed.gov/elementComment.aspx?elementName=Professional Development Instructor Identifier &amp;elementID=6414", "Click here to submit comment")</f>
        <v>Click here to submit comment</v>
      </c>
    </row>
    <row r="184" spans="1:14" ht="45">
      <c r="A184" s="3" t="s">
        <v>4710</v>
      </c>
      <c r="B184" s="3" t="s">
        <v>4711</v>
      </c>
      <c r="C184" s="3" t="s">
        <v>5963</v>
      </c>
      <c r="D184" s="3" t="s">
        <v>1542</v>
      </c>
      <c r="E184" s="3"/>
      <c r="F184" s="3" t="s">
        <v>54</v>
      </c>
      <c r="G184" s="3"/>
      <c r="H184" s="3"/>
      <c r="I184" s="3"/>
      <c r="J184" s="3" t="s">
        <v>4712</v>
      </c>
      <c r="K184" s="3"/>
      <c r="L184" s="3" t="s">
        <v>4713</v>
      </c>
      <c r="M184" s="3" t="str">
        <f>HYPERLINK("https://ceds.ed.gov/cedselementdetails.aspx?termid=6415")</f>
        <v>https://ceds.ed.gov/cedselementdetails.aspx?termid=6415</v>
      </c>
      <c r="N184" s="3" t="str">
        <f>HYPERLINK("https://ceds.ed.gov/elementComment.aspx?elementName=Professional Development Publish Activity Indicator &amp;elementID=6415", "Click here to submit comment")</f>
        <v>Click here to submit comment</v>
      </c>
    </row>
    <row r="185" spans="1:14" ht="90">
      <c r="A185" s="3" t="s">
        <v>4718</v>
      </c>
      <c r="B185" s="3" t="s">
        <v>4719</v>
      </c>
      <c r="C185" s="3" t="s">
        <v>13</v>
      </c>
      <c r="D185" s="3" t="s">
        <v>6290</v>
      </c>
      <c r="E185" s="3"/>
      <c r="F185" s="3" t="s">
        <v>54</v>
      </c>
      <c r="G185" s="3" t="s">
        <v>575</v>
      </c>
      <c r="H185" s="3"/>
      <c r="I185" s="3"/>
      <c r="J185" s="3" t="s">
        <v>4720</v>
      </c>
      <c r="K185" s="3"/>
      <c r="L185" s="3" t="s">
        <v>4721</v>
      </c>
      <c r="M185" s="3" t="str">
        <f>HYPERLINK("https://ceds.ed.gov/cedselementdetails.aspx?termid=6416")</f>
        <v>https://ceds.ed.gov/cedselementdetails.aspx?termid=6416</v>
      </c>
      <c r="N185" s="3" t="str">
        <f>HYPERLINK("https://ceds.ed.gov/elementComment.aspx?elementName=Professional Development Session Capacity &amp;elementID=6416", "Click here to submit comment")</f>
        <v>Click here to submit comment</v>
      </c>
    </row>
    <row r="186" spans="1:14" ht="90">
      <c r="A186" s="3" t="s">
        <v>4722</v>
      </c>
      <c r="B186" s="3" t="s">
        <v>4723</v>
      </c>
      <c r="C186" s="3" t="s">
        <v>13</v>
      </c>
      <c r="D186" s="3" t="s">
        <v>6290</v>
      </c>
      <c r="E186" s="3"/>
      <c r="F186" s="3" t="s">
        <v>54</v>
      </c>
      <c r="G186" s="3" t="s">
        <v>73</v>
      </c>
      <c r="H186" s="3"/>
      <c r="I186" s="3"/>
      <c r="J186" s="3" t="s">
        <v>4724</v>
      </c>
      <c r="K186" s="3"/>
      <c r="L186" s="3" t="s">
        <v>4725</v>
      </c>
      <c r="M186" s="3" t="str">
        <f>HYPERLINK("https://ceds.ed.gov/cedselementdetails.aspx?termid=6417")</f>
        <v>https://ceds.ed.gov/cedselementdetails.aspx?termid=6417</v>
      </c>
      <c r="N186" s="3" t="str">
        <f>HYPERLINK("https://ceds.ed.gov/elementComment.aspx?elementName=Professional Development Session End Date &amp;elementID=6417", "Click here to submit comment")</f>
        <v>Click here to submit comment</v>
      </c>
    </row>
    <row r="187" spans="1:14" ht="90">
      <c r="A187" s="3" t="s">
        <v>4726</v>
      </c>
      <c r="B187" s="3" t="s">
        <v>4727</v>
      </c>
      <c r="C187" s="3" t="s">
        <v>13</v>
      </c>
      <c r="D187" s="3" t="s">
        <v>6290</v>
      </c>
      <c r="E187" s="3"/>
      <c r="F187" s="3" t="s">
        <v>54</v>
      </c>
      <c r="G187" s="3" t="s">
        <v>4728</v>
      </c>
      <c r="H187" s="3"/>
      <c r="I187" s="3"/>
      <c r="J187" s="3" t="s">
        <v>4729</v>
      </c>
      <c r="K187" s="3"/>
      <c r="L187" s="3" t="s">
        <v>4730</v>
      </c>
      <c r="M187" s="3" t="str">
        <f>HYPERLINK("https://ceds.ed.gov/cedselementdetails.aspx?termid=6418")</f>
        <v>https://ceds.ed.gov/cedselementdetails.aspx?termid=6418</v>
      </c>
      <c r="N187" s="3" t="str">
        <f>HYPERLINK("https://ceds.ed.gov/elementComment.aspx?elementName=Professional Development Session End Time &amp;elementID=6418", "Click here to submit comment")</f>
        <v>Click here to submit comment</v>
      </c>
    </row>
    <row r="188" spans="1:14" ht="90">
      <c r="A188" s="3" t="s">
        <v>4731</v>
      </c>
      <c r="B188" s="3" t="s">
        <v>4732</v>
      </c>
      <c r="C188" s="3" t="s">
        <v>13</v>
      </c>
      <c r="D188" s="3" t="s">
        <v>6290</v>
      </c>
      <c r="E188" s="3"/>
      <c r="F188" s="3" t="s">
        <v>54</v>
      </c>
      <c r="G188" s="3" t="s">
        <v>100</v>
      </c>
      <c r="H188" s="3"/>
      <c r="I188" s="3"/>
      <c r="J188" s="3" t="s">
        <v>4733</v>
      </c>
      <c r="K188" s="3"/>
      <c r="L188" s="3" t="s">
        <v>4734</v>
      </c>
      <c r="M188" s="3" t="str">
        <f>HYPERLINK("https://ceds.ed.gov/cedselementdetails.aspx?termid=6419")</f>
        <v>https://ceds.ed.gov/cedselementdetails.aspx?termid=6419</v>
      </c>
      <c r="N188" s="3" t="str">
        <f>HYPERLINK("https://ceds.ed.gov/elementComment.aspx?elementName=Professional Development Session Evaluation Method &amp;elementID=6419", "Click here to submit comment")</f>
        <v>Click here to submit comment</v>
      </c>
    </row>
    <row r="189" spans="1:14" ht="90">
      <c r="A189" s="3" t="s">
        <v>4735</v>
      </c>
      <c r="B189" s="3" t="s">
        <v>4736</v>
      </c>
      <c r="C189" s="3" t="s">
        <v>13</v>
      </c>
      <c r="D189" s="3" t="s">
        <v>6290</v>
      </c>
      <c r="E189" s="3"/>
      <c r="F189" s="3" t="s">
        <v>54</v>
      </c>
      <c r="G189" s="3" t="s">
        <v>100</v>
      </c>
      <c r="H189" s="3"/>
      <c r="I189" s="3"/>
      <c r="J189" s="3" t="s">
        <v>4737</v>
      </c>
      <c r="K189" s="3"/>
      <c r="L189" s="3" t="s">
        <v>4738</v>
      </c>
      <c r="M189" s="3" t="str">
        <f>HYPERLINK("https://ceds.ed.gov/cedselementdetails.aspx?termid=6420")</f>
        <v>https://ceds.ed.gov/cedselementdetails.aspx?termid=6420</v>
      </c>
      <c r="N189" s="3" t="str">
        <f>HYPERLINK("https://ceds.ed.gov/elementComment.aspx?elementName=Professional Development Session Evaluation Score &amp;elementID=6420", "Click here to submit comment")</f>
        <v>Click here to submit comment</v>
      </c>
    </row>
    <row r="190" spans="1:14" ht="90">
      <c r="A190" s="3" t="s">
        <v>4739</v>
      </c>
      <c r="B190" s="3" t="s">
        <v>4740</v>
      </c>
      <c r="C190" s="3" t="s">
        <v>13</v>
      </c>
      <c r="D190" s="3" t="s">
        <v>6290</v>
      </c>
      <c r="E190" s="3"/>
      <c r="F190" s="3" t="s">
        <v>54</v>
      </c>
      <c r="G190" s="3" t="s">
        <v>100</v>
      </c>
      <c r="H190" s="3"/>
      <c r="I190" s="3"/>
      <c r="J190" s="3" t="s">
        <v>4741</v>
      </c>
      <c r="K190" s="3"/>
      <c r="L190" s="3" t="s">
        <v>4742</v>
      </c>
      <c r="M190" s="3" t="str">
        <f>HYPERLINK("https://ceds.ed.gov/cedselementdetails.aspx?termid=6422")</f>
        <v>https://ceds.ed.gov/cedselementdetails.aspx?termid=6422</v>
      </c>
      <c r="N190" s="3" t="str">
        <f>HYPERLINK("https://ceds.ed.gov/elementComment.aspx?elementName=Professional Development Session Identifier &amp;elementID=6422", "Click here to submit comment")</f>
        <v>Click here to submit comment</v>
      </c>
    </row>
    <row r="191" spans="1:14" ht="105">
      <c r="A191" s="3" t="s">
        <v>4743</v>
      </c>
      <c r="B191" s="3" t="s">
        <v>4744</v>
      </c>
      <c r="C191" s="3" t="s">
        <v>13</v>
      </c>
      <c r="D191" s="3" t="s">
        <v>6291</v>
      </c>
      <c r="E191" s="3"/>
      <c r="F191" s="3" t="s">
        <v>54</v>
      </c>
      <c r="G191" s="3" t="s">
        <v>106</v>
      </c>
      <c r="H191" s="3"/>
      <c r="I191" s="3"/>
      <c r="J191" s="3" t="s">
        <v>4745</v>
      </c>
      <c r="K191" s="3"/>
      <c r="L191" s="3" t="s">
        <v>4746</v>
      </c>
      <c r="M191" s="3" t="str">
        <f>HYPERLINK("https://ceds.ed.gov/cedselementdetails.aspx?termid=6424")</f>
        <v>https://ceds.ed.gov/cedselementdetails.aspx?termid=6424</v>
      </c>
      <c r="N191" s="3" t="str">
        <f>HYPERLINK("https://ceds.ed.gov/elementComment.aspx?elementName=Professional Development Session Location Name &amp;elementID=6424", "Click here to submit comment")</f>
        <v>Click here to submit comment</v>
      </c>
    </row>
    <row r="192" spans="1:14" ht="90">
      <c r="A192" s="3" t="s">
        <v>4747</v>
      </c>
      <c r="B192" s="3" t="s">
        <v>4748</v>
      </c>
      <c r="C192" s="3" t="s">
        <v>13</v>
      </c>
      <c r="D192" s="3" t="s">
        <v>6290</v>
      </c>
      <c r="E192" s="3"/>
      <c r="F192" s="3" t="s">
        <v>54</v>
      </c>
      <c r="G192" s="3" t="s">
        <v>73</v>
      </c>
      <c r="H192" s="3"/>
      <c r="I192" s="3"/>
      <c r="J192" s="3" t="s">
        <v>4749</v>
      </c>
      <c r="K192" s="3"/>
      <c r="L192" s="3" t="s">
        <v>4750</v>
      </c>
      <c r="M192" s="3" t="str">
        <f>HYPERLINK("https://ceds.ed.gov/cedselementdetails.aspx?termid=6426")</f>
        <v>https://ceds.ed.gov/cedselementdetails.aspx?termid=6426</v>
      </c>
      <c r="N192" s="3" t="str">
        <f>HYPERLINK("https://ceds.ed.gov/elementComment.aspx?elementName=Professional Development Session Start Date &amp;elementID=6426", "Click here to submit comment")</f>
        <v>Click here to submit comment</v>
      </c>
    </row>
    <row r="193" spans="1:14" ht="90">
      <c r="A193" s="3" t="s">
        <v>4751</v>
      </c>
      <c r="B193" s="3" t="s">
        <v>4752</v>
      </c>
      <c r="C193" s="3" t="s">
        <v>13</v>
      </c>
      <c r="D193" s="3" t="s">
        <v>6290</v>
      </c>
      <c r="E193" s="3"/>
      <c r="F193" s="3" t="s">
        <v>54</v>
      </c>
      <c r="G193" s="3" t="s">
        <v>4728</v>
      </c>
      <c r="H193" s="3"/>
      <c r="I193" s="3"/>
      <c r="J193" s="3" t="s">
        <v>4753</v>
      </c>
      <c r="K193" s="3"/>
      <c r="L193" s="3" t="s">
        <v>4754</v>
      </c>
      <c r="M193" s="3" t="str">
        <f>HYPERLINK("https://ceds.ed.gov/cedselementdetails.aspx?termid=6427")</f>
        <v>https://ceds.ed.gov/cedselementdetails.aspx?termid=6427</v>
      </c>
      <c r="N193" s="3" t="str">
        <f>HYPERLINK("https://ceds.ed.gov/elementComment.aspx?elementName=Professional Development Session Start Time &amp;elementID=6427", "Click here to submit comment")</f>
        <v>Click here to submit comment</v>
      </c>
    </row>
    <row r="194" spans="1:14" ht="90">
      <c r="A194" s="3" t="s">
        <v>4755</v>
      </c>
      <c r="B194" s="3" t="s">
        <v>4756</v>
      </c>
      <c r="C194" s="3" t="s">
        <v>6292</v>
      </c>
      <c r="D194" s="3" t="s">
        <v>6290</v>
      </c>
      <c r="E194" s="3"/>
      <c r="F194" s="3" t="s">
        <v>54</v>
      </c>
      <c r="G194" s="3"/>
      <c r="H194" s="3"/>
      <c r="I194" s="3"/>
      <c r="J194" s="3" t="s">
        <v>4757</v>
      </c>
      <c r="K194" s="3"/>
      <c r="L194" s="3" t="s">
        <v>4758</v>
      </c>
      <c r="M194" s="3" t="str">
        <f>HYPERLINK("https://ceds.ed.gov/cedselementdetails.aspx?termid=6428")</f>
        <v>https://ceds.ed.gov/cedselementdetails.aspx?termid=6428</v>
      </c>
      <c r="N194" s="3" t="str">
        <f>HYPERLINK("https://ceds.ed.gov/elementComment.aspx?elementName=Professional Development Session Status &amp;elementID=6428", "Click here to submit comment")</f>
        <v>Click here to submit comment</v>
      </c>
    </row>
    <row r="195" spans="1:14" ht="90">
      <c r="A195" s="3" t="s">
        <v>4899</v>
      </c>
      <c r="B195" s="3" t="s">
        <v>4900</v>
      </c>
      <c r="C195" s="4" t="s">
        <v>6632</v>
      </c>
      <c r="D195" s="3" t="s">
        <v>4166</v>
      </c>
      <c r="E195" s="3"/>
      <c r="F195" s="3" t="s">
        <v>54</v>
      </c>
      <c r="G195" s="3"/>
      <c r="H195" s="3"/>
      <c r="I195" s="3"/>
      <c r="J195" s="3" t="s">
        <v>4901</v>
      </c>
      <c r="K195" s="3"/>
      <c r="L195" s="3" t="s">
        <v>4902</v>
      </c>
      <c r="M195" s="3" t="str">
        <f>HYPERLINK("https://ceds.ed.gov/cedselementdetails.aspx?termid=6299")</f>
        <v>https://ceds.ed.gov/cedselementdetails.aspx?termid=6299</v>
      </c>
      <c r="N195" s="3" t="str">
        <f>HYPERLINK("https://ceds.ed.gov/elementComment.aspx?elementName=Purpose of Monitoring Visit &amp;elementID=6299", "Click here to submit comment")</f>
        <v>Click here to submit comment</v>
      </c>
    </row>
    <row r="196" spans="1:14" ht="30">
      <c r="A196" s="3" t="s">
        <v>4915</v>
      </c>
      <c r="B196" s="3" t="s">
        <v>4916</v>
      </c>
      <c r="C196" s="3" t="s">
        <v>13</v>
      </c>
      <c r="D196" s="3" t="s">
        <v>4917</v>
      </c>
      <c r="E196" s="3"/>
      <c r="F196" s="3" t="s">
        <v>54</v>
      </c>
      <c r="G196" s="3" t="s">
        <v>100</v>
      </c>
      <c r="H196" s="3"/>
      <c r="I196" s="3"/>
      <c r="J196" s="3" t="s">
        <v>4918</v>
      </c>
      <c r="K196" s="3"/>
      <c r="L196" s="3" t="s">
        <v>4919</v>
      </c>
      <c r="M196" s="3" t="str">
        <f>HYPERLINK("https://ceds.ed.gov/cedselementdetails.aspx?termid=6432")</f>
        <v>https://ceds.ed.gov/cedselementdetails.aspx?termid=6432</v>
      </c>
      <c r="N196" s="3" t="str">
        <f>HYPERLINK("https://ceds.ed.gov/elementComment.aspx?elementName=Quality Initiative Maximum Score &amp;elementID=6432", "Click here to submit comment")</f>
        <v>Click here to submit comment</v>
      </c>
    </row>
    <row r="197" spans="1:14" ht="30">
      <c r="A197" s="3" t="s">
        <v>4920</v>
      </c>
      <c r="B197" s="3" t="s">
        <v>4921</v>
      </c>
      <c r="C197" s="3" t="s">
        <v>13</v>
      </c>
      <c r="D197" s="3" t="s">
        <v>4917</v>
      </c>
      <c r="E197" s="3"/>
      <c r="F197" s="3" t="s">
        <v>54</v>
      </c>
      <c r="G197" s="3" t="s">
        <v>100</v>
      </c>
      <c r="H197" s="3"/>
      <c r="I197" s="3"/>
      <c r="J197" s="3" t="s">
        <v>4922</v>
      </c>
      <c r="K197" s="3"/>
      <c r="L197" s="3" t="s">
        <v>4923</v>
      </c>
      <c r="M197" s="3" t="str">
        <f>HYPERLINK("https://ceds.ed.gov/cedselementdetails.aspx?termid=6433")</f>
        <v>https://ceds.ed.gov/cedselementdetails.aspx?termid=6433</v>
      </c>
      <c r="N197" s="3" t="str">
        <f>HYPERLINK("https://ceds.ed.gov/elementComment.aspx?elementName=Quality Initiative Minimum Score &amp;elementID=6433", "Click here to submit comment")</f>
        <v>Click here to submit comment</v>
      </c>
    </row>
    <row r="198" spans="1:14" ht="30">
      <c r="A198" s="3" t="s">
        <v>4924</v>
      </c>
      <c r="B198" s="3" t="s">
        <v>4925</v>
      </c>
      <c r="C198" s="3" t="s">
        <v>13</v>
      </c>
      <c r="D198" s="3" t="s">
        <v>4917</v>
      </c>
      <c r="E198" s="3"/>
      <c r="F198" s="3" t="s">
        <v>54</v>
      </c>
      <c r="G198" s="3" t="s">
        <v>73</v>
      </c>
      <c r="H198" s="3"/>
      <c r="I198" s="3"/>
      <c r="J198" s="3" t="s">
        <v>4926</v>
      </c>
      <c r="K198" s="3"/>
      <c r="L198" s="3" t="s">
        <v>4927</v>
      </c>
      <c r="M198" s="3" t="str">
        <f>HYPERLINK("https://ceds.ed.gov/cedselementdetails.aspx?termid=6436")</f>
        <v>https://ceds.ed.gov/cedselementdetails.aspx?termid=6436</v>
      </c>
      <c r="N198" s="3" t="str">
        <f>HYPERLINK("https://ceds.ed.gov/elementComment.aspx?elementName=Quality Initiative Participation End Date &amp;elementID=6436", "Click here to submit comment")</f>
        <v>Click here to submit comment</v>
      </c>
    </row>
    <row r="199" spans="1:14" ht="45">
      <c r="A199" s="3" t="s">
        <v>4928</v>
      </c>
      <c r="B199" s="3" t="s">
        <v>4929</v>
      </c>
      <c r="C199" s="3" t="s">
        <v>5963</v>
      </c>
      <c r="D199" s="3" t="s">
        <v>4917</v>
      </c>
      <c r="E199" s="3"/>
      <c r="F199" s="3" t="s">
        <v>54</v>
      </c>
      <c r="G199" s="3"/>
      <c r="H199" s="3"/>
      <c r="I199" s="3"/>
      <c r="J199" s="3" t="s">
        <v>4930</v>
      </c>
      <c r="K199" s="3"/>
      <c r="L199" s="3" t="s">
        <v>4931</v>
      </c>
      <c r="M199" s="3" t="str">
        <f>HYPERLINK("https://ceds.ed.gov/cedselementdetails.aspx?termid=6435")</f>
        <v>https://ceds.ed.gov/cedselementdetails.aspx?termid=6435</v>
      </c>
      <c r="N199" s="3" t="str">
        <f>HYPERLINK("https://ceds.ed.gov/elementComment.aspx?elementName=Quality Initiative Participation Indicator &amp;elementID=6435", "Click here to submit comment")</f>
        <v>Click here to submit comment</v>
      </c>
    </row>
    <row r="200" spans="1:14" ht="30">
      <c r="A200" s="3" t="s">
        <v>4932</v>
      </c>
      <c r="B200" s="3" t="s">
        <v>4933</v>
      </c>
      <c r="C200" s="3" t="s">
        <v>13</v>
      </c>
      <c r="D200" s="3" t="s">
        <v>4917</v>
      </c>
      <c r="E200" s="3"/>
      <c r="F200" s="3" t="s">
        <v>54</v>
      </c>
      <c r="G200" s="3" t="s">
        <v>73</v>
      </c>
      <c r="H200" s="3"/>
      <c r="I200" s="3"/>
      <c r="J200" s="3" t="s">
        <v>4934</v>
      </c>
      <c r="K200" s="3"/>
      <c r="L200" s="3" t="s">
        <v>4935</v>
      </c>
      <c r="M200" s="3" t="str">
        <f>HYPERLINK("https://ceds.ed.gov/cedselementdetails.aspx?termid=6437")</f>
        <v>https://ceds.ed.gov/cedselementdetails.aspx?termid=6437</v>
      </c>
      <c r="N200" s="3" t="str">
        <f>HYPERLINK("https://ceds.ed.gov/elementComment.aspx?elementName=Quality Initiative Participation Start Date &amp;elementID=6437", "Click here to submit comment")</f>
        <v>Click here to submit comment</v>
      </c>
    </row>
    <row r="201" spans="1:14" ht="60">
      <c r="A201" s="3" t="s">
        <v>4936</v>
      </c>
      <c r="B201" s="3" t="s">
        <v>4937</v>
      </c>
      <c r="C201" s="3" t="s">
        <v>13</v>
      </c>
      <c r="D201" s="3" t="s">
        <v>4917</v>
      </c>
      <c r="E201" s="3"/>
      <c r="F201" s="3" t="s">
        <v>54</v>
      </c>
      <c r="G201" s="3" t="s">
        <v>100</v>
      </c>
      <c r="H201" s="3"/>
      <c r="I201" s="3"/>
      <c r="J201" s="3" t="s">
        <v>4938</v>
      </c>
      <c r="K201" s="3"/>
      <c r="L201" s="3" t="s">
        <v>4939</v>
      </c>
      <c r="M201" s="3" t="str">
        <f>HYPERLINK("https://ceds.ed.gov/cedselementdetails.aspx?termid=6434")</f>
        <v>https://ceds.ed.gov/cedselementdetails.aspx?termid=6434</v>
      </c>
      <c r="N201" s="3" t="str">
        <f>HYPERLINK("https://ceds.ed.gov/elementComment.aspx?elementName=Quality Initiative Score Level &amp;elementID=6434", "Click here to submit comment")</f>
        <v>Click here to submit comment</v>
      </c>
    </row>
    <row r="202" spans="1:14" ht="30">
      <c r="A202" s="3" t="s">
        <v>4967</v>
      </c>
      <c r="B202" s="3" t="s">
        <v>4968</v>
      </c>
      <c r="C202" s="3" t="s">
        <v>13</v>
      </c>
      <c r="D202" s="3" t="s">
        <v>3037</v>
      </c>
      <c r="E202" s="3"/>
      <c r="F202" s="3" t="s">
        <v>54</v>
      </c>
      <c r="G202" s="3" t="s">
        <v>319</v>
      </c>
      <c r="H202" s="3"/>
      <c r="I202" s="3"/>
      <c r="J202" s="3" t="s">
        <v>4969</v>
      </c>
      <c r="K202" s="3"/>
      <c r="L202" s="3" t="s">
        <v>4970</v>
      </c>
      <c r="M202" s="3" t="str">
        <f>HYPERLINK("https://ceds.ed.gov/cedselementdetails.aspx?termid=6460")</f>
        <v>https://ceds.ed.gov/cedselementdetails.aspx?termid=6460</v>
      </c>
      <c r="N202" s="3" t="str">
        <f>HYPERLINK("https://ceds.ed.gov/elementComment.aspx?elementName=Reason for Declined Services &amp;elementID=6460", "Click here to submit comment")</f>
        <v>Click here to submit comment</v>
      </c>
    </row>
    <row r="203" spans="1:14" ht="90">
      <c r="A203" s="3" t="s">
        <v>4971</v>
      </c>
      <c r="B203" s="3" t="s">
        <v>4972</v>
      </c>
      <c r="C203" s="4" t="s">
        <v>6635</v>
      </c>
      <c r="D203" s="3" t="s">
        <v>3037</v>
      </c>
      <c r="E203" s="3"/>
      <c r="F203" s="3" t="s">
        <v>54</v>
      </c>
      <c r="G203" s="3"/>
      <c r="H203" s="3"/>
      <c r="I203" s="3"/>
      <c r="J203" s="3" t="s">
        <v>4973</v>
      </c>
      <c r="K203" s="3"/>
      <c r="L203" s="3" t="s">
        <v>4974</v>
      </c>
      <c r="M203" s="3" t="str">
        <f>HYPERLINK("https://ceds.ed.gov/cedselementdetails.aspx?termid=6494")</f>
        <v>https://ceds.ed.gov/cedselementdetails.aspx?termid=6494</v>
      </c>
      <c r="N203" s="3" t="str">
        <f>HYPERLINK("https://ceds.ed.gov/elementComment.aspx?elementName=Reason for Delay of Transition Conference &amp;elementID=6494", "Click here to submit comment")</f>
        <v>Click here to submit comment</v>
      </c>
    </row>
    <row r="204" spans="1:14">
      <c r="A204" s="3" t="s">
        <v>4992</v>
      </c>
      <c r="B204" s="3" t="s">
        <v>4993</v>
      </c>
      <c r="C204" s="3" t="s">
        <v>13</v>
      </c>
      <c r="D204" s="3" t="s">
        <v>4994</v>
      </c>
      <c r="E204" s="3"/>
      <c r="F204" s="3" t="s">
        <v>54</v>
      </c>
      <c r="G204" s="3" t="s">
        <v>73</v>
      </c>
      <c r="H204" s="3"/>
      <c r="I204" s="3"/>
      <c r="J204" s="3" t="s">
        <v>4995</v>
      </c>
      <c r="K204" s="3"/>
      <c r="L204" s="3" t="s">
        <v>4996</v>
      </c>
      <c r="M204" s="3" t="str">
        <f>HYPERLINK("https://ceds.ed.gov/cedselementdetails.aspx?termid=6453")</f>
        <v>https://ceds.ed.gov/cedselementdetails.aspx?termid=6453</v>
      </c>
      <c r="N204" s="3" t="str">
        <f>HYPERLINK("https://ceds.ed.gov/elementComment.aspx?elementName=Referral Date &amp;elementID=6453", "Click here to submit comment")</f>
        <v>Click here to submit comment</v>
      </c>
    </row>
    <row r="205" spans="1:14" ht="135">
      <c r="A205" s="3" t="s">
        <v>4997</v>
      </c>
      <c r="B205" s="3" t="s">
        <v>4998</v>
      </c>
      <c r="C205" s="4" t="s">
        <v>6640</v>
      </c>
      <c r="D205" s="3" t="s">
        <v>4994</v>
      </c>
      <c r="E205" s="3"/>
      <c r="F205" s="3" t="s">
        <v>54</v>
      </c>
      <c r="G205" s="3"/>
      <c r="H205" s="3"/>
      <c r="I205" s="3"/>
      <c r="J205" s="3" t="s">
        <v>4999</v>
      </c>
      <c r="K205" s="3"/>
      <c r="L205" s="3" t="s">
        <v>5000</v>
      </c>
      <c r="M205" s="3" t="str">
        <f>HYPERLINK("https://ceds.ed.gov/cedselementdetails.aspx?termid=6454")</f>
        <v>https://ceds.ed.gov/cedselementdetails.aspx?termid=6454</v>
      </c>
      <c r="N205" s="3" t="str">
        <f>HYPERLINK("https://ceds.ed.gov/elementComment.aspx?elementName=Referral Outcome &amp;elementID=6454", "Click here to submit comment")</f>
        <v>Click here to submit comment</v>
      </c>
    </row>
    <row r="206" spans="1:14">
      <c r="A206" s="3" t="s">
        <v>5005</v>
      </c>
      <c r="B206" s="3" t="s">
        <v>5006</v>
      </c>
      <c r="C206" s="3" t="s">
        <v>13</v>
      </c>
      <c r="D206" s="3" t="s">
        <v>4994</v>
      </c>
      <c r="E206" s="3"/>
      <c r="F206" s="3" t="s">
        <v>54</v>
      </c>
      <c r="G206" s="3" t="s">
        <v>319</v>
      </c>
      <c r="H206" s="3"/>
      <c r="I206" s="3"/>
      <c r="J206" s="3" t="s">
        <v>5007</v>
      </c>
      <c r="K206" s="3"/>
      <c r="L206" s="3" t="s">
        <v>5008</v>
      </c>
      <c r="M206" s="3" t="str">
        <f>HYPERLINK("https://ceds.ed.gov/cedselementdetails.aspx?termid=6455")</f>
        <v>https://ceds.ed.gov/cedselementdetails.aspx?termid=6455</v>
      </c>
      <c r="N206" s="3" t="str">
        <f>HYPERLINK("https://ceds.ed.gov/elementComment.aspx?elementName=Referral Reason &amp;elementID=6455", "Click here to submit comment")</f>
        <v>Click here to submit comment</v>
      </c>
    </row>
    <row r="207" spans="1:14" ht="30">
      <c r="A207" s="3" t="s">
        <v>5009</v>
      </c>
      <c r="B207" s="3" t="s">
        <v>5010</v>
      </c>
      <c r="C207" s="3" t="s">
        <v>13</v>
      </c>
      <c r="D207" s="3" t="s">
        <v>4994</v>
      </c>
      <c r="E207" s="3"/>
      <c r="F207" s="3" t="s">
        <v>54</v>
      </c>
      <c r="G207" s="3" t="s">
        <v>106</v>
      </c>
      <c r="H207" s="3"/>
      <c r="I207" s="3"/>
      <c r="J207" s="3" t="s">
        <v>5011</v>
      </c>
      <c r="K207" s="3"/>
      <c r="L207" s="3" t="s">
        <v>5012</v>
      </c>
      <c r="M207" s="3" t="str">
        <f>HYPERLINK("https://ceds.ed.gov/cedselementdetails.aspx?termid=6456")</f>
        <v>https://ceds.ed.gov/cedselementdetails.aspx?termid=6456</v>
      </c>
      <c r="N207" s="3" t="str">
        <f>HYPERLINK("https://ceds.ed.gov/elementComment.aspx?elementName=Referral Source &amp;elementID=6456", "Click here to submit comment")</f>
        <v>Click here to submit comment</v>
      </c>
    </row>
    <row r="208" spans="1:14">
      <c r="A208" s="3" t="s">
        <v>5013</v>
      </c>
      <c r="B208" s="3" t="s">
        <v>5014</v>
      </c>
      <c r="C208" s="3" t="s">
        <v>13</v>
      </c>
      <c r="D208" s="3" t="s">
        <v>4994</v>
      </c>
      <c r="E208" s="3"/>
      <c r="F208" s="3" t="s">
        <v>54</v>
      </c>
      <c r="G208" s="3" t="s">
        <v>106</v>
      </c>
      <c r="H208" s="3"/>
      <c r="I208" s="3"/>
      <c r="J208" s="3" t="s">
        <v>5015</v>
      </c>
      <c r="K208" s="3"/>
      <c r="L208" s="3" t="s">
        <v>5016</v>
      </c>
      <c r="M208" s="3" t="str">
        <f>HYPERLINK("https://ceds.ed.gov/cedselementdetails.aspx?termid=6457")</f>
        <v>https://ceds.ed.gov/cedselementdetails.aspx?termid=6457</v>
      </c>
      <c r="N208" s="3" t="str">
        <f>HYPERLINK("https://ceds.ed.gov/elementComment.aspx?elementName=Referral Type &amp;elementID=6457", "Click here to submit comment")</f>
        <v>Click here to submit comment</v>
      </c>
    </row>
    <row r="209" spans="1:14" ht="30">
      <c r="A209" s="3" t="s">
        <v>5017</v>
      </c>
      <c r="B209" s="3" t="s">
        <v>5018</v>
      </c>
      <c r="C209" s="3" t="s">
        <v>13</v>
      </c>
      <c r="D209" s="3" t="s">
        <v>4994</v>
      </c>
      <c r="E209" s="3"/>
      <c r="F209" s="3" t="s">
        <v>54</v>
      </c>
      <c r="G209" s="3" t="s">
        <v>106</v>
      </c>
      <c r="H209" s="3"/>
      <c r="I209" s="3"/>
      <c r="J209" s="3" t="s">
        <v>5019</v>
      </c>
      <c r="K209" s="3"/>
      <c r="L209" s="3" t="s">
        <v>5020</v>
      </c>
      <c r="M209" s="3" t="str">
        <f>HYPERLINK("https://ceds.ed.gov/cedselementdetails.aspx?termid=6458")</f>
        <v>https://ceds.ed.gov/cedselementdetails.aspx?termid=6458</v>
      </c>
      <c r="N209" s="3" t="str">
        <f>HYPERLINK("https://ceds.ed.gov/elementComment.aspx?elementName=Referred To &amp;elementID=6458", "Click here to submit comment")</f>
        <v>Click here to submit comment</v>
      </c>
    </row>
    <row r="210" spans="1:14" ht="75">
      <c r="A210" s="3" t="s">
        <v>5053</v>
      </c>
      <c r="B210" s="3" t="s">
        <v>5054</v>
      </c>
      <c r="C210" s="3" t="s">
        <v>13</v>
      </c>
      <c r="D210" s="3" t="s">
        <v>5055</v>
      </c>
      <c r="E210" s="3"/>
      <c r="F210" s="3" t="s">
        <v>54</v>
      </c>
      <c r="G210" s="3" t="s">
        <v>100</v>
      </c>
      <c r="H210" s="3"/>
      <c r="I210" s="3" t="s">
        <v>5056</v>
      </c>
      <c r="J210" s="3" t="s">
        <v>5057</v>
      </c>
      <c r="K210" s="3"/>
      <c r="L210" s="3" t="s">
        <v>5058</v>
      </c>
      <c r="M210" s="3" t="str">
        <f>HYPERLINK("https://ceds.ed.gov/cedselementdetails.aspx?termid=6438")</f>
        <v>https://ceds.ed.gov/cedselementdetails.aspx?termid=6438</v>
      </c>
      <c r="N210" s="3" t="str">
        <f>HYPERLINK("https://ceds.ed.gov/elementComment.aspx?elementName=Responsible Organization Identifier &amp;elementID=6438", "Click here to submit comment")</f>
        <v>Click here to submit comment</v>
      </c>
    </row>
    <row r="211" spans="1:14" ht="120">
      <c r="A211" s="3" t="s">
        <v>5063</v>
      </c>
      <c r="B211" s="3" t="s">
        <v>5050</v>
      </c>
      <c r="C211" s="4" t="s">
        <v>6641</v>
      </c>
      <c r="D211" s="3" t="s">
        <v>5055</v>
      </c>
      <c r="E211" s="3"/>
      <c r="F211" s="3" t="s">
        <v>54</v>
      </c>
      <c r="G211" s="3"/>
      <c r="H211" s="3"/>
      <c r="I211" s="3" t="s">
        <v>5056</v>
      </c>
      <c r="J211" s="3" t="s">
        <v>5064</v>
      </c>
      <c r="K211" s="3"/>
      <c r="L211" s="3" t="s">
        <v>5065</v>
      </c>
      <c r="M211" s="3" t="str">
        <f>HYPERLINK("https://ceds.ed.gov/cedselementdetails.aspx?termid=6439")</f>
        <v>https://ceds.ed.gov/cedselementdetails.aspx?termid=6439</v>
      </c>
      <c r="N211" s="3" t="str">
        <f>HYPERLINK("https://ceds.ed.gov/elementComment.aspx?elementName=Responsible Organization Type &amp;elementID=6439", "Click here to submit comment")</f>
        <v>Click here to submit comment</v>
      </c>
    </row>
    <row r="212" spans="1:14" ht="90">
      <c r="A212" s="3" t="s">
        <v>5082</v>
      </c>
      <c r="B212" s="3" t="s">
        <v>5083</v>
      </c>
      <c r="C212" s="3" t="s">
        <v>13</v>
      </c>
      <c r="D212" s="3" t="s">
        <v>6306</v>
      </c>
      <c r="E212" s="3"/>
      <c r="F212" s="3" t="s">
        <v>54</v>
      </c>
      <c r="G212" s="3" t="s">
        <v>100</v>
      </c>
      <c r="H212" s="3"/>
      <c r="I212" s="3"/>
      <c r="J212" s="3" t="s">
        <v>5084</v>
      </c>
      <c r="K212" s="3"/>
      <c r="L212" s="3" t="s">
        <v>5085</v>
      </c>
      <c r="M212" s="3" t="str">
        <f>HYPERLINK("https://ceds.ed.gov/cedselementdetails.aspx?termid=6441")</f>
        <v>https://ceds.ed.gov/cedselementdetails.aspx?termid=6441</v>
      </c>
      <c r="N212" s="3" t="str">
        <f>HYPERLINK("https://ceds.ed.gov/elementComment.aspx?elementName=Rubric Criterion Category &amp;elementID=6441", "Click here to submit comment")</f>
        <v>Click here to submit comment</v>
      </c>
    </row>
    <row r="213" spans="1:14" ht="90">
      <c r="A213" s="3" t="s">
        <v>5086</v>
      </c>
      <c r="B213" s="3" t="s">
        <v>5087</v>
      </c>
      <c r="C213" s="3" t="s">
        <v>13</v>
      </c>
      <c r="D213" s="3" t="s">
        <v>6306</v>
      </c>
      <c r="E213" s="3"/>
      <c r="F213" s="3" t="s">
        <v>54</v>
      </c>
      <c r="G213" s="3" t="s">
        <v>319</v>
      </c>
      <c r="H213" s="3"/>
      <c r="I213" s="3"/>
      <c r="J213" s="3" t="s">
        <v>5088</v>
      </c>
      <c r="K213" s="3"/>
      <c r="L213" s="3" t="s">
        <v>5089</v>
      </c>
      <c r="M213" s="3" t="str">
        <f>HYPERLINK("https://ceds.ed.gov/cedselementdetails.aspx?termid=6442")</f>
        <v>https://ceds.ed.gov/cedselementdetails.aspx?termid=6442</v>
      </c>
      <c r="N213" s="3" t="str">
        <f>HYPERLINK("https://ceds.ed.gov/elementComment.aspx?elementName=Rubric Criterion Description &amp;elementID=6442", "Click here to submit comment")</f>
        <v>Click here to submit comment</v>
      </c>
    </row>
    <row r="214" spans="1:14" ht="90">
      <c r="A214" s="3" t="s">
        <v>5090</v>
      </c>
      <c r="B214" s="3" t="s">
        <v>5091</v>
      </c>
      <c r="C214" s="3" t="s">
        <v>13</v>
      </c>
      <c r="D214" s="3" t="s">
        <v>6306</v>
      </c>
      <c r="E214" s="3"/>
      <c r="F214" s="3" t="s">
        <v>54</v>
      </c>
      <c r="G214" s="3" t="s">
        <v>319</v>
      </c>
      <c r="H214" s="3"/>
      <c r="I214" s="3"/>
      <c r="J214" s="3" t="s">
        <v>5092</v>
      </c>
      <c r="K214" s="3"/>
      <c r="L214" s="3" t="s">
        <v>5093</v>
      </c>
      <c r="M214" s="3" t="str">
        <f>HYPERLINK("https://ceds.ed.gov/cedselementdetails.aspx?termid=6443")</f>
        <v>https://ceds.ed.gov/cedselementdetails.aspx?termid=6443</v>
      </c>
      <c r="N214" s="3" t="str">
        <f>HYPERLINK("https://ceds.ed.gov/elementComment.aspx?elementName=Rubric Criterion Level Description &amp;elementID=6443", "Click here to submit comment")</f>
        <v>Click here to submit comment</v>
      </c>
    </row>
    <row r="215" spans="1:14" ht="90">
      <c r="A215" s="3" t="s">
        <v>5094</v>
      </c>
      <c r="B215" s="3" t="s">
        <v>5095</v>
      </c>
      <c r="C215" s="3" t="s">
        <v>13</v>
      </c>
      <c r="D215" s="3" t="s">
        <v>6306</v>
      </c>
      <c r="E215" s="3"/>
      <c r="F215" s="3" t="s">
        <v>54</v>
      </c>
      <c r="G215" s="3" t="s">
        <v>319</v>
      </c>
      <c r="H215" s="3"/>
      <c r="I215" s="3"/>
      <c r="J215" s="3" t="s">
        <v>5096</v>
      </c>
      <c r="K215" s="3"/>
      <c r="L215" s="3" t="s">
        <v>5097</v>
      </c>
      <c r="M215" s="3" t="str">
        <f>HYPERLINK("https://ceds.ed.gov/cedselementdetails.aspx?termid=6444")</f>
        <v>https://ceds.ed.gov/cedselementdetails.aspx?termid=6444</v>
      </c>
      <c r="N215" s="3" t="str">
        <f>HYPERLINK("https://ceds.ed.gov/elementComment.aspx?elementName=Rubric Criterion Level Feedback &amp;elementID=6444", "Click here to submit comment")</f>
        <v>Click here to submit comment</v>
      </c>
    </row>
    <row r="216" spans="1:14" ht="90">
      <c r="A216" s="3" t="s">
        <v>5098</v>
      </c>
      <c r="B216" s="3" t="s">
        <v>5099</v>
      </c>
      <c r="C216" s="3" t="s">
        <v>13</v>
      </c>
      <c r="D216" s="3" t="s">
        <v>6306</v>
      </c>
      <c r="E216" s="3"/>
      <c r="F216" s="3" t="s">
        <v>54</v>
      </c>
      <c r="G216" s="3" t="s">
        <v>545</v>
      </c>
      <c r="H216" s="3"/>
      <c r="I216" s="3"/>
      <c r="J216" s="3" t="s">
        <v>5100</v>
      </c>
      <c r="K216" s="3"/>
      <c r="L216" s="3" t="s">
        <v>5101</v>
      </c>
      <c r="M216" s="3" t="str">
        <f>HYPERLINK("https://ceds.ed.gov/cedselementdetails.aspx?termid=6445")</f>
        <v>https://ceds.ed.gov/cedselementdetails.aspx?termid=6445</v>
      </c>
      <c r="N216" s="3" t="str">
        <f>HYPERLINK("https://ceds.ed.gov/elementComment.aspx?elementName=Rubric Criterion Level Position &amp;elementID=6445", "Click here to submit comment")</f>
        <v>Click here to submit comment</v>
      </c>
    </row>
    <row r="217" spans="1:14" ht="90">
      <c r="A217" s="3" t="s">
        <v>5102</v>
      </c>
      <c r="B217" s="3" t="s">
        <v>5103</v>
      </c>
      <c r="C217" s="3" t="s">
        <v>13</v>
      </c>
      <c r="D217" s="3" t="s">
        <v>6306</v>
      </c>
      <c r="E217" s="3"/>
      <c r="F217" s="3" t="s">
        <v>54</v>
      </c>
      <c r="G217" s="3" t="s">
        <v>106</v>
      </c>
      <c r="H217" s="3"/>
      <c r="I217" s="3"/>
      <c r="J217" s="3" t="s">
        <v>5104</v>
      </c>
      <c r="K217" s="3"/>
      <c r="L217" s="3" t="s">
        <v>5105</v>
      </c>
      <c r="M217" s="3" t="str">
        <f>HYPERLINK("https://ceds.ed.gov/cedselementdetails.aspx?termid=6446")</f>
        <v>https://ceds.ed.gov/cedselementdetails.aspx?termid=6446</v>
      </c>
      <c r="N217" s="3" t="str">
        <f>HYPERLINK("https://ceds.ed.gov/elementComment.aspx?elementName=Rubric Criterion Level Quality Label &amp;elementID=6446", "Click here to submit comment")</f>
        <v>Click here to submit comment</v>
      </c>
    </row>
    <row r="218" spans="1:14" ht="90">
      <c r="A218" s="3" t="s">
        <v>5106</v>
      </c>
      <c r="B218" s="3" t="s">
        <v>5107</v>
      </c>
      <c r="C218" s="3" t="s">
        <v>13</v>
      </c>
      <c r="D218" s="3" t="s">
        <v>6306</v>
      </c>
      <c r="E218" s="3"/>
      <c r="F218" s="3" t="s">
        <v>54</v>
      </c>
      <c r="G218" s="3" t="s">
        <v>545</v>
      </c>
      <c r="H218" s="3"/>
      <c r="I218" s="3"/>
      <c r="J218" s="3" t="s">
        <v>5108</v>
      </c>
      <c r="K218" s="3"/>
      <c r="L218" s="3" t="s">
        <v>5109</v>
      </c>
      <c r="M218" s="3" t="str">
        <f>HYPERLINK("https://ceds.ed.gov/cedselementdetails.aspx?termid=6447")</f>
        <v>https://ceds.ed.gov/cedselementdetails.aspx?termid=6447</v>
      </c>
      <c r="N218" s="3" t="str">
        <f>HYPERLINK("https://ceds.ed.gov/elementComment.aspx?elementName=Rubric Criterion Level Score &amp;elementID=6447", "Click here to submit comment")</f>
        <v>Click here to submit comment</v>
      </c>
    </row>
    <row r="219" spans="1:14" ht="90">
      <c r="A219" s="3" t="s">
        <v>5110</v>
      </c>
      <c r="B219" s="3" t="s">
        <v>5111</v>
      </c>
      <c r="C219" s="3" t="s">
        <v>13</v>
      </c>
      <c r="D219" s="3" t="s">
        <v>6306</v>
      </c>
      <c r="E219" s="3"/>
      <c r="F219" s="3" t="s">
        <v>54</v>
      </c>
      <c r="G219" s="3" t="s">
        <v>545</v>
      </c>
      <c r="H219" s="3"/>
      <c r="I219" s="3"/>
      <c r="J219" s="3" t="s">
        <v>5112</v>
      </c>
      <c r="K219" s="3"/>
      <c r="L219" s="3" t="s">
        <v>5113</v>
      </c>
      <c r="M219" s="3" t="str">
        <f>HYPERLINK("https://ceds.ed.gov/cedselementdetails.aspx?termid=6448")</f>
        <v>https://ceds.ed.gov/cedselementdetails.aspx?termid=6448</v>
      </c>
      <c r="N219" s="3" t="str">
        <f>HYPERLINK("https://ceds.ed.gov/elementComment.aspx?elementName=Rubric Criterion Position &amp;elementID=6448", "Click here to submit comment")</f>
        <v>Click here to submit comment</v>
      </c>
    </row>
    <row r="220" spans="1:14" ht="90">
      <c r="A220" s="3" t="s">
        <v>5114</v>
      </c>
      <c r="B220" s="3" t="s">
        <v>5115</v>
      </c>
      <c r="C220" s="3" t="s">
        <v>13</v>
      </c>
      <c r="D220" s="3" t="s">
        <v>6306</v>
      </c>
      <c r="E220" s="3"/>
      <c r="F220" s="3" t="s">
        <v>54</v>
      </c>
      <c r="G220" s="3" t="s">
        <v>106</v>
      </c>
      <c r="H220" s="3"/>
      <c r="I220" s="3"/>
      <c r="J220" s="3" t="s">
        <v>5116</v>
      </c>
      <c r="K220" s="3"/>
      <c r="L220" s="3" t="s">
        <v>5117</v>
      </c>
      <c r="M220" s="3" t="str">
        <f>HYPERLINK("https://ceds.ed.gov/cedselementdetails.aspx?termid=6449")</f>
        <v>https://ceds.ed.gov/cedselementdetails.aspx?termid=6449</v>
      </c>
      <c r="N220" s="3" t="str">
        <f>HYPERLINK("https://ceds.ed.gov/elementComment.aspx?elementName=Rubric Criterion Title &amp;elementID=6449", "Click here to submit comment")</f>
        <v>Click here to submit comment</v>
      </c>
    </row>
    <row r="221" spans="1:14" ht="90">
      <c r="A221" s="3" t="s">
        <v>5118</v>
      </c>
      <c r="B221" s="3" t="s">
        <v>5119</v>
      </c>
      <c r="C221" s="3" t="s">
        <v>13</v>
      </c>
      <c r="D221" s="3" t="s">
        <v>6306</v>
      </c>
      <c r="E221" s="3"/>
      <c r="F221" s="3" t="s">
        <v>54</v>
      </c>
      <c r="G221" s="3" t="s">
        <v>545</v>
      </c>
      <c r="H221" s="3"/>
      <c r="I221" s="3"/>
      <c r="J221" s="3" t="s">
        <v>5120</v>
      </c>
      <c r="K221" s="3"/>
      <c r="L221" s="3" t="s">
        <v>5121</v>
      </c>
      <c r="M221" s="3" t="str">
        <f>HYPERLINK("https://ceds.ed.gov/cedselementdetails.aspx?termid=6450")</f>
        <v>https://ceds.ed.gov/cedselementdetails.aspx?termid=6450</v>
      </c>
      <c r="N221" s="3" t="str">
        <f>HYPERLINK("https://ceds.ed.gov/elementComment.aspx?elementName=Rubric Criterion Weight &amp;elementID=6450", "Click here to submit comment")</f>
        <v>Click here to submit comment</v>
      </c>
    </row>
    <row r="222" spans="1:14" ht="90">
      <c r="A222" s="3" t="s">
        <v>5122</v>
      </c>
      <c r="B222" s="3" t="s">
        <v>5123</v>
      </c>
      <c r="C222" s="3" t="s">
        <v>13</v>
      </c>
      <c r="D222" s="3" t="s">
        <v>6306</v>
      </c>
      <c r="E222" s="3"/>
      <c r="F222" s="3" t="s">
        <v>54</v>
      </c>
      <c r="G222" s="3" t="s">
        <v>319</v>
      </c>
      <c r="H222" s="3"/>
      <c r="I222" s="3"/>
      <c r="J222" s="3" t="s">
        <v>5124</v>
      </c>
      <c r="K222" s="3"/>
      <c r="L222" s="3" t="s">
        <v>5125</v>
      </c>
      <c r="M222" s="3" t="str">
        <f>HYPERLINK("https://ceds.ed.gov/cedselementdetails.aspx?termid=6451")</f>
        <v>https://ceds.ed.gov/cedselementdetails.aspx?termid=6451</v>
      </c>
      <c r="N222" s="3" t="str">
        <f>HYPERLINK("https://ceds.ed.gov/elementComment.aspx?elementName=Rubric Description &amp;elementID=6451", "Click here to submit comment")</f>
        <v>Click here to submit comment</v>
      </c>
    </row>
    <row r="223" spans="1:14" ht="120">
      <c r="A223" s="3" t="s">
        <v>5186</v>
      </c>
      <c r="B223" s="3" t="s">
        <v>5187</v>
      </c>
      <c r="C223" s="5" t="s">
        <v>5188</v>
      </c>
      <c r="D223" s="3" t="s">
        <v>6105</v>
      </c>
      <c r="E223" s="3"/>
      <c r="F223" s="3" t="s">
        <v>54</v>
      </c>
      <c r="G223" s="3" t="s">
        <v>5189</v>
      </c>
      <c r="H223" s="3"/>
      <c r="I223" s="3" t="s">
        <v>5190</v>
      </c>
      <c r="J223" s="3" t="s">
        <v>5191</v>
      </c>
      <c r="K223" s="3" t="s">
        <v>5192</v>
      </c>
      <c r="L223" s="3" t="s">
        <v>5193</v>
      </c>
      <c r="M223" s="3" t="str">
        <f>HYPERLINK("https://ceds.ed.gov/cedselementdetails.aspx?termid=6490")</f>
        <v>https://ceds.ed.gov/cedselementdetails.aspx?termid=6490</v>
      </c>
      <c r="N223" s="3" t="str">
        <f>HYPERLINK("https://ceds.ed.gov/elementComment.aspx?elementName=School Codes for the Exchange of Data Course Code &amp;elementID=6490", "Click here to submit comment")</f>
        <v>Click here to submit comment</v>
      </c>
    </row>
    <row r="224" spans="1:14" ht="105">
      <c r="A224" s="3" t="s">
        <v>5194</v>
      </c>
      <c r="B224" s="3" t="s">
        <v>5195</v>
      </c>
      <c r="C224" s="4" t="s">
        <v>6643</v>
      </c>
      <c r="D224" s="3" t="s">
        <v>6105</v>
      </c>
      <c r="E224" s="3"/>
      <c r="F224" s="3" t="s">
        <v>54</v>
      </c>
      <c r="G224" s="3" t="s">
        <v>5196</v>
      </c>
      <c r="H224" s="3"/>
      <c r="I224" s="3"/>
      <c r="J224" s="3" t="s">
        <v>5197</v>
      </c>
      <c r="K224" s="3" t="s">
        <v>5198</v>
      </c>
      <c r="L224" s="3" t="s">
        <v>5199</v>
      </c>
      <c r="M224" s="3" t="str">
        <f>HYPERLINK("https://ceds.ed.gov/cedselementdetails.aspx?termid=6488")</f>
        <v>https://ceds.ed.gov/cedselementdetails.aspx?termid=6488</v>
      </c>
      <c r="N224" s="3" t="str">
        <f>HYPERLINK("https://ceds.ed.gov/elementComment.aspx?elementName=School Codes for the Exchange of Data Course Level &amp;elementID=6488", "Click here to submit comment")</f>
        <v>Click here to submit comment</v>
      </c>
    </row>
    <row r="225" spans="1:14" ht="409.5">
      <c r="A225" s="3" t="s">
        <v>5200</v>
      </c>
      <c r="B225" s="3" t="s">
        <v>5201</v>
      </c>
      <c r="C225" s="4" t="s">
        <v>6644</v>
      </c>
      <c r="D225" s="3" t="s">
        <v>6105</v>
      </c>
      <c r="E225" s="3"/>
      <c r="F225" s="3" t="s">
        <v>54</v>
      </c>
      <c r="G225" s="3" t="s">
        <v>5202</v>
      </c>
      <c r="H225" s="3"/>
      <c r="I225" s="3" t="s">
        <v>5203</v>
      </c>
      <c r="J225" s="3" t="s">
        <v>5204</v>
      </c>
      <c r="K225" s="3" t="s">
        <v>5205</v>
      </c>
      <c r="L225" s="3" t="s">
        <v>5206</v>
      </c>
      <c r="M225" s="3" t="str">
        <f>HYPERLINK("https://ceds.ed.gov/cedselementdetails.aspx?termid=6491")</f>
        <v>https://ceds.ed.gov/cedselementdetails.aspx?termid=6491</v>
      </c>
      <c r="N225" s="3" t="str">
        <f>HYPERLINK("https://ceds.ed.gov/elementComment.aspx?elementName=School Codes for the Exchange of Data Course Subject Area &amp;elementID=6491", "Click here to submit comment")</f>
        <v>Click here to submit comment</v>
      </c>
    </row>
    <row r="226" spans="1:14" ht="105">
      <c r="A226" s="3" t="s">
        <v>5207</v>
      </c>
      <c r="B226" s="3" t="s">
        <v>5208</v>
      </c>
      <c r="C226" s="3" t="s">
        <v>13</v>
      </c>
      <c r="D226" s="3" t="s">
        <v>3394</v>
      </c>
      <c r="E226" s="3"/>
      <c r="F226" s="3" t="s">
        <v>54</v>
      </c>
      <c r="G226" s="3" t="s">
        <v>5209</v>
      </c>
      <c r="H226" s="3"/>
      <c r="I226" s="3" t="s">
        <v>5210</v>
      </c>
      <c r="J226" s="3" t="s">
        <v>5211</v>
      </c>
      <c r="K226" s="3" t="s">
        <v>5212</v>
      </c>
      <c r="L226" s="3" t="s">
        <v>5213</v>
      </c>
      <c r="M226" s="3" t="str">
        <f>HYPERLINK("https://ceds.ed.gov/cedselementdetails.aspx?termid=6452")</f>
        <v>https://ceds.ed.gov/cedselementdetails.aspx?termid=6452</v>
      </c>
      <c r="N226" s="3" t="str">
        <f>HYPERLINK("https://ceds.ed.gov/elementComment.aspx?elementName=School Codes for the Exchange of Data Grade Span &amp;elementID=6452", "Click here to submit comment")</f>
        <v>Click here to submit comment</v>
      </c>
    </row>
    <row r="227" spans="1:14" ht="165">
      <c r="A227" s="3" t="s">
        <v>5361</v>
      </c>
      <c r="B227" s="3" t="s">
        <v>5362</v>
      </c>
      <c r="C227" s="3" t="s">
        <v>13</v>
      </c>
      <c r="D227" s="3" t="s">
        <v>6256</v>
      </c>
      <c r="E227" s="3"/>
      <c r="F227" s="3" t="s">
        <v>54</v>
      </c>
      <c r="G227" s="3" t="s">
        <v>100</v>
      </c>
      <c r="H227" s="3"/>
      <c r="I227" s="3" t="s">
        <v>5363</v>
      </c>
      <c r="J227" s="3" t="s">
        <v>5364</v>
      </c>
      <c r="K227" s="3"/>
      <c r="L227" s="3" t="s">
        <v>5365</v>
      </c>
      <c r="M227" s="3" t="str">
        <f>HYPERLINK("https://ceds.ed.gov/cedselementdetails.aspx?termid=6459")</f>
        <v>https://ceds.ed.gov/cedselementdetails.aspx?termid=6459</v>
      </c>
      <c r="N227" s="3" t="str">
        <f>HYPERLINK("https://ceds.ed.gov/elementComment.aspx?elementName=Short Name of Institution &amp;elementID=6459", "Click here to submit comment")</f>
        <v>Click here to submit comment</v>
      </c>
    </row>
    <row r="228" spans="1:14" ht="90">
      <c r="A228" s="3" t="s">
        <v>5443</v>
      </c>
      <c r="B228" s="3" t="s">
        <v>5444</v>
      </c>
      <c r="C228" s="3" t="s">
        <v>13</v>
      </c>
      <c r="D228" s="3" t="s">
        <v>6290</v>
      </c>
      <c r="E228" s="3"/>
      <c r="F228" s="3" t="s">
        <v>54</v>
      </c>
      <c r="G228" s="3" t="s">
        <v>106</v>
      </c>
      <c r="H228" s="3"/>
      <c r="I228" s="3"/>
      <c r="J228" s="3" t="s">
        <v>5445</v>
      </c>
      <c r="K228" s="3"/>
      <c r="L228" s="3" t="s">
        <v>5446</v>
      </c>
      <c r="M228" s="3" t="str">
        <f>HYPERLINK("https://ceds.ed.gov/cedselementdetails.aspx?termid=6461")</f>
        <v>https://ceds.ed.gov/cedselementdetails.aspx?termid=6461</v>
      </c>
      <c r="N228" s="3" t="str">
        <f>HYPERLINK("https://ceds.ed.gov/elementComment.aspx?elementName=Sponsoring Agency Name &amp;elementID=6461", "Click here to submit comment")</f>
        <v>Click here to submit comment</v>
      </c>
    </row>
    <row r="229" spans="1:14" ht="45">
      <c r="A229" s="3" t="s">
        <v>5537</v>
      </c>
      <c r="B229" s="3" t="s">
        <v>5538</v>
      </c>
      <c r="C229" s="3" t="s">
        <v>6325</v>
      </c>
      <c r="D229" s="3" t="s">
        <v>5539</v>
      </c>
      <c r="E229" s="3"/>
      <c r="F229" s="3" t="s">
        <v>54</v>
      </c>
      <c r="G229" s="3"/>
      <c r="H229" s="3"/>
      <c r="I229" s="3"/>
      <c r="J229" s="3" t="s">
        <v>5540</v>
      </c>
      <c r="K229" s="3"/>
      <c r="L229" s="3" t="s">
        <v>5541</v>
      </c>
      <c r="M229" s="3" t="str">
        <f>HYPERLINK("https://ceds.ed.gov/cedselementdetails.aspx?termid=6463")</f>
        <v>https://ceds.ed.gov/cedselementdetails.aspx?termid=6463</v>
      </c>
      <c r="N229" s="3" t="str">
        <f>HYPERLINK("https://ceds.ed.gov/elementComment.aspx?elementName=State Agency Identification System &amp;elementID=6463", "Click here to submit comment")</f>
        <v>Click here to submit comment</v>
      </c>
    </row>
    <row r="230" spans="1:14" ht="30">
      <c r="A230" s="3" t="s">
        <v>5542</v>
      </c>
      <c r="B230" s="3" t="s">
        <v>5543</v>
      </c>
      <c r="C230" s="3" t="s">
        <v>13</v>
      </c>
      <c r="D230" s="3" t="s">
        <v>5539</v>
      </c>
      <c r="E230" s="3"/>
      <c r="F230" s="3" t="s">
        <v>54</v>
      </c>
      <c r="G230" s="3" t="s">
        <v>100</v>
      </c>
      <c r="H230" s="3"/>
      <c r="I230" s="3"/>
      <c r="J230" s="3" t="s">
        <v>5544</v>
      </c>
      <c r="K230" s="3"/>
      <c r="L230" s="3" t="s">
        <v>5545</v>
      </c>
      <c r="M230" s="3" t="str">
        <f>HYPERLINK("https://ceds.ed.gov/cedselementdetails.aspx?termid=6462")</f>
        <v>https://ceds.ed.gov/cedselementdetails.aspx?termid=6462</v>
      </c>
      <c r="N230" s="3" t="str">
        <f>HYPERLINK("https://ceds.ed.gov/elementComment.aspx?elementName=State Agency Identifier &amp;elementID=6462", "Click here to submit comment")</f>
        <v>Click here to submit comment</v>
      </c>
    </row>
    <row r="231" spans="1:14" ht="135">
      <c r="A231" s="3" t="s">
        <v>5707</v>
      </c>
      <c r="B231" s="3" t="s">
        <v>5708</v>
      </c>
      <c r="C231" s="3" t="s">
        <v>5963</v>
      </c>
      <c r="D231" s="3" t="s">
        <v>6335</v>
      </c>
      <c r="E231" s="3"/>
      <c r="F231" s="3" t="s">
        <v>54</v>
      </c>
      <c r="G231" s="3"/>
      <c r="H231" s="3"/>
      <c r="I231" s="3"/>
      <c r="J231" s="3" t="s">
        <v>5709</v>
      </c>
      <c r="K231" s="3"/>
      <c r="L231" s="3" t="s">
        <v>5710</v>
      </c>
      <c r="M231" s="3" t="str">
        <f>HYPERLINK("https://ceds.ed.gov/cedselementdetails.aspx?termid=6465")</f>
        <v>https://ceds.ed.gov/cedselementdetails.aspx?termid=6465</v>
      </c>
      <c r="N231" s="3" t="str">
        <f>HYPERLINK("https://ceds.ed.gov/elementComment.aspx?elementName=Technical Assistance Approved Indicator &amp;elementID=6465", "Click here to submit comment")</f>
        <v>Click here to submit comment</v>
      </c>
    </row>
    <row r="232" spans="1:14" ht="135">
      <c r="A232" s="3" t="s">
        <v>5711</v>
      </c>
      <c r="B232" s="3" t="s">
        <v>5712</v>
      </c>
      <c r="C232" s="4" t="s">
        <v>6616</v>
      </c>
      <c r="D232" s="3" t="s">
        <v>6335</v>
      </c>
      <c r="E232" s="3"/>
      <c r="F232" s="3" t="s">
        <v>54</v>
      </c>
      <c r="G232" s="3"/>
      <c r="H232" s="3"/>
      <c r="I232" s="3"/>
      <c r="J232" s="3" t="s">
        <v>5713</v>
      </c>
      <c r="K232" s="3"/>
      <c r="L232" s="3" t="s">
        <v>5714</v>
      </c>
      <c r="M232" s="3" t="str">
        <f>HYPERLINK("https://ceds.ed.gov/cedselementdetails.aspx?termid=6466")</f>
        <v>https://ceds.ed.gov/cedselementdetails.aspx?termid=6466</v>
      </c>
      <c r="N232" s="3" t="str">
        <f>HYPERLINK("https://ceds.ed.gov/elementComment.aspx?elementName=Technical Assistance Delivery Type &amp;elementID=6466", "Click here to submit comment")</f>
        <v>Click here to submit comment</v>
      </c>
    </row>
    <row r="233" spans="1:14" ht="375">
      <c r="A233" s="3" t="s">
        <v>5715</v>
      </c>
      <c r="B233" s="3" t="s">
        <v>5716</v>
      </c>
      <c r="C233" s="4" t="s">
        <v>6673</v>
      </c>
      <c r="D233" s="3" t="s">
        <v>6335</v>
      </c>
      <c r="E233" s="3"/>
      <c r="F233" s="3" t="s">
        <v>54</v>
      </c>
      <c r="G233" s="3"/>
      <c r="H233" s="3"/>
      <c r="I233" s="3"/>
      <c r="J233" s="3" t="s">
        <v>5717</v>
      </c>
      <c r="K233" s="3"/>
      <c r="L233" s="3" t="s">
        <v>5718</v>
      </c>
      <c r="M233" s="3" t="str">
        <f>HYPERLINK("https://ceds.ed.gov/cedselementdetails.aspx?termid=6467")</f>
        <v>https://ceds.ed.gov/cedselementdetails.aspx?termid=6467</v>
      </c>
      <c r="N233" s="3" t="str">
        <f>HYPERLINK("https://ceds.ed.gov/elementComment.aspx?elementName=Technical Assistance Type &amp;elementID=6467", "Click here to submit comment")</f>
        <v>Click here to submit comment</v>
      </c>
    </row>
    <row r="234" spans="1:14" ht="30">
      <c r="A234" s="3" t="s">
        <v>5744</v>
      </c>
      <c r="B234" s="3" t="s">
        <v>5745</v>
      </c>
      <c r="C234" s="3" t="s">
        <v>13</v>
      </c>
      <c r="D234" s="3" t="s">
        <v>2267</v>
      </c>
      <c r="E234" s="3"/>
      <c r="F234" s="3" t="s">
        <v>54</v>
      </c>
      <c r="G234" s="3" t="s">
        <v>319</v>
      </c>
      <c r="H234" s="3"/>
      <c r="I234" s="3"/>
      <c r="J234" s="3" t="s">
        <v>5746</v>
      </c>
      <c r="K234" s="3"/>
      <c r="L234" s="3" t="s">
        <v>5747</v>
      </c>
      <c r="M234" s="3" t="str">
        <f>HYPERLINK("https://ceds.ed.gov/cedselementdetails.aspx?termid=6468")</f>
        <v>https://ceds.ed.gov/cedselementdetails.aspx?termid=6468</v>
      </c>
      <c r="N234" s="3" t="str">
        <f>HYPERLINK("https://ceds.ed.gov/elementComment.aspx?elementName=Thesis or Dissertation Title &amp;elementID=6468", "Click here to submit comment")</f>
        <v>Click here to submit comment</v>
      </c>
    </row>
    <row r="235" spans="1:14" ht="30">
      <c r="A235" s="3" t="s">
        <v>5859</v>
      </c>
      <c r="B235" s="3" t="s">
        <v>5860</v>
      </c>
      <c r="C235" s="3" t="s">
        <v>13</v>
      </c>
      <c r="D235" s="3" t="s">
        <v>3012</v>
      </c>
      <c r="E235" s="3"/>
      <c r="F235" s="3" t="s">
        <v>54</v>
      </c>
      <c r="G235" s="3" t="s">
        <v>319</v>
      </c>
      <c r="H235" s="3"/>
      <c r="I235" s="3"/>
      <c r="J235" s="3" t="s">
        <v>5861</v>
      </c>
      <c r="K235" s="3"/>
      <c r="L235" s="3" t="s">
        <v>5862</v>
      </c>
      <c r="M235" s="3" t="str">
        <f>HYPERLINK("https://ceds.ed.gov/cedselementdetails.aspx?termid=6469")</f>
        <v>https://ceds.ed.gov/cedselementdetails.aspx?termid=6469</v>
      </c>
      <c r="N235" s="3" t="str">
        <f>HYPERLINK("https://ceds.ed.gov/elementComment.aspx?elementName=Union Membership Name &amp;elementID=6469", "Click here to submit comment")</f>
        <v>Click here to submit comment</v>
      </c>
    </row>
    <row r="236" spans="1:14" ht="30">
      <c r="A236" s="3" t="s">
        <v>5912</v>
      </c>
      <c r="B236" s="3" t="s">
        <v>5913</v>
      </c>
      <c r="C236" s="3" t="s">
        <v>13</v>
      </c>
      <c r="D236" s="3" t="s">
        <v>3012</v>
      </c>
      <c r="E236" s="3"/>
      <c r="F236" s="3" t="s">
        <v>54</v>
      </c>
      <c r="G236" s="3" t="s">
        <v>575</v>
      </c>
      <c r="H236" s="3"/>
      <c r="I236" s="3"/>
      <c r="J236" s="3" t="s">
        <v>5914</v>
      </c>
      <c r="K236" s="3"/>
      <c r="L236" s="3" t="s">
        <v>5915</v>
      </c>
      <c r="M236" s="3" t="str">
        <f>HYPERLINK("https://ceds.ed.gov/cedselementdetails.aspx?termid=6470")</f>
        <v>https://ceds.ed.gov/cedselementdetails.aspx?termid=6470</v>
      </c>
      <c r="N236" s="3" t="str">
        <f>HYPERLINK("https://ceds.ed.gov/elementComment.aspx?elementName=Weeks Employed Per Year &amp;elementID=6470", "Click here to submit comment")</f>
        <v>Click here to submit comment</v>
      </c>
    </row>
    <row r="237" spans="1:14" ht="240">
      <c r="A237" s="3" t="s">
        <v>5928</v>
      </c>
      <c r="B237" s="3" t="s">
        <v>5929</v>
      </c>
      <c r="C237" s="4" t="s">
        <v>6695</v>
      </c>
      <c r="D237" s="3" t="s">
        <v>6344</v>
      </c>
      <c r="E237" s="3"/>
      <c r="F237" s="3" t="s">
        <v>54</v>
      </c>
      <c r="G237" s="3"/>
      <c r="H237" s="3"/>
      <c r="I237" s="3"/>
      <c r="J237" s="3" t="s">
        <v>5930</v>
      </c>
      <c r="K237" s="3"/>
      <c r="L237" s="3" t="s">
        <v>5931</v>
      </c>
      <c r="M237" s="3" t="str">
        <f>HYPERLINK("https://ceds.ed.gov/cedselementdetails.aspx?termid=6471")</f>
        <v>https://ceds.ed.gov/cedselementdetails.aspx?termid=6471</v>
      </c>
      <c r="N237" s="3" t="str">
        <f>HYPERLINK("https://ceds.ed.gov/elementComment.aspx?elementName=Work-based Learning Opportunity Type &amp;elementID=6471", "Click here to submit comment")</f>
        <v>Click here to submit comment</v>
      </c>
    </row>
  </sheetData>
  <autoFilter ref="A1:N237"/>
  <hyperlinks>
    <hyperlink ref="C31" r:id="rId1" display="http://nces.ed.gov/ipeds/cipcode/browse.aspx?y=55"/>
    <hyperlink ref="C113" r:id="rId2" display="languageCodes.aspx"/>
    <hyperlink ref="C223" r:id="rId3" display="ScedCourseCodes.aspx"/>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86"/>
  <sheetViews>
    <sheetView workbookViewId="0">
      <pane ySplit="1" topLeftCell="A2" activePane="bottomLeft" state="frozen"/>
      <selection pane="bottomLeft" activeCell="A2" sqref="A2"/>
    </sheetView>
  </sheetViews>
  <sheetFormatPr defaultRowHeight="15"/>
  <cols>
    <col min="1" max="5" width="36.5703125" style="9" bestFit="1" customWidth="1"/>
    <col min="6" max="6" width="11.140625" style="9" bestFit="1" customWidth="1"/>
    <col min="7" max="9" width="36.5703125" style="9" bestFit="1" customWidth="1"/>
    <col min="10" max="10" width="9" style="9" bestFit="1" customWidth="1"/>
    <col min="11" max="12" width="36.5703125" style="9" bestFit="1" customWidth="1"/>
    <col min="13" max="13" width="57" style="9" customWidth="1"/>
    <col min="14" max="14" width="31.85546875" style="9" customWidth="1"/>
    <col min="15" max="16384" width="9.140625" style="9"/>
  </cols>
  <sheetData>
    <row r="1" spans="1:14" s="8" customFormat="1" ht="30">
      <c r="A1" s="1" t="s">
        <v>6697</v>
      </c>
      <c r="B1" s="1" t="s">
        <v>6698</v>
      </c>
      <c r="C1" s="1" t="s">
        <v>6699</v>
      </c>
      <c r="D1" s="1" t="s">
        <v>6700</v>
      </c>
      <c r="E1" s="1" t="s">
        <v>6710</v>
      </c>
      <c r="F1" s="1" t="s">
        <v>6701</v>
      </c>
      <c r="G1" s="1" t="s">
        <v>6702</v>
      </c>
      <c r="H1" s="1" t="s">
        <v>6703</v>
      </c>
      <c r="I1" s="1" t="s">
        <v>6704</v>
      </c>
      <c r="J1" s="2" t="s">
        <v>6705</v>
      </c>
      <c r="K1" s="1" t="s">
        <v>6706</v>
      </c>
      <c r="L1" s="1" t="s">
        <v>6707</v>
      </c>
      <c r="M1" s="1" t="s">
        <v>6708</v>
      </c>
      <c r="N1" s="1" t="s">
        <v>6709</v>
      </c>
    </row>
    <row r="2" spans="1:14" ht="210">
      <c r="A2" s="3" t="s">
        <v>62</v>
      </c>
      <c r="B2" s="3" t="s">
        <v>63</v>
      </c>
      <c r="C2" s="4" t="s">
        <v>6351</v>
      </c>
      <c r="D2" s="3" t="s">
        <v>64</v>
      </c>
      <c r="E2" s="3" t="s">
        <v>65</v>
      </c>
      <c r="F2" s="3" t="s">
        <v>66</v>
      </c>
      <c r="G2" s="3"/>
      <c r="H2" s="3" t="s">
        <v>67</v>
      </c>
      <c r="I2" s="3" t="s">
        <v>68</v>
      </c>
      <c r="J2" s="3" t="s">
        <v>69</v>
      </c>
      <c r="K2" s="3"/>
      <c r="L2" s="3" t="s">
        <v>70</v>
      </c>
      <c r="M2" s="3" t="str">
        <f>HYPERLINK("https://ceds.ed.gov/cedselementdetails.aspx?termid=5983")</f>
        <v>https://ceds.ed.gov/cedselementdetails.aspx?termid=5983</v>
      </c>
      <c r="N2" s="3" t="str">
        <f>HYPERLINK("https://ceds.ed.gov/elementComment.aspx?elementName=Accreditation Agency &amp;elementID=5983", "Click here to submit comment")</f>
        <v>Click here to submit comment</v>
      </c>
    </row>
    <row r="3" spans="1:14" ht="75">
      <c r="A3" s="3" t="s">
        <v>91</v>
      </c>
      <c r="B3" s="3" t="s">
        <v>92</v>
      </c>
      <c r="C3" s="3" t="s">
        <v>13</v>
      </c>
      <c r="D3" s="3" t="s">
        <v>5969</v>
      </c>
      <c r="E3" s="3"/>
      <c r="F3" s="3" t="s">
        <v>66</v>
      </c>
      <c r="G3" s="3" t="s">
        <v>93</v>
      </c>
      <c r="H3" s="3" t="s">
        <v>94</v>
      </c>
      <c r="I3" s="3" t="s">
        <v>95</v>
      </c>
      <c r="J3" s="3" t="s">
        <v>96</v>
      </c>
      <c r="K3" s="3"/>
      <c r="L3" s="3" t="s">
        <v>97</v>
      </c>
      <c r="M3" s="3" t="str">
        <f>HYPERLINK("https://ceds.ed.gov/cedselementdetails.aspx?termid=5900")</f>
        <v>https://ceds.ed.gov/cedselementdetails.aspx?termid=5900</v>
      </c>
      <c r="N3" s="3" t="str">
        <f>HYPERLINK("https://ceds.ed.gov/elementComment.aspx?elementName=Achievement Award Issuer Origin URL &amp;elementID=5900", "Click here to submit comment")</f>
        <v>Click here to submit comment</v>
      </c>
    </row>
    <row r="4" spans="1:14" ht="255">
      <c r="A4" s="3" t="s">
        <v>165</v>
      </c>
      <c r="B4" s="3" t="s">
        <v>166</v>
      </c>
      <c r="C4" s="4" t="s">
        <v>6352</v>
      </c>
      <c r="D4" s="3" t="s">
        <v>5971</v>
      </c>
      <c r="E4" s="3"/>
      <c r="F4" s="3" t="s">
        <v>66</v>
      </c>
      <c r="G4" s="3"/>
      <c r="H4" s="3" t="s">
        <v>167</v>
      </c>
      <c r="I4" s="3"/>
      <c r="J4" s="3" t="s">
        <v>168</v>
      </c>
      <c r="K4" s="3"/>
      <c r="L4" s="3" t="s">
        <v>169</v>
      </c>
      <c r="M4" s="3" t="str">
        <f>HYPERLINK("https://ceds.ed.gov/cedselementdetails.aspx?termid=5589")</f>
        <v>https://ceds.ed.gov/cedselementdetails.aspx?termid=5589</v>
      </c>
      <c r="N4" s="3" t="str">
        <f>HYPERLINK("https://ceds.ed.gov/elementComment.aspx?elementName=Additional Credit Type &amp;elementID=5589", "Click here to submit comment")</f>
        <v>Click here to submit comment</v>
      </c>
    </row>
    <row r="5" spans="1:14" ht="345">
      <c r="A5" s="3" t="s">
        <v>191</v>
      </c>
      <c r="B5" s="3" t="s">
        <v>192</v>
      </c>
      <c r="C5" s="4" t="s">
        <v>6353</v>
      </c>
      <c r="D5" s="3" t="s">
        <v>5975</v>
      </c>
      <c r="E5" s="3" t="s">
        <v>5976</v>
      </c>
      <c r="F5" s="3" t="s">
        <v>66</v>
      </c>
      <c r="G5" s="3" t="s">
        <v>100</v>
      </c>
      <c r="H5" s="3" t="s">
        <v>193</v>
      </c>
      <c r="I5" s="3"/>
      <c r="J5" s="3" t="s">
        <v>194</v>
      </c>
      <c r="K5" s="3"/>
      <c r="L5" s="3" t="s">
        <v>195</v>
      </c>
      <c r="M5" s="3" t="str">
        <f>HYPERLINK("https://ceds.ed.gov/cedselementdetails.aspx?termid=5358")</f>
        <v>https://ceds.ed.gov/cedselementdetails.aspx?termid=5358</v>
      </c>
      <c r="N5" s="3" t="str">
        <f>HYPERLINK("https://ceds.ed.gov/elementComment.aspx?elementName=Address Type for Learner or Family &amp;elementID=5358", "Click here to submit comment")</f>
        <v>Click here to submit comment</v>
      </c>
    </row>
    <row r="6" spans="1:14" ht="120">
      <c r="A6" s="3" t="s">
        <v>227</v>
      </c>
      <c r="B6" s="3" t="s">
        <v>228</v>
      </c>
      <c r="C6" s="4" t="s">
        <v>6358</v>
      </c>
      <c r="D6" s="3" t="s">
        <v>229</v>
      </c>
      <c r="E6" s="3" t="s">
        <v>65</v>
      </c>
      <c r="F6" s="3" t="s">
        <v>66</v>
      </c>
      <c r="G6" s="3"/>
      <c r="H6" s="3" t="s">
        <v>230</v>
      </c>
      <c r="I6" s="3" t="s">
        <v>231</v>
      </c>
      <c r="J6" s="3" t="s">
        <v>232</v>
      </c>
      <c r="K6" s="3"/>
      <c r="L6" s="3" t="s">
        <v>233</v>
      </c>
      <c r="M6" s="3" t="str">
        <f>HYPERLINK("https://ceds.ed.gov/cedselementdetails.aspx?termid=5984")</f>
        <v>https://ceds.ed.gov/cedselementdetails.aspx?termid=5984</v>
      </c>
      <c r="N6" s="3" t="str">
        <f>HYPERLINK("https://ceds.ed.gov/elementComment.aspx?elementName=Administrative Policy Type &amp;elementID=5984", "Click here to submit comment")</f>
        <v>Click here to submit comment</v>
      </c>
    </row>
    <row r="7" spans="1:14" ht="75">
      <c r="A7" s="3" t="s">
        <v>246</v>
      </c>
      <c r="B7" s="3" t="s">
        <v>247</v>
      </c>
      <c r="C7" s="4" t="s">
        <v>6361</v>
      </c>
      <c r="D7" s="3" t="s">
        <v>248</v>
      </c>
      <c r="E7" s="3"/>
      <c r="F7" s="3" t="s">
        <v>66</v>
      </c>
      <c r="G7" s="3"/>
      <c r="H7" s="3" t="s">
        <v>193</v>
      </c>
      <c r="I7" s="3"/>
      <c r="J7" s="3" t="s">
        <v>249</v>
      </c>
      <c r="K7" s="3"/>
      <c r="L7" s="3" t="s">
        <v>250</v>
      </c>
      <c r="M7" s="3" t="str">
        <f>HYPERLINK("https://ceds.ed.gov/cedselementdetails.aspx?termid=5765")</f>
        <v>https://ceds.ed.gov/cedselementdetails.aspx?termid=5765</v>
      </c>
      <c r="N7" s="3" t="str">
        <f>HYPERLINK("https://ceds.ed.gov/elementComment.aspx?elementName=Adult Education Instructional Program Type &amp;elementID=5765", "Click here to submit comment")</f>
        <v>Click here to submit comment</v>
      </c>
    </row>
    <row r="8" spans="1:14" ht="195">
      <c r="A8" s="3" t="s">
        <v>259</v>
      </c>
      <c r="B8" s="3" t="s">
        <v>260</v>
      </c>
      <c r="C8" s="4" t="s">
        <v>6363</v>
      </c>
      <c r="D8" s="3" t="s">
        <v>261</v>
      </c>
      <c r="E8" s="3"/>
      <c r="F8" s="3" t="s">
        <v>66</v>
      </c>
      <c r="G8" s="3"/>
      <c r="H8" s="3" t="s">
        <v>193</v>
      </c>
      <c r="I8" s="3"/>
      <c r="J8" s="3" t="s">
        <v>262</v>
      </c>
      <c r="K8" s="3"/>
      <c r="L8" s="3" t="s">
        <v>263</v>
      </c>
      <c r="M8" s="3" t="str">
        <f>HYPERLINK("https://ceds.ed.gov/cedselementdetails.aspx?termid=5779")</f>
        <v>https://ceds.ed.gov/cedselementdetails.aspx?termid=5779</v>
      </c>
      <c r="N8" s="3" t="str">
        <f>HYPERLINK("https://ceds.ed.gov/elementComment.aspx?elementName=Adult Education Provider Type &amp;elementID=5779", "Click here to submit comment")</f>
        <v>Click here to submit comment</v>
      </c>
    </row>
    <row r="9" spans="1:14" ht="165">
      <c r="A9" s="3" t="s">
        <v>272</v>
      </c>
      <c r="B9" s="3" t="s">
        <v>273</v>
      </c>
      <c r="C9" s="4" t="s">
        <v>6365</v>
      </c>
      <c r="D9" s="3" t="s">
        <v>248</v>
      </c>
      <c r="E9" s="3"/>
      <c r="F9" s="3" t="s">
        <v>66</v>
      </c>
      <c r="G9" s="3"/>
      <c r="H9" s="3" t="s">
        <v>274</v>
      </c>
      <c r="I9" s="3" t="s">
        <v>275</v>
      </c>
      <c r="J9" s="3" t="s">
        <v>276</v>
      </c>
      <c r="K9" s="3"/>
      <c r="L9" s="3" t="s">
        <v>277</v>
      </c>
      <c r="M9" s="3" t="str">
        <f>HYPERLINK("https://ceds.ed.gov/cedselementdetails.aspx?termid=5766")</f>
        <v>https://ceds.ed.gov/cedselementdetails.aspx?termid=5766</v>
      </c>
      <c r="N9" s="3" t="str">
        <f>HYPERLINK("https://ceds.ed.gov/elementComment.aspx?elementName=Adult Education Special Program Type &amp;elementID=5766", "Click here to submit comment")</f>
        <v>Click here to submit comment</v>
      </c>
    </row>
    <row r="10" spans="1:14" ht="240">
      <c r="A10" s="3" t="s">
        <v>278</v>
      </c>
      <c r="B10" s="3" t="s">
        <v>279</v>
      </c>
      <c r="C10" s="4" t="s">
        <v>6366</v>
      </c>
      <c r="D10" s="3" t="s">
        <v>280</v>
      </c>
      <c r="E10" s="3"/>
      <c r="F10" s="3" t="s">
        <v>66</v>
      </c>
      <c r="G10" s="3"/>
      <c r="H10" s="3" t="s">
        <v>281</v>
      </c>
      <c r="I10" s="3"/>
      <c r="J10" s="3" t="s">
        <v>282</v>
      </c>
      <c r="K10" s="3"/>
      <c r="L10" s="3" t="s">
        <v>283</v>
      </c>
      <c r="M10" s="3" t="str">
        <f>HYPERLINK("https://ceds.ed.gov/cedselementdetails.aspx?termid=5770")</f>
        <v>https://ceds.ed.gov/cedselementdetails.aspx?termid=5770</v>
      </c>
      <c r="N10" s="3" t="str">
        <f>HYPERLINK("https://ceds.ed.gov/elementComment.aspx?elementName=Adult Education Staff Classification &amp;elementID=5770", "Click here to submit comment")</f>
        <v>Click here to submit comment</v>
      </c>
    </row>
    <row r="11" spans="1:14" ht="75">
      <c r="A11" s="3" t="s">
        <v>509</v>
      </c>
      <c r="B11" s="3" t="s">
        <v>510</v>
      </c>
      <c r="C11" s="3" t="s">
        <v>13</v>
      </c>
      <c r="D11" s="3" t="s">
        <v>6004</v>
      </c>
      <c r="E11" s="3"/>
      <c r="F11" s="3" t="s">
        <v>66</v>
      </c>
      <c r="G11" s="3" t="s">
        <v>73</v>
      </c>
      <c r="H11" s="3" t="s">
        <v>511</v>
      </c>
      <c r="I11" s="3"/>
      <c r="J11" s="3" t="s">
        <v>512</v>
      </c>
      <c r="K11" s="3"/>
      <c r="L11" s="3" t="s">
        <v>513</v>
      </c>
      <c r="M11" s="3" t="str">
        <f>HYPERLINK("https://ceds.ed.gov/cedselementdetails.aspx?termid=6138")</f>
        <v>https://ceds.ed.gov/cedselementdetails.aspx?termid=6138</v>
      </c>
      <c r="N11" s="3" t="str">
        <f>HYPERLINK("https://ceds.ed.gov/elementComment.aspx?elementName=Assessment Form Intended Administration End Date &amp;elementID=6138", "Click here to submit comment")</f>
        <v>Click here to submit comment</v>
      </c>
    </row>
    <row r="12" spans="1:14" ht="60">
      <c r="A12" s="3" t="s">
        <v>556</v>
      </c>
      <c r="B12" s="3" t="s">
        <v>557</v>
      </c>
      <c r="C12" s="3" t="s">
        <v>5963</v>
      </c>
      <c r="D12" s="3" t="s">
        <v>6009</v>
      </c>
      <c r="E12" s="3"/>
      <c r="F12" s="3" t="s">
        <v>66</v>
      </c>
      <c r="G12" s="3"/>
      <c r="H12" s="3" t="s">
        <v>558</v>
      </c>
      <c r="I12" s="3"/>
      <c r="J12" s="3" t="s">
        <v>559</v>
      </c>
      <c r="K12" s="3"/>
      <c r="L12" s="3" t="s">
        <v>560</v>
      </c>
      <c r="M12" s="3" t="str">
        <f>HYPERLINK("https://ceds.ed.gov/cedselementdetails.aspx?termid=6181")</f>
        <v>https://ceds.ed.gov/cedselementdetails.aspx?termid=6181</v>
      </c>
      <c r="N12" s="3" t="str">
        <f>HYPERLINK("https://ceds.ed.gov/elementComment.aspx?elementName=Assessment Form Subtest Container Only &amp;elementID=6181", "Click here to submit comment")</f>
        <v>Click here to submit comment</v>
      </c>
    </row>
    <row r="13" spans="1:14" ht="180">
      <c r="A13" s="3" t="s">
        <v>846</v>
      </c>
      <c r="B13" s="3" t="s">
        <v>847</v>
      </c>
      <c r="C13" s="4" t="s">
        <v>6385</v>
      </c>
      <c r="D13" s="3" t="s">
        <v>6026</v>
      </c>
      <c r="E13" s="3" t="s">
        <v>6018</v>
      </c>
      <c r="F13" s="3" t="s">
        <v>66</v>
      </c>
      <c r="G13" s="3"/>
      <c r="H13" s="3" t="s">
        <v>848</v>
      </c>
      <c r="I13" s="3"/>
      <c r="J13" s="3" t="s">
        <v>849</v>
      </c>
      <c r="K13" s="3"/>
      <c r="L13" s="3" t="s">
        <v>850</v>
      </c>
      <c r="M13" s="3" t="str">
        <f>HYPERLINK("https://ceds.ed.gov/cedselementdetails.aspx?termid=5396")</f>
        <v>https://ceds.ed.gov/cedselementdetails.aspx?termid=5396</v>
      </c>
      <c r="N13" s="3" t="str">
        <f>HYPERLINK("https://ceds.ed.gov/elementComment.aspx?elementName=Assessment Item Response Status &amp;elementID=5396", "Click here to submit comment")</f>
        <v>Click here to submit comment</v>
      </c>
    </row>
    <row r="14" spans="1:14" ht="409.5">
      <c r="A14" s="3" t="s">
        <v>1176</v>
      </c>
      <c r="B14" s="3" t="s">
        <v>1177</v>
      </c>
      <c r="C14" s="4" t="s">
        <v>6400</v>
      </c>
      <c r="D14" s="3" t="s">
        <v>6049</v>
      </c>
      <c r="E14" s="3"/>
      <c r="F14" s="3" t="s">
        <v>66</v>
      </c>
      <c r="G14" s="3"/>
      <c r="H14" s="3" t="s">
        <v>1178</v>
      </c>
      <c r="I14" s="3" t="s">
        <v>1179</v>
      </c>
      <c r="J14" s="3" t="s">
        <v>1180</v>
      </c>
      <c r="K14" s="3"/>
      <c r="L14" s="3" t="s">
        <v>1181</v>
      </c>
      <c r="M14" s="3" t="str">
        <f>HYPERLINK("https://ceds.ed.gov/cedselementdetails.aspx?termid=6063")</f>
        <v>https://ceds.ed.gov/cedselementdetails.aspx?termid=6063</v>
      </c>
      <c r="N14" s="3" t="str">
        <f>HYPERLINK("https://ceds.ed.gov/elementComment.aspx?elementName=Assessment Registration Grade Level To Be Assessed &amp;elementID=6063", "Click here to submit comment")</f>
        <v>Click here to submit comment</v>
      </c>
    </row>
    <row r="15" spans="1:14" ht="90">
      <c r="A15" s="3" t="s">
        <v>1209</v>
      </c>
      <c r="B15" s="3" t="s">
        <v>1210</v>
      </c>
      <c r="C15" s="3" t="s">
        <v>13</v>
      </c>
      <c r="D15" s="3" t="s">
        <v>6053</v>
      </c>
      <c r="E15" s="3" t="s">
        <v>6018</v>
      </c>
      <c r="F15" s="3" t="s">
        <v>66</v>
      </c>
      <c r="G15" s="3" t="s">
        <v>100</v>
      </c>
      <c r="H15" s="3" t="s">
        <v>1211</v>
      </c>
      <c r="I15" s="3"/>
      <c r="J15" s="3" t="s">
        <v>1212</v>
      </c>
      <c r="K15" s="3"/>
      <c r="L15" s="3" t="s">
        <v>1213</v>
      </c>
      <c r="M15" s="3" t="str">
        <f>HYPERLINK("https://ceds.ed.gov/cedselementdetails.aspx?termid=5412")</f>
        <v>https://ceds.ed.gov/cedselementdetails.aspx?termid=5412</v>
      </c>
      <c r="N15" s="3" t="str">
        <f>HYPERLINK("https://ceds.ed.gov/elementComment.aspx?elementName=Assessment Rubric Identifier &amp;elementID=5412", "Click here to submit comment")</f>
        <v>Click here to submit comment</v>
      </c>
    </row>
    <row r="16" spans="1:14" ht="90">
      <c r="A16" s="3" t="s">
        <v>1214</v>
      </c>
      <c r="B16" s="3" t="s">
        <v>1215</v>
      </c>
      <c r="C16" s="3" t="s">
        <v>13</v>
      </c>
      <c r="D16" s="3" t="s">
        <v>6053</v>
      </c>
      <c r="E16" s="3" t="s">
        <v>6018</v>
      </c>
      <c r="F16" s="3" t="s">
        <v>66</v>
      </c>
      <c r="G16" s="3" t="s">
        <v>100</v>
      </c>
      <c r="H16" s="3" t="s">
        <v>1216</v>
      </c>
      <c r="I16" s="3"/>
      <c r="J16" s="3" t="s">
        <v>1217</v>
      </c>
      <c r="K16" s="3"/>
      <c r="L16" s="3" t="s">
        <v>1218</v>
      </c>
      <c r="M16" s="3" t="str">
        <f>HYPERLINK("https://ceds.ed.gov/cedselementdetails.aspx?termid=5411")</f>
        <v>https://ceds.ed.gov/cedselementdetails.aspx?termid=5411</v>
      </c>
      <c r="N16" s="3" t="str">
        <f>HYPERLINK("https://ceds.ed.gov/elementComment.aspx?elementName=Assessment Rubric Title &amp;elementID=5411", "Click here to submit comment")</f>
        <v>Click here to submit comment</v>
      </c>
    </row>
    <row r="17" spans="1:14" ht="90">
      <c r="A17" s="3" t="s">
        <v>1219</v>
      </c>
      <c r="B17" s="3" t="s">
        <v>1220</v>
      </c>
      <c r="C17" s="3" t="s">
        <v>13</v>
      </c>
      <c r="D17" s="3" t="s">
        <v>6053</v>
      </c>
      <c r="E17" s="3" t="s">
        <v>6018</v>
      </c>
      <c r="F17" s="3" t="s">
        <v>66</v>
      </c>
      <c r="G17" s="3" t="s">
        <v>100</v>
      </c>
      <c r="H17" s="3" t="s">
        <v>1221</v>
      </c>
      <c r="I17" s="3"/>
      <c r="J17" s="3" t="s">
        <v>1222</v>
      </c>
      <c r="K17" s="3"/>
      <c r="L17" s="3" t="s">
        <v>1223</v>
      </c>
      <c r="M17" s="3" t="str">
        <f>HYPERLINK("https://ceds.ed.gov/cedselementdetails.aspx?termid=5413")</f>
        <v>https://ceds.ed.gov/cedselementdetails.aspx?termid=5413</v>
      </c>
      <c r="N17" s="3" t="str">
        <f>HYPERLINK("https://ceds.ed.gov/elementComment.aspx?elementName=Assessment Rubric URL Reference &amp;elementID=5413", "Click here to submit comment")</f>
        <v>Click here to submit comment</v>
      </c>
    </row>
    <row r="18" spans="1:14" ht="105">
      <c r="A18" s="3" t="s">
        <v>1411</v>
      </c>
      <c r="B18" s="3" t="s">
        <v>1412</v>
      </c>
      <c r="C18" s="4" t="s">
        <v>6408</v>
      </c>
      <c r="D18" s="3" t="s">
        <v>6076</v>
      </c>
      <c r="E18" s="3"/>
      <c r="F18" s="3" t="s">
        <v>66</v>
      </c>
      <c r="G18" s="3"/>
      <c r="H18" s="3" t="s">
        <v>1413</v>
      </c>
      <c r="I18" s="3"/>
      <c r="J18" s="3" t="s">
        <v>1414</v>
      </c>
      <c r="K18" s="3"/>
      <c r="L18" s="3" t="s">
        <v>1415</v>
      </c>
      <c r="M18" s="3" t="str">
        <f>HYPERLINK("https://ceds.ed.gov/cedselementdetails.aspx?termid=5076")</f>
        <v>https://ceds.ed.gov/cedselementdetails.aspx?termid=5076</v>
      </c>
      <c r="N18" s="3" t="str">
        <f>HYPERLINK("https://ceds.ed.gov/elementComment.aspx?elementName=Attendance Status &amp;elementID=5076", "Click here to submit comment")</f>
        <v>Click here to submit comment</v>
      </c>
    </row>
    <row r="19" spans="1:14" ht="60">
      <c r="A19" s="3" t="s">
        <v>1520</v>
      </c>
      <c r="B19" s="3" t="s">
        <v>1521</v>
      </c>
      <c r="C19" s="3" t="s">
        <v>13</v>
      </c>
      <c r="D19" s="3" t="s">
        <v>6082</v>
      </c>
      <c r="E19" s="3"/>
      <c r="F19" s="3" t="s">
        <v>66</v>
      </c>
      <c r="G19" s="3" t="s">
        <v>73</v>
      </c>
      <c r="H19" s="3" t="s">
        <v>1522</v>
      </c>
      <c r="I19" s="3"/>
      <c r="J19" s="3" t="s">
        <v>1523</v>
      </c>
      <c r="K19" s="3"/>
      <c r="L19" s="3" t="s">
        <v>1524</v>
      </c>
      <c r="M19" s="3" t="str">
        <f>HYPERLINK("https://ceds.ed.gov/cedselementdetails.aspx?termid=6241")</f>
        <v>https://ceds.ed.gov/cedselementdetails.aspx?termid=6241</v>
      </c>
      <c r="N19" s="3" t="str">
        <f>HYPERLINK("https://ceds.ed.gov/elementComment.aspx?elementName=Calendar Event Date &amp;elementID=6241", "Click here to submit comment")</f>
        <v>Click here to submit comment</v>
      </c>
    </row>
    <row r="20" spans="1:14" ht="409.5">
      <c r="A20" s="3" t="s">
        <v>1604</v>
      </c>
      <c r="B20" s="3" t="s">
        <v>1605</v>
      </c>
      <c r="C20" s="4" t="s">
        <v>6418</v>
      </c>
      <c r="D20" s="3" t="s">
        <v>1606</v>
      </c>
      <c r="E20" s="3" t="s">
        <v>6093</v>
      </c>
      <c r="F20" s="3" t="s">
        <v>66</v>
      </c>
      <c r="G20" s="3"/>
      <c r="H20" s="3" t="s">
        <v>1607</v>
      </c>
      <c r="I20" s="3"/>
      <c r="J20" s="3" t="s">
        <v>1608</v>
      </c>
      <c r="K20" s="3"/>
      <c r="L20" s="3" t="s">
        <v>1609</v>
      </c>
      <c r="M20" s="3" t="str">
        <f>HYPERLINK("https://ceds.ed.gov/cedselementdetails.aspx?termid=5038")</f>
        <v>https://ceds.ed.gov/cedselementdetails.aspx?termid=5038</v>
      </c>
      <c r="N20" s="3" t="str">
        <f>HYPERLINK("https://ceds.ed.gov/elementComment.aspx?elementName=Carnegie Basic Classification &amp;elementID=5038", "Click here to submit comment")</f>
        <v>Click here to submit comment</v>
      </c>
    </row>
    <row r="21" spans="1:14" ht="180">
      <c r="A21" s="3" t="s">
        <v>1817</v>
      </c>
      <c r="B21" s="3" t="s">
        <v>1818</v>
      </c>
      <c r="C21" s="3" t="s">
        <v>13</v>
      </c>
      <c r="D21" s="3" t="s">
        <v>6109</v>
      </c>
      <c r="E21" s="3"/>
      <c r="F21" s="3" t="s">
        <v>66</v>
      </c>
      <c r="G21" s="3" t="s">
        <v>1819</v>
      </c>
      <c r="H21" s="3" t="s">
        <v>1820</v>
      </c>
      <c r="I21" s="3"/>
      <c r="J21" s="3" t="s">
        <v>1821</v>
      </c>
      <c r="K21" s="3"/>
      <c r="L21" s="3" t="s">
        <v>1822</v>
      </c>
      <c r="M21" s="3" t="str">
        <f>HYPERLINK("https://ceds.ed.gov/cedselementdetails.aspx?termid=6176")</f>
        <v>https://ceds.ed.gov/cedselementdetails.aspx?termid=6176</v>
      </c>
      <c r="N21" s="3" t="str">
        <f>HYPERLINK("https://ceds.ed.gov/elementComment.aspx?elementName=County ANSI Code &amp;elementID=6176", "Click here to submit comment")</f>
        <v>Click here to submit comment</v>
      </c>
    </row>
    <row r="22" spans="1:14" ht="120">
      <c r="A22" s="3" t="s">
        <v>1845</v>
      </c>
      <c r="B22" s="3" t="s">
        <v>1846</v>
      </c>
      <c r="C22" s="3" t="s">
        <v>5963</v>
      </c>
      <c r="D22" s="3" t="s">
        <v>6110</v>
      </c>
      <c r="E22" s="3"/>
      <c r="F22" s="3" t="s">
        <v>66</v>
      </c>
      <c r="G22" s="3"/>
      <c r="H22" s="3" t="s">
        <v>1847</v>
      </c>
      <c r="I22" s="3"/>
      <c r="J22" s="3" t="s">
        <v>1848</v>
      </c>
      <c r="K22" s="3"/>
      <c r="L22" s="3" t="s">
        <v>1849</v>
      </c>
      <c r="M22" s="3" t="str">
        <f>HYPERLINK("https://ceds.ed.gov/cedselementdetails.aspx?termid=5013")</f>
        <v>https://ceds.ed.gov/cedselementdetails.aspx?termid=5013</v>
      </c>
      <c r="N22" s="3" t="str">
        <f>HYPERLINK("https://ceds.ed.gov/elementComment.aspx?elementName=Course Aligned with Standards &amp;elementID=5013", "Click here to submit comment")</f>
        <v>Click here to submit comment</v>
      </c>
    </row>
    <row r="23" spans="1:14" ht="90">
      <c r="A23" s="3" t="s">
        <v>1889</v>
      </c>
      <c r="B23" s="3" t="s">
        <v>1890</v>
      </c>
      <c r="C23" s="3" t="s">
        <v>13</v>
      </c>
      <c r="D23" s="3" t="s">
        <v>5971</v>
      </c>
      <c r="E23" s="3"/>
      <c r="F23" s="3" t="s">
        <v>66</v>
      </c>
      <c r="G23" s="3" t="s">
        <v>106</v>
      </c>
      <c r="H23" s="3" t="s">
        <v>1820</v>
      </c>
      <c r="I23" s="3"/>
      <c r="J23" s="3" t="s">
        <v>1891</v>
      </c>
      <c r="K23" s="3"/>
      <c r="L23" s="3" t="s">
        <v>1892</v>
      </c>
      <c r="M23" s="3" t="str">
        <f>HYPERLINK("https://ceds.ed.gov/cedselementdetails.aspx?termid=5508")</f>
        <v>https://ceds.ed.gov/cedselementdetails.aspx?termid=5508</v>
      </c>
      <c r="N23" s="3" t="str">
        <f>HYPERLINK("https://ceds.ed.gov/elementComment.aspx?elementName=Course Description &amp;elementID=5508", "Click here to submit comment")</f>
        <v>Click here to submit comment</v>
      </c>
    </row>
    <row r="24" spans="1:14" ht="135">
      <c r="A24" s="3" t="s">
        <v>1906</v>
      </c>
      <c r="B24" s="3" t="s">
        <v>1907</v>
      </c>
      <c r="C24" s="4" t="s">
        <v>6439</v>
      </c>
      <c r="D24" s="3" t="s">
        <v>6114</v>
      </c>
      <c r="E24" s="3" t="s">
        <v>6078</v>
      </c>
      <c r="F24" s="3" t="s">
        <v>66</v>
      </c>
      <c r="G24" s="3"/>
      <c r="H24" s="3" t="s">
        <v>1820</v>
      </c>
      <c r="I24" s="3"/>
      <c r="J24" s="3" t="s">
        <v>1908</v>
      </c>
      <c r="K24" s="3" t="s">
        <v>1909</v>
      </c>
      <c r="L24" s="3" t="s">
        <v>1910</v>
      </c>
      <c r="M24" s="3" t="str">
        <f>HYPERLINK("https://ceds.ed.gov/cedselementdetails.aspx?termid=5060")</f>
        <v>https://ceds.ed.gov/cedselementdetails.aspx?termid=5060</v>
      </c>
      <c r="N24" s="3" t="str">
        <f>HYPERLINK("https://ceds.ed.gov/elementComment.aspx?elementName=Course Grade Point Average Applicability &amp;elementID=5060", "Click here to submit comment")</f>
        <v>Click here to submit comment</v>
      </c>
    </row>
    <row r="25" spans="1:14" ht="180">
      <c r="A25" s="3" t="s">
        <v>1915</v>
      </c>
      <c r="B25" s="3" t="s">
        <v>1916</v>
      </c>
      <c r="C25" s="3" t="s">
        <v>13</v>
      </c>
      <c r="D25" s="3" t="s">
        <v>6115</v>
      </c>
      <c r="E25" s="3" t="s">
        <v>6116</v>
      </c>
      <c r="F25" s="3" t="s">
        <v>66</v>
      </c>
      <c r="G25" s="3" t="s">
        <v>1917</v>
      </c>
      <c r="H25" s="3" t="s">
        <v>1918</v>
      </c>
      <c r="I25" s="3"/>
      <c r="J25" s="3" t="s">
        <v>1919</v>
      </c>
      <c r="K25" s="3"/>
      <c r="L25" s="3" t="s">
        <v>1920</v>
      </c>
      <c r="M25" s="3" t="str">
        <f>HYPERLINK("https://ceds.ed.gov/cedselementdetails.aspx?termid=5055")</f>
        <v>https://ceds.ed.gov/cedselementdetails.aspx?termid=5055</v>
      </c>
      <c r="N25" s="3" t="str">
        <f>HYPERLINK("https://ceds.ed.gov/elementComment.aspx?elementName=Course Identifier &amp;elementID=5055", "Click here to submit comment")</f>
        <v>Click here to submit comment</v>
      </c>
    </row>
    <row r="26" spans="1:14" ht="409.5">
      <c r="A26" s="3" t="s">
        <v>1966</v>
      </c>
      <c r="B26" s="3" t="s">
        <v>1967</v>
      </c>
      <c r="C26" s="4" t="s">
        <v>6398</v>
      </c>
      <c r="D26" s="3" t="s">
        <v>6120</v>
      </c>
      <c r="E26" s="3" t="s">
        <v>6121</v>
      </c>
      <c r="F26" s="3" t="s">
        <v>66</v>
      </c>
      <c r="G26" s="3"/>
      <c r="H26" s="3" t="s">
        <v>1968</v>
      </c>
      <c r="I26" s="3"/>
      <c r="J26" s="3" t="s">
        <v>1969</v>
      </c>
      <c r="K26" s="3"/>
      <c r="L26" s="3" t="s">
        <v>1970</v>
      </c>
      <c r="M26" s="3" t="str">
        <f>HYPERLINK("https://ceds.ed.gov/cedselementdetails.aspx?termid=5027")</f>
        <v>https://ceds.ed.gov/cedselementdetails.aspx?termid=5027</v>
      </c>
      <c r="N26" s="3" t="str">
        <f>HYPERLINK("https://ceds.ed.gov/elementComment.aspx?elementName=Course Section Assessment Reporting Method &amp;elementID=5027", "Click here to submit comment")</f>
        <v>Click here to submit comment</v>
      </c>
    </row>
    <row r="27" spans="1:14" ht="120">
      <c r="A27" s="3" t="s">
        <v>1971</v>
      </c>
      <c r="B27" s="3" t="s">
        <v>1972</v>
      </c>
      <c r="C27" s="3" t="s">
        <v>13</v>
      </c>
      <c r="D27" s="3" t="s">
        <v>1973</v>
      </c>
      <c r="E27" s="3"/>
      <c r="F27" s="3" t="s">
        <v>66</v>
      </c>
      <c r="G27" s="3" t="s">
        <v>73</v>
      </c>
      <c r="H27" s="3" t="s">
        <v>1974</v>
      </c>
      <c r="I27" s="3" t="s">
        <v>1975</v>
      </c>
      <c r="J27" s="3" t="s">
        <v>1976</v>
      </c>
      <c r="K27" s="3"/>
      <c r="L27" s="3" t="s">
        <v>1977</v>
      </c>
      <c r="M27" s="3" t="str">
        <f>HYPERLINK("https://ceds.ed.gov/cedselementdetails.aspx?termid=5976")</f>
        <v>https://ceds.ed.gov/cedselementdetails.aspx?termid=5976</v>
      </c>
      <c r="N27" s="3" t="str">
        <f>HYPERLINK("https://ceds.ed.gov/elementComment.aspx?elementName=Course Section Enrollment Status End Date &amp;elementID=5976", "Click here to submit comment")</f>
        <v>Click here to submit comment</v>
      </c>
    </row>
    <row r="28" spans="1:14" ht="120">
      <c r="A28" s="3" t="s">
        <v>1983</v>
      </c>
      <c r="B28" s="3" t="s">
        <v>1984</v>
      </c>
      <c r="C28" s="3" t="s">
        <v>6122</v>
      </c>
      <c r="D28" s="3" t="s">
        <v>1973</v>
      </c>
      <c r="E28" s="3"/>
      <c r="F28" s="3" t="s">
        <v>66</v>
      </c>
      <c r="G28" s="3"/>
      <c r="H28" s="3" t="s">
        <v>1985</v>
      </c>
      <c r="I28" s="3" t="s">
        <v>1975</v>
      </c>
      <c r="J28" s="3" t="s">
        <v>1986</v>
      </c>
      <c r="K28" s="3"/>
      <c r="L28" s="3" t="s">
        <v>1987</v>
      </c>
      <c r="M28" s="3" t="str">
        <f>HYPERLINK("https://ceds.ed.gov/cedselementdetails.aspx?termid=5977")</f>
        <v>https://ceds.ed.gov/cedselementdetails.aspx?termid=5977</v>
      </c>
      <c r="N28" s="3" t="str">
        <f>HYPERLINK("https://ceds.ed.gov/elementComment.aspx?elementName=Course Section Enrollment Status Type &amp;elementID=5977", "Click here to submit comment")</f>
        <v>Click here to submit comment</v>
      </c>
    </row>
    <row r="29" spans="1:14" ht="45">
      <c r="A29" s="3" t="s">
        <v>1988</v>
      </c>
      <c r="B29" s="3" t="s">
        <v>1989</v>
      </c>
      <c r="C29" s="4" t="s">
        <v>6446</v>
      </c>
      <c r="D29" s="3" t="s">
        <v>1973</v>
      </c>
      <c r="E29" s="3" t="s">
        <v>1990</v>
      </c>
      <c r="F29" s="3" t="s">
        <v>66</v>
      </c>
      <c r="G29" s="3"/>
      <c r="H29" s="3" t="s">
        <v>1991</v>
      </c>
      <c r="I29" s="3"/>
      <c r="J29" s="3" t="s">
        <v>1992</v>
      </c>
      <c r="K29" s="3"/>
      <c r="L29" s="3" t="s">
        <v>1993</v>
      </c>
      <c r="M29" s="3" t="str">
        <f>HYPERLINK("https://ceds.ed.gov/cedselementdetails.aspx?termid=5652")</f>
        <v>https://ceds.ed.gov/cedselementdetails.aspx?termid=5652</v>
      </c>
      <c r="N29" s="3" t="str">
        <f>HYPERLINK("https://ceds.ed.gov/elementComment.aspx?elementName=Course Section Entry Type &amp;elementID=5652", "Click here to submit comment")</f>
        <v>Click here to submit comment</v>
      </c>
    </row>
    <row r="30" spans="1:14" ht="210">
      <c r="A30" s="3" t="s">
        <v>1994</v>
      </c>
      <c r="B30" s="3" t="s">
        <v>1995</v>
      </c>
      <c r="C30" s="4" t="s">
        <v>6447</v>
      </c>
      <c r="D30" s="3" t="s">
        <v>1973</v>
      </c>
      <c r="E30" s="3" t="s">
        <v>1990</v>
      </c>
      <c r="F30" s="3" t="s">
        <v>66</v>
      </c>
      <c r="G30" s="3"/>
      <c r="H30" s="3" t="s">
        <v>1996</v>
      </c>
      <c r="I30" s="3"/>
      <c r="J30" s="3" t="s">
        <v>1997</v>
      </c>
      <c r="K30" s="3"/>
      <c r="L30" s="3" t="s">
        <v>1998</v>
      </c>
      <c r="M30" s="3" t="str">
        <f>HYPERLINK("https://ceds.ed.gov/cedselementdetails.aspx?termid=5654")</f>
        <v>https://ceds.ed.gov/cedselementdetails.aspx?termid=5654</v>
      </c>
      <c r="N30" s="3" t="str">
        <f>HYPERLINK("https://ceds.ed.gov/elementComment.aspx?elementName=Course Section Exit Type &amp;elementID=5654", "Click here to submit comment")</f>
        <v>Click here to submit comment</v>
      </c>
    </row>
    <row r="31" spans="1:14" ht="45">
      <c r="A31" s="3" t="s">
        <v>1999</v>
      </c>
      <c r="B31" s="3" t="s">
        <v>2000</v>
      </c>
      <c r="C31" s="3" t="s">
        <v>13</v>
      </c>
      <c r="D31" s="3" t="s">
        <v>1973</v>
      </c>
      <c r="E31" s="3" t="s">
        <v>1990</v>
      </c>
      <c r="F31" s="3" t="s">
        <v>66</v>
      </c>
      <c r="G31" s="3" t="s">
        <v>73</v>
      </c>
      <c r="H31" s="3" t="s">
        <v>2001</v>
      </c>
      <c r="I31" s="3"/>
      <c r="J31" s="3" t="s">
        <v>2002</v>
      </c>
      <c r="K31" s="3"/>
      <c r="L31" s="3" t="s">
        <v>2003</v>
      </c>
      <c r="M31" s="3" t="str">
        <f>HYPERLINK("https://ceds.ed.gov/cedselementdetails.aspx?termid=5653")</f>
        <v>https://ceds.ed.gov/cedselementdetails.aspx?termid=5653</v>
      </c>
      <c r="N31" s="3" t="str">
        <f>HYPERLINK("https://ceds.ed.gov/elementComment.aspx?elementName=Course Section Exit Withdrawal Date &amp;elementID=5653", "Click here to submit comment")</f>
        <v>Click here to submit comment</v>
      </c>
    </row>
    <row r="32" spans="1:14" ht="75">
      <c r="A32" s="3" t="s">
        <v>2004</v>
      </c>
      <c r="B32" s="3" t="s">
        <v>2005</v>
      </c>
      <c r="C32" s="3" t="s">
        <v>13</v>
      </c>
      <c r="D32" s="3" t="s">
        <v>6098</v>
      </c>
      <c r="E32" s="3"/>
      <c r="F32" s="3" t="s">
        <v>66</v>
      </c>
      <c r="G32" s="3" t="s">
        <v>100</v>
      </c>
      <c r="H32" s="3" t="s">
        <v>2006</v>
      </c>
      <c r="I32" s="3"/>
      <c r="J32" s="3" t="s">
        <v>2007</v>
      </c>
      <c r="K32" s="3"/>
      <c r="L32" s="3" t="s">
        <v>2008</v>
      </c>
      <c r="M32" s="3" t="str">
        <f>HYPERLINK("https://ceds.ed.gov/cedselementdetails.aspx?termid=5979")</f>
        <v>https://ceds.ed.gov/cedselementdetails.aspx?termid=5979</v>
      </c>
      <c r="N32" s="3" t="str">
        <f>HYPERLINK("https://ceds.ed.gov/elementComment.aspx?elementName=Course Section Identifier &amp;elementID=5979", "Click here to submit comment")</f>
        <v>Click here to submit comment</v>
      </c>
    </row>
    <row r="33" spans="1:14" ht="150">
      <c r="A33" s="3" t="s">
        <v>2009</v>
      </c>
      <c r="B33" s="3" t="s">
        <v>2010</v>
      </c>
      <c r="C33" s="4" t="s">
        <v>6448</v>
      </c>
      <c r="D33" s="3" t="s">
        <v>6098</v>
      </c>
      <c r="E33" s="3"/>
      <c r="F33" s="3" t="s">
        <v>66</v>
      </c>
      <c r="G33" s="3"/>
      <c r="H33" s="3" t="s">
        <v>2011</v>
      </c>
      <c r="I33" s="3"/>
      <c r="J33" s="3" t="s">
        <v>2012</v>
      </c>
      <c r="K33" s="3"/>
      <c r="L33" s="3" t="s">
        <v>2013</v>
      </c>
      <c r="M33" s="3" t="str">
        <f>HYPERLINK("https://ceds.ed.gov/cedselementdetails.aspx?termid=6168")</f>
        <v>https://ceds.ed.gov/cedselementdetails.aspx?termid=6168</v>
      </c>
      <c r="N33" s="3" t="str">
        <f>HYPERLINK("https://ceds.ed.gov/elementComment.aspx?elementName=Course Section Instructional Delivery Mode &amp;elementID=6168", "Click here to submit comment")</f>
        <v>Click here to submit comment</v>
      </c>
    </row>
    <row r="34" spans="1:14" ht="60">
      <c r="A34" s="3" t="s">
        <v>2018</v>
      </c>
      <c r="B34" s="3" t="s">
        <v>2019</v>
      </c>
      <c r="C34" s="4" t="s">
        <v>6449</v>
      </c>
      <c r="D34" s="3" t="s">
        <v>6098</v>
      </c>
      <c r="E34" s="3" t="s">
        <v>6123</v>
      </c>
      <c r="F34" s="3" t="s">
        <v>66</v>
      </c>
      <c r="G34" s="3"/>
      <c r="H34" s="3" t="s">
        <v>2020</v>
      </c>
      <c r="I34" s="3"/>
      <c r="J34" s="3" t="s">
        <v>2021</v>
      </c>
      <c r="K34" s="3"/>
      <c r="L34" s="3" t="s">
        <v>2022</v>
      </c>
      <c r="M34" s="3" t="str">
        <f>HYPERLINK("https://ceds.ed.gov/cedselementdetails.aspx?termid=5258")</f>
        <v>https://ceds.ed.gov/cedselementdetails.aspx?termid=5258</v>
      </c>
      <c r="N34" s="3" t="str">
        <f>HYPERLINK("https://ceds.ed.gov/elementComment.aspx?elementName=Course Section Single Sex Class Status &amp;elementID=5258", "Click here to submit comment")</f>
        <v>Click here to submit comment</v>
      </c>
    </row>
    <row r="35" spans="1:14" ht="165">
      <c r="A35" s="3" t="s">
        <v>2023</v>
      </c>
      <c r="B35" s="3" t="s">
        <v>2024</v>
      </c>
      <c r="C35" s="3" t="s">
        <v>13</v>
      </c>
      <c r="D35" s="3" t="s">
        <v>6098</v>
      </c>
      <c r="E35" s="3" t="s">
        <v>2025</v>
      </c>
      <c r="F35" s="3" t="s">
        <v>66</v>
      </c>
      <c r="G35" s="3" t="s">
        <v>308</v>
      </c>
      <c r="H35" s="3" t="s">
        <v>2026</v>
      </c>
      <c r="I35" s="3"/>
      <c r="J35" s="3" t="s">
        <v>2027</v>
      </c>
      <c r="K35" s="3"/>
      <c r="L35" s="3" t="s">
        <v>2028</v>
      </c>
      <c r="M35" s="3" t="str">
        <f>HYPERLINK("https://ceds.ed.gov/cedselementdetails.aspx?termid=5101")</f>
        <v>https://ceds.ed.gov/cedselementdetails.aspx?termid=5101</v>
      </c>
      <c r="N35" s="3" t="str">
        <f>HYPERLINK("https://ceds.ed.gov/elementComment.aspx?elementName=Course Section Time Required For Completion &amp;elementID=5101", "Click here to submit comment")</f>
        <v>Click here to submit comment</v>
      </c>
    </row>
    <row r="36" spans="1:14" ht="210">
      <c r="A36" s="3" t="s">
        <v>2144</v>
      </c>
      <c r="B36" s="3" t="s">
        <v>2145</v>
      </c>
      <c r="C36" s="4" t="s">
        <v>6455</v>
      </c>
      <c r="D36" s="3" t="s">
        <v>2146</v>
      </c>
      <c r="E36" s="3" t="s">
        <v>2147</v>
      </c>
      <c r="F36" s="3" t="s">
        <v>66</v>
      </c>
      <c r="G36" s="3"/>
      <c r="H36" s="3" t="s">
        <v>2148</v>
      </c>
      <c r="I36" s="3"/>
      <c r="J36" s="3" t="s">
        <v>2149</v>
      </c>
      <c r="K36" s="3"/>
      <c r="L36" s="3" t="s">
        <v>2150</v>
      </c>
      <c r="M36" s="3" t="str">
        <f>HYPERLINK("https://ceds.ed.gov/cedselementdetails.aspx?termid=5335")</f>
        <v>https://ceds.ed.gov/cedselementdetails.aspx?termid=5335</v>
      </c>
      <c r="N36" s="3" t="str">
        <f>HYPERLINK("https://ceds.ed.gov/elementComment.aspx?elementName=Dental Insurance Coverage Type &amp;elementID=5335", "Click here to submit comment")</f>
        <v>Click here to submit comment</v>
      </c>
    </row>
    <row r="37" spans="1:14" ht="255">
      <c r="A37" s="3" t="s">
        <v>2174</v>
      </c>
      <c r="B37" s="3" t="s">
        <v>2175</v>
      </c>
      <c r="C37" s="4" t="s">
        <v>6457</v>
      </c>
      <c r="D37" s="3" t="s">
        <v>2176</v>
      </c>
      <c r="E37" s="3" t="s">
        <v>2158</v>
      </c>
      <c r="F37" s="3" t="s">
        <v>66</v>
      </c>
      <c r="G37" s="3"/>
      <c r="H37" s="3" t="s">
        <v>2177</v>
      </c>
      <c r="I37" s="3"/>
      <c r="J37" s="3" t="s">
        <v>2178</v>
      </c>
      <c r="K37" s="3"/>
      <c r="L37" s="3" t="s">
        <v>2179</v>
      </c>
      <c r="M37" s="3" t="str">
        <f>HYPERLINK("https://ceds.ed.gov/cedselementdetails.aspx?termid=5315")</f>
        <v>https://ceds.ed.gov/cedselementdetails.aspx?termid=5315</v>
      </c>
      <c r="N37" s="3" t="str">
        <f>HYPERLINK("https://ceds.ed.gov/elementComment.aspx?elementName=Developmental Evaluation Finding &amp;elementID=5315", "Click here to submit comment")</f>
        <v>Click here to submit comment</v>
      </c>
    </row>
    <row r="38" spans="1:14" ht="180">
      <c r="A38" s="3" t="s">
        <v>2302</v>
      </c>
      <c r="B38" s="3" t="s">
        <v>2303</v>
      </c>
      <c r="C38" s="4" t="s">
        <v>6471</v>
      </c>
      <c r="D38" s="3" t="s">
        <v>2186</v>
      </c>
      <c r="E38" s="3" t="s">
        <v>65</v>
      </c>
      <c r="F38" s="3" t="s">
        <v>66</v>
      </c>
      <c r="G38" s="3"/>
      <c r="H38" s="3" t="s">
        <v>2304</v>
      </c>
      <c r="I38" s="3"/>
      <c r="J38" s="3" t="s">
        <v>2305</v>
      </c>
      <c r="K38" s="3"/>
      <c r="L38" s="3" t="s">
        <v>2306</v>
      </c>
      <c r="M38" s="3" t="str">
        <f>HYPERLINK("https://ceds.ed.gov/cedselementdetails.aspx?termid=5829")</f>
        <v>https://ceds.ed.gov/cedselementdetails.aspx?termid=5829</v>
      </c>
      <c r="N38" s="3" t="str">
        <f>HYPERLINK("https://ceds.ed.gov/elementComment.aspx?elementName=Early Childhood Program Type &amp;elementID=5829", "Click here to submit comment")</f>
        <v>Click here to submit comment</v>
      </c>
    </row>
    <row r="39" spans="1:14" ht="165">
      <c r="A39" s="3" t="s">
        <v>2307</v>
      </c>
      <c r="B39" s="3" t="s">
        <v>2308</v>
      </c>
      <c r="C39" s="4" t="s">
        <v>6472</v>
      </c>
      <c r="D39" s="3" t="s">
        <v>6128</v>
      </c>
      <c r="E39" s="3" t="s">
        <v>6129</v>
      </c>
      <c r="F39" s="3" t="s">
        <v>66</v>
      </c>
      <c r="G39" s="3"/>
      <c r="H39" s="3" t="s">
        <v>2309</v>
      </c>
      <c r="I39" s="3"/>
      <c r="J39" s="3" t="s">
        <v>2310</v>
      </c>
      <c r="K39" s="3"/>
      <c r="L39" s="3" t="s">
        <v>2311</v>
      </c>
      <c r="M39" s="3" t="str">
        <f>HYPERLINK("https://ceds.ed.gov/cedselementdetails.aspx?termid=5355")</f>
        <v>https://ceds.ed.gov/cedselementdetails.aspx?termid=5355</v>
      </c>
      <c r="N39" s="3" t="str">
        <f>HYPERLINK("https://ceds.ed.gov/elementComment.aspx?elementName=Early Childhood Setting &amp;elementID=5355", "Click here to submit comment")</f>
        <v>Click here to submit comment</v>
      </c>
    </row>
    <row r="40" spans="1:14" ht="300">
      <c r="A40" s="3" t="s">
        <v>2312</v>
      </c>
      <c r="B40" s="3" t="s">
        <v>2313</v>
      </c>
      <c r="C40" s="4" t="s">
        <v>6473</v>
      </c>
      <c r="D40" s="3" t="s">
        <v>2314</v>
      </c>
      <c r="E40" s="3" t="s">
        <v>2158</v>
      </c>
      <c r="F40" s="3" t="s">
        <v>66</v>
      </c>
      <c r="G40" s="3"/>
      <c r="H40" s="3" t="s">
        <v>2315</v>
      </c>
      <c r="I40" s="3"/>
      <c r="J40" s="3" t="s">
        <v>2316</v>
      </c>
      <c r="K40" s="3"/>
      <c r="L40" s="3" t="s">
        <v>2317</v>
      </c>
      <c r="M40" s="3" t="str">
        <f>HYPERLINK("https://ceds.ed.gov/cedselementdetails.aspx?termid=5321")</f>
        <v>https://ceds.ed.gov/cedselementdetails.aspx?termid=5321</v>
      </c>
      <c r="N40" s="3" t="str">
        <f>HYPERLINK("https://ceds.ed.gov/elementComment.aspx?elementName=Early Intervention or Special Education Services Received &amp;elementID=5321", "Click here to submit comment")</f>
        <v>Click here to submit comment</v>
      </c>
    </row>
    <row r="41" spans="1:14" ht="105">
      <c r="A41" s="3" t="s">
        <v>2322</v>
      </c>
      <c r="B41" s="3" t="s">
        <v>2323</v>
      </c>
      <c r="C41" s="4" t="s">
        <v>6475</v>
      </c>
      <c r="D41" s="3" t="s">
        <v>2176</v>
      </c>
      <c r="E41" s="3" t="s">
        <v>2158</v>
      </c>
      <c r="F41" s="3" t="s">
        <v>66</v>
      </c>
      <c r="G41" s="3"/>
      <c r="H41" s="3" t="s">
        <v>2177</v>
      </c>
      <c r="I41" s="3"/>
      <c r="J41" s="3" t="s">
        <v>2324</v>
      </c>
      <c r="K41" s="3"/>
      <c r="L41" s="3" t="s">
        <v>2325</v>
      </c>
      <c r="M41" s="3" t="str">
        <f>HYPERLINK("https://ceds.ed.gov/cedselementdetails.aspx?termid=5314")</f>
        <v>https://ceds.ed.gov/cedselementdetails.aspx?termid=5314</v>
      </c>
      <c r="N41" s="3" t="str">
        <f>HYPERLINK("https://ceds.ed.gov/elementComment.aspx?elementName=Early Learning Child Developmental Screening Status &amp;elementID=5314", "Click here to submit comment")</f>
        <v>Click here to submit comment</v>
      </c>
    </row>
    <row r="42" spans="1:14" ht="270">
      <c r="A42" s="3" t="s">
        <v>2474</v>
      </c>
      <c r="B42" s="3" t="s">
        <v>2475</v>
      </c>
      <c r="C42" s="3" t="s">
        <v>6150</v>
      </c>
      <c r="D42" s="3" t="s">
        <v>6151</v>
      </c>
      <c r="E42" s="3" t="s">
        <v>2476</v>
      </c>
      <c r="F42" s="3" t="s">
        <v>66</v>
      </c>
      <c r="G42" s="3"/>
      <c r="H42" s="3" t="s">
        <v>2477</v>
      </c>
      <c r="I42" s="3" t="s">
        <v>2478</v>
      </c>
      <c r="J42" s="3" t="s">
        <v>2479</v>
      </c>
      <c r="K42" s="3"/>
      <c r="L42" s="3" t="s">
        <v>2480</v>
      </c>
      <c r="M42" s="3" t="str">
        <f>HYPERLINK("https://ceds.ed.gov/cedselementdetails.aspx?termid=5990")</f>
        <v>https://ceds.ed.gov/cedselementdetails.aspx?termid=5990</v>
      </c>
      <c r="N42" s="3" t="str">
        <f>HYPERLINK("https://ceds.ed.gov/elementComment.aspx?elementName=Employed After Exit &amp;elementID=5990", "Click here to submit comment")</f>
        <v>Click here to submit comment</v>
      </c>
    </row>
    <row r="43" spans="1:14" ht="225">
      <c r="A43" s="3" t="s">
        <v>2487</v>
      </c>
      <c r="B43" s="3" t="s">
        <v>2488</v>
      </c>
      <c r="C43" s="3" t="s">
        <v>6150</v>
      </c>
      <c r="D43" s="3" t="s">
        <v>6151</v>
      </c>
      <c r="E43" s="3" t="s">
        <v>2476</v>
      </c>
      <c r="F43" s="3" t="s">
        <v>66</v>
      </c>
      <c r="G43" s="3"/>
      <c r="H43" s="3" t="s">
        <v>2477</v>
      </c>
      <c r="I43" s="3" t="s">
        <v>2489</v>
      </c>
      <c r="J43" s="3" t="s">
        <v>2490</v>
      </c>
      <c r="K43" s="3"/>
      <c r="L43" s="3" t="s">
        <v>2491</v>
      </c>
      <c r="M43" s="3" t="str">
        <f>HYPERLINK("https://ceds.ed.gov/cedselementdetails.aspx?termid=5989")</f>
        <v>https://ceds.ed.gov/cedselementdetails.aspx?termid=5989</v>
      </c>
      <c r="N43" s="3" t="str">
        <f>HYPERLINK("https://ceds.ed.gov/elementComment.aspx?elementName=Employed While Enrolled &amp;elementID=5989", "Click here to submit comment")</f>
        <v>Click here to submit comment</v>
      </c>
    </row>
    <row r="44" spans="1:14" ht="409.5">
      <c r="A44" s="3" t="s">
        <v>2496</v>
      </c>
      <c r="B44" s="3" t="s">
        <v>2497</v>
      </c>
      <c r="C44" s="4" t="s">
        <v>6492</v>
      </c>
      <c r="D44" s="3" t="s">
        <v>2483</v>
      </c>
      <c r="E44" s="3"/>
      <c r="F44" s="3" t="s">
        <v>66</v>
      </c>
      <c r="G44" s="3"/>
      <c r="H44" s="3" t="s">
        <v>2498</v>
      </c>
      <c r="I44" s="3" t="s">
        <v>2499</v>
      </c>
      <c r="J44" s="3" t="s">
        <v>2500</v>
      </c>
      <c r="K44" s="3"/>
      <c r="L44" s="3" t="s">
        <v>2501</v>
      </c>
      <c r="M44" s="3" t="str">
        <f>HYPERLINK("https://ceds.ed.gov/cedselementdetails.aspx?termid=5992")</f>
        <v>https://ceds.ed.gov/cedselementdetails.aspx?termid=5992</v>
      </c>
      <c r="N44" s="3" t="str">
        <f>HYPERLINK("https://ceds.ed.gov/elementComment.aspx?elementName=Employment Location &amp;elementID=5992", "Click here to submit comment")</f>
        <v>Click here to submit comment</v>
      </c>
    </row>
    <row r="45" spans="1:14" ht="300">
      <c r="A45" s="3" t="s">
        <v>2508</v>
      </c>
      <c r="B45" s="3" t="s">
        <v>2509</v>
      </c>
      <c r="C45" s="4" t="s">
        <v>6493</v>
      </c>
      <c r="D45" s="3" t="s">
        <v>2483</v>
      </c>
      <c r="E45" s="3"/>
      <c r="F45" s="3" t="s">
        <v>66</v>
      </c>
      <c r="G45" s="3"/>
      <c r="H45" s="3" t="s">
        <v>2510</v>
      </c>
      <c r="I45" s="3" t="s">
        <v>2511</v>
      </c>
      <c r="J45" s="3" t="s">
        <v>2512</v>
      </c>
      <c r="K45" s="3"/>
      <c r="L45" s="3" t="s">
        <v>2513</v>
      </c>
      <c r="M45" s="3" t="str">
        <f>HYPERLINK("https://ceds.ed.gov/cedselementdetails.aspx?termid=5996")</f>
        <v>https://ceds.ed.gov/cedselementdetails.aspx?termid=5996</v>
      </c>
      <c r="N45" s="3" t="str">
        <f>HYPERLINK("https://ceds.ed.gov/elementComment.aspx?elementName=Employment Record Administrative Data Source &amp;elementID=5996", "Click here to submit comment")</f>
        <v>Click here to submit comment</v>
      </c>
    </row>
    <row r="46" spans="1:14" ht="360">
      <c r="A46" s="3" t="s">
        <v>2514</v>
      </c>
      <c r="B46" s="3" t="s">
        <v>2515</v>
      </c>
      <c r="C46" s="3" t="s">
        <v>13</v>
      </c>
      <c r="D46" s="3" t="s">
        <v>2483</v>
      </c>
      <c r="E46" s="3"/>
      <c r="F46" s="3" t="s">
        <v>66</v>
      </c>
      <c r="G46" s="3" t="s">
        <v>73</v>
      </c>
      <c r="H46" s="3" t="s">
        <v>2516</v>
      </c>
      <c r="I46" s="3" t="s">
        <v>2517</v>
      </c>
      <c r="J46" s="3" t="s">
        <v>2518</v>
      </c>
      <c r="K46" s="3"/>
      <c r="L46" s="3" t="s">
        <v>2519</v>
      </c>
      <c r="M46" s="3" t="str">
        <f>HYPERLINK("https://ceds.ed.gov/cedselementdetails.aspx?termid=5995")</f>
        <v>https://ceds.ed.gov/cedselementdetails.aspx?termid=5995</v>
      </c>
      <c r="N46" s="3" t="str">
        <f>HYPERLINK("https://ceds.ed.gov/elementComment.aspx?elementName=Employment Record Reference Period End Date &amp;elementID=5995", "Click here to submit comment")</f>
        <v>Click here to submit comment</v>
      </c>
    </row>
    <row r="47" spans="1:14" ht="360">
      <c r="A47" s="3" t="s">
        <v>2520</v>
      </c>
      <c r="B47" s="3" t="s">
        <v>2521</v>
      </c>
      <c r="C47" s="3" t="s">
        <v>13</v>
      </c>
      <c r="D47" s="3" t="s">
        <v>2483</v>
      </c>
      <c r="E47" s="3"/>
      <c r="F47" s="3" t="s">
        <v>66</v>
      </c>
      <c r="G47" s="3" t="s">
        <v>73</v>
      </c>
      <c r="H47" s="3" t="s">
        <v>2522</v>
      </c>
      <c r="I47" s="3" t="s">
        <v>2517</v>
      </c>
      <c r="J47" s="3" t="s">
        <v>2523</v>
      </c>
      <c r="K47" s="3"/>
      <c r="L47" s="3" t="s">
        <v>2524</v>
      </c>
      <c r="M47" s="3" t="str">
        <f>HYPERLINK("https://ceds.ed.gov/cedselementdetails.aspx?termid=5994")</f>
        <v>https://ceds.ed.gov/cedselementdetails.aspx?termid=5994</v>
      </c>
      <c r="N47" s="3" t="str">
        <f>HYPERLINK("https://ceds.ed.gov/elementComment.aspx?elementName=Employment Record Reference Period Start Date &amp;elementID=5994", "Click here to submit comment")</f>
        <v>Click here to submit comment</v>
      </c>
    </row>
    <row r="48" spans="1:14" ht="409.5">
      <c r="A48" s="3" t="s">
        <v>2525</v>
      </c>
      <c r="B48" s="3" t="s">
        <v>2526</v>
      </c>
      <c r="C48" s="4" t="s">
        <v>6494</v>
      </c>
      <c r="D48" s="3" t="s">
        <v>6153</v>
      </c>
      <c r="E48" s="3"/>
      <c r="F48" s="3" t="s">
        <v>66</v>
      </c>
      <c r="G48" s="3"/>
      <c r="H48" s="3" t="s">
        <v>2527</v>
      </c>
      <c r="I48" s="3"/>
      <c r="J48" s="3" t="s">
        <v>2528</v>
      </c>
      <c r="K48" s="3"/>
      <c r="L48" s="3" t="s">
        <v>2529</v>
      </c>
      <c r="M48" s="3" t="str">
        <f>HYPERLINK("https://ceds.ed.gov/cedselementdetails.aspx?termid=5613")</f>
        <v>https://ceds.ed.gov/cedselementdetails.aspx?termid=5613</v>
      </c>
      <c r="N48" s="3" t="str">
        <f>HYPERLINK("https://ceds.ed.gov/elementComment.aspx?elementName=Employment Separation Reason &amp;elementID=5613", "Click here to submit comment")</f>
        <v>Click here to submit comment</v>
      </c>
    </row>
    <row r="49" spans="1:14" ht="409.5">
      <c r="A49" s="3" t="s">
        <v>2642</v>
      </c>
      <c r="B49" s="3" t="s">
        <v>2643</v>
      </c>
      <c r="C49" s="3" t="s">
        <v>13</v>
      </c>
      <c r="D49" s="3" t="s">
        <v>2644</v>
      </c>
      <c r="E49" s="3" t="s">
        <v>5988</v>
      </c>
      <c r="F49" s="3" t="s">
        <v>66</v>
      </c>
      <c r="G49" s="3" t="s">
        <v>1461</v>
      </c>
      <c r="H49" s="3" t="s">
        <v>2645</v>
      </c>
      <c r="I49" s="3" t="s">
        <v>2646</v>
      </c>
      <c r="J49" s="3" t="s">
        <v>2647</v>
      </c>
      <c r="K49" s="3"/>
      <c r="L49" s="3" t="s">
        <v>2648</v>
      </c>
      <c r="M49" s="3" t="str">
        <f>HYPERLINK("https://ceds.ed.gov/cedselementdetails.aspx?termid=5331")</f>
        <v>https://ceds.ed.gov/cedselementdetails.aspx?termid=5331</v>
      </c>
      <c r="N49" s="3" t="str">
        <f>HYPERLINK("https://ceds.ed.gov/elementComment.aspx?elementName=Family Income &amp;elementID=5331", "Click here to submit comment")</f>
        <v>Click here to submit comment</v>
      </c>
    </row>
    <row r="50" spans="1:14" ht="90">
      <c r="A50" s="3" t="s">
        <v>2833</v>
      </c>
      <c r="B50" s="3" t="s">
        <v>2834</v>
      </c>
      <c r="C50" s="3" t="s">
        <v>6180</v>
      </c>
      <c r="D50" s="3" t="s">
        <v>154</v>
      </c>
      <c r="E50" s="3" t="s">
        <v>5968</v>
      </c>
      <c r="F50" s="3" t="s">
        <v>66</v>
      </c>
      <c r="G50" s="3"/>
      <c r="H50" s="3" t="s">
        <v>2835</v>
      </c>
      <c r="I50" s="3"/>
      <c r="J50" s="3" t="s">
        <v>2836</v>
      </c>
      <c r="K50" s="3"/>
      <c r="L50" s="3" t="s">
        <v>2837</v>
      </c>
      <c r="M50" s="3" t="str">
        <f>HYPERLINK("https://ceds.ed.gov/cedselementdetails.aspx?termid=5122")</f>
        <v>https://ceds.ed.gov/cedselementdetails.aspx?termid=5122</v>
      </c>
      <c r="N50" s="3" t="str">
        <f>HYPERLINK("https://ceds.ed.gov/elementComment.aspx?elementName=Gifted and Talented Indicator &amp;elementID=5122", "Click here to submit comment")</f>
        <v>Click here to submit comment</v>
      </c>
    </row>
    <row r="51" spans="1:14" ht="409.5">
      <c r="A51" s="3" t="s">
        <v>2970</v>
      </c>
      <c r="B51" s="3" t="s">
        <v>2971</v>
      </c>
      <c r="C51" s="4" t="s">
        <v>6531</v>
      </c>
      <c r="D51" s="3" t="s">
        <v>6194</v>
      </c>
      <c r="E51" s="3" t="s">
        <v>6195</v>
      </c>
      <c r="F51" s="3" t="s">
        <v>66</v>
      </c>
      <c r="G51" s="3"/>
      <c r="H51" s="3" t="s">
        <v>2972</v>
      </c>
      <c r="I51" s="3"/>
      <c r="J51" s="3" t="s">
        <v>2973</v>
      </c>
      <c r="K51" s="3"/>
      <c r="L51" s="3" t="s">
        <v>2974</v>
      </c>
      <c r="M51" s="3" t="str">
        <f>HYPERLINK("https://ceds.ed.gov/cedselementdetails.aspx?termid=5141")</f>
        <v>https://ceds.ed.gov/cedselementdetails.aspx?termid=5141</v>
      </c>
      <c r="N51" s="3" t="str">
        <f>HYPERLINK("https://ceds.ed.gov/elementComment.aspx?elementName=Highest Level of Education Completed &amp;elementID=5141", "Click here to submit comment")</f>
        <v>Click here to submit comment</v>
      </c>
    </row>
    <row r="52" spans="1:14" ht="210">
      <c r="A52" s="3" t="s">
        <v>3406</v>
      </c>
      <c r="B52" s="3" t="s">
        <v>3407</v>
      </c>
      <c r="C52" s="5" t="s">
        <v>939</v>
      </c>
      <c r="D52" s="3" t="s">
        <v>6213</v>
      </c>
      <c r="E52" s="3" t="s">
        <v>6214</v>
      </c>
      <c r="F52" s="3" t="s">
        <v>66</v>
      </c>
      <c r="G52" s="3"/>
      <c r="H52" s="3" t="s">
        <v>2645</v>
      </c>
      <c r="I52" s="3" t="s">
        <v>3408</v>
      </c>
      <c r="J52" s="3" t="s">
        <v>3409</v>
      </c>
      <c r="K52" s="3"/>
      <c r="L52" s="3" t="s">
        <v>3410</v>
      </c>
      <c r="M52" s="3" t="str">
        <f>HYPERLINK("https://ceds.ed.gov/cedselementdetails.aspx?termid=5317")</f>
        <v>https://ceds.ed.gov/cedselementdetails.aspx?termid=5317</v>
      </c>
      <c r="N52" s="3" t="str">
        <f>HYPERLINK("https://ceds.ed.gov/elementComment.aspx?elementName=Language Code &amp;elementID=5317", "Click here to submit comment")</f>
        <v>Click here to submit comment</v>
      </c>
    </row>
    <row r="53" spans="1:14" ht="90">
      <c r="A53" s="3" t="s">
        <v>3567</v>
      </c>
      <c r="B53" s="3" t="s">
        <v>3568</v>
      </c>
      <c r="C53" s="3" t="s">
        <v>13</v>
      </c>
      <c r="D53" s="3" t="s">
        <v>6226</v>
      </c>
      <c r="E53" s="3"/>
      <c r="F53" s="3" t="s">
        <v>66</v>
      </c>
      <c r="G53" s="3" t="s">
        <v>93</v>
      </c>
      <c r="H53" s="3" t="s">
        <v>3569</v>
      </c>
      <c r="I53" s="3" t="s">
        <v>3570</v>
      </c>
      <c r="J53" s="3" t="s">
        <v>3571</v>
      </c>
      <c r="K53" s="3"/>
      <c r="L53" s="3" t="s">
        <v>3572</v>
      </c>
      <c r="M53" s="3" t="str">
        <f>HYPERLINK("https://ceds.ed.gov/cedselementdetails.aspx?termid=5923")</f>
        <v>https://ceds.ed.gov/cedselementdetails.aspx?termid=5923</v>
      </c>
      <c r="N53" s="3" t="str">
        <f>HYPERLINK("https://ceds.ed.gov/elementComment.aspx?elementName=Learning Resource Based On URL &amp;elementID=5923", "Click here to submit comment")</f>
        <v>Click here to submit comment</v>
      </c>
    </row>
    <row r="54" spans="1:14" ht="120">
      <c r="A54" s="3" t="s">
        <v>3577</v>
      </c>
      <c r="B54" s="3" t="s">
        <v>3578</v>
      </c>
      <c r="C54" s="3" t="s">
        <v>6230</v>
      </c>
      <c r="D54" s="3" t="s">
        <v>6231</v>
      </c>
      <c r="E54" s="3"/>
      <c r="F54" s="3" t="s">
        <v>66</v>
      </c>
      <c r="G54" s="3"/>
      <c r="H54" s="3" t="s">
        <v>2645</v>
      </c>
      <c r="I54" s="3" t="s">
        <v>3579</v>
      </c>
      <c r="J54" s="3" t="s">
        <v>3580</v>
      </c>
      <c r="K54" s="3"/>
      <c r="L54" s="3" t="s">
        <v>3581</v>
      </c>
      <c r="M54" s="3" t="str">
        <f>HYPERLINK("https://ceds.ed.gov/cedselementdetails.aspx?termid=5879")</f>
        <v>https://ceds.ed.gov/cedselementdetails.aspx?termid=5879</v>
      </c>
      <c r="N54" s="3" t="str">
        <f>HYPERLINK("https://ceds.ed.gov/elementComment.aspx?elementName=Learning Resource Competency Alignment Type &amp;elementID=5879", "Click here to submit comment")</f>
        <v>Click here to submit comment</v>
      </c>
    </row>
    <row r="55" spans="1:14" ht="409.5">
      <c r="A55" s="3" t="s">
        <v>3619</v>
      </c>
      <c r="B55" s="3" t="s">
        <v>3620</v>
      </c>
      <c r="C55" s="15" t="s">
        <v>10060</v>
      </c>
      <c r="D55" s="3" t="s">
        <v>6234</v>
      </c>
      <c r="E55" s="3"/>
      <c r="F55" s="3" t="s">
        <v>66</v>
      </c>
      <c r="G55" s="3"/>
      <c r="H55" s="3" t="s">
        <v>3621</v>
      </c>
      <c r="I55" s="3"/>
      <c r="J55" s="3" t="s">
        <v>3622</v>
      </c>
      <c r="K55" s="3"/>
      <c r="L55" s="3" t="s">
        <v>3623</v>
      </c>
      <c r="M55" s="3" t="str">
        <f>HYPERLINK("https://ceds.ed.gov/cedselementdetails.aspx?termid=6212")</f>
        <v>https://ceds.ed.gov/cedselementdetails.aspx?termid=6212</v>
      </c>
      <c r="N55" s="3" t="str">
        <f>HYPERLINK("https://ceds.ed.gov/elementComment.aspx?elementName=Learning Resource Education Level  &amp;elementID=6212", "Click here to submit comment")</f>
        <v>Click here to submit comment</v>
      </c>
    </row>
    <row r="56" spans="1:14" ht="105">
      <c r="A56" s="3" t="s">
        <v>3624</v>
      </c>
      <c r="B56" s="3" t="s">
        <v>3625</v>
      </c>
      <c r="C56" s="4" t="s">
        <v>6565</v>
      </c>
      <c r="D56" s="3" t="s">
        <v>6226</v>
      </c>
      <c r="E56" s="3"/>
      <c r="F56" s="3" t="s">
        <v>66</v>
      </c>
      <c r="G56" s="3"/>
      <c r="H56" s="3" t="s">
        <v>3626</v>
      </c>
      <c r="I56" s="3"/>
      <c r="J56" s="3" t="s">
        <v>3627</v>
      </c>
      <c r="K56" s="3"/>
      <c r="L56" s="3" t="s">
        <v>3628</v>
      </c>
      <c r="M56" s="3" t="str">
        <f>HYPERLINK("https://ceds.ed.gov/cedselementdetails.aspx?termid=6005")</f>
        <v>https://ceds.ed.gov/cedselementdetails.aspx?termid=6005</v>
      </c>
      <c r="N56" s="3" t="str">
        <f>HYPERLINK("https://ceds.ed.gov/elementComment.aspx?elementName=Learning Resource Educational Use &amp;elementID=6005", "Click here to submit comment")</f>
        <v>Click here to submit comment</v>
      </c>
    </row>
    <row r="57" spans="1:14" ht="150">
      <c r="A57" s="3" t="s">
        <v>3637</v>
      </c>
      <c r="B57" s="3" t="s">
        <v>3638</v>
      </c>
      <c r="C57" s="5" t="s">
        <v>939</v>
      </c>
      <c r="D57" s="3" t="s">
        <v>6226</v>
      </c>
      <c r="E57" s="3"/>
      <c r="F57" s="3" t="s">
        <v>66</v>
      </c>
      <c r="G57" s="3"/>
      <c r="H57" s="3" t="s">
        <v>3639</v>
      </c>
      <c r="I57" s="3" t="s">
        <v>3640</v>
      </c>
      <c r="J57" s="3" t="s">
        <v>3641</v>
      </c>
      <c r="K57" s="3"/>
      <c r="L57" s="3" t="s">
        <v>3642</v>
      </c>
      <c r="M57" s="3" t="str">
        <f>HYPERLINK("https://ceds.ed.gov/cedselementdetails.aspx?termid=5920")</f>
        <v>https://ceds.ed.gov/cedselementdetails.aspx?termid=5920</v>
      </c>
      <c r="N57" s="3" t="str">
        <f>HYPERLINK("https://ceds.ed.gov/elementComment.aspx?elementName=Learning Resource Language &amp;elementID=5920", "Click here to submit comment")</f>
        <v>Click here to submit comment</v>
      </c>
    </row>
    <row r="58" spans="1:14" ht="90">
      <c r="A58" s="3" t="s">
        <v>3695</v>
      </c>
      <c r="B58" s="3" t="s">
        <v>3696</v>
      </c>
      <c r="C58" s="3" t="s">
        <v>13</v>
      </c>
      <c r="D58" s="3" t="s">
        <v>6226</v>
      </c>
      <c r="E58" s="3"/>
      <c r="F58" s="3" t="s">
        <v>66</v>
      </c>
      <c r="G58" s="3" t="s">
        <v>3697</v>
      </c>
      <c r="H58" s="3" t="s">
        <v>3698</v>
      </c>
      <c r="I58" s="3"/>
      <c r="J58" s="3" t="s">
        <v>3699</v>
      </c>
      <c r="K58" s="3"/>
      <c r="L58" s="3" t="s">
        <v>3700</v>
      </c>
      <c r="M58" s="3" t="str">
        <f>HYPERLINK("https://ceds.ed.gov/cedselementdetails.aspx?termid=5925")</f>
        <v>https://ceds.ed.gov/cedselementdetails.aspx?termid=5925</v>
      </c>
      <c r="N58" s="3" t="str">
        <f>HYPERLINK("https://ceds.ed.gov/elementComment.aspx?elementName=Learning Resource Time Required &amp;elementID=5925", "Click here to submit comment")</f>
        <v>Click here to submit comment</v>
      </c>
    </row>
    <row r="59" spans="1:14" ht="360">
      <c r="A59" s="3" t="s">
        <v>3705</v>
      </c>
      <c r="B59" s="3" t="s">
        <v>3706</v>
      </c>
      <c r="C59" s="4" t="s">
        <v>6567</v>
      </c>
      <c r="D59" s="3" t="s">
        <v>6226</v>
      </c>
      <c r="E59" s="3"/>
      <c r="F59" s="3" t="s">
        <v>66</v>
      </c>
      <c r="G59" s="3"/>
      <c r="H59" s="3" t="s">
        <v>3621</v>
      </c>
      <c r="I59" s="3" t="s">
        <v>3707</v>
      </c>
      <c r="J59" s="3" t="s">
        <v>3708</v>
      </c>
      <c r="K59" s="3"/>
      <c r="L59" s="3" t="s">
        <v>3709</v>
      </c>
      <c r="M59" s="3" t="str">
        <f>HYPERLINK("https://ceds.ed.gov/cedselementdetails.aspx?termid=5929")</f>
        <v>https://ceds.ed.gov/cedselementdetails.aspx?termid=5929</v>
      </c>
      <c r="N59" s="3" t="str">
        <f>HYPERLINK("https://ceds.ed.gov/elementComment.aspx?elementName=Learning Resource Type &amp;elementID=5929", "Click here to submit comment")</f>
        <v>Click here to submit comment</v>
      </c>
    </row>
    <row r="60" spans="1:14" ht="90">
      <c r="A60" s="3" t="s">
        <v>3727</v>
      </c>
      <c r="B60" s="3" t="s">
        <v>3728</v>
      </c>
      <c r="C60" s="3" t="s">
        <v>13</v>
      </c>
      <c r="D60" s="3" t="s">
        <v>6226</v>
      </c>
      <c r="E60" s="3"/>
      <c r="F60" s="3" t="s">
        <v>66</v>
      </c>
      <c r="G60" s="3" t="s">
        <v>100</v>
      </c>
      <c r="H60" s="3" t="s">
        <v>1820</v>
      </c>
      <c r="I60" s="3"/>
      <c r="J60" s="3" t="s">
        <v>3729</v>
      </c>
      <c r="K60" s="3"/>
      <c r="L60" s="3" t="s">
        <v>3730</v>
      </c>
      <c r="M60" s="3" t="str">
        <f>HYPERLINK("https://ceds.ed.gov/cedselementdetails.aspx?termid=6182")</f>
        <v>https://ceds.ed.gov/cedselementdetails.aspx?termid=6182</v>
      </c>
      <c r="N60" s="3" t="str">
        <f>HYPERLINK("https://ceds.ed.gov/elementComment.aspx?elementName=Learning Resource Version &amp;elementID=6182", "Click here to submit comment")</f>
        <v>Click here to submit comment</v>
      </c>
    </row>
    <row r="61" spans="1:14" ht="165" customHeight="1">
      <c r="A61" s="3" t="s">
        <v>3816</v>
      </c>
      <c r="B61" s="3" t="s">
        <v>3817</v>
      </c>
      <c r="C61" s="4" t="s">
        <v>6568</v>
      </c>
      <c r="D61" s="3" t="s">
        <v>6244</v>
      </c>
      <c r="E61" s="3"/>
      <c r="F61" s="3" t="s">
        <v>66</v>
      </c>
      <c r="G61" s="3"/>
      <c r="H61" s="3" t="s">
        <v>848</v>
      </c>
      <c r="I61" s="3" t="s">
        <v>3818</v>
      </c>
      <c r="J61" s="3" t="s">
        <v>3820</v>
      </c>
      <c r="K61" s="3"/>
      <c r="L61" s="3" t="s">
        <v>3821</v>
      </c>
      <c r="M61" s="3" t="str">
        <f>HYPERLINK("https://ceds.ed.gov/cedselementdetails.aspx?termid=5869")</f>
        <v>https://ceds.ed.gov/cedselementdetails.aspx?termid=5869</v>
      </c>
      <c r="N61" s="3" t="str">
        <f>HYPERLINK("https://ceds.ed.gov/elementComment.aspx?elementName=Learning Standard Item Association Type &amp;elementID=5869", "Click here to submit comment")</f>
        <v>Click here to submit comment</v>
      </c>
    </row>
    <row r="62" spans="1:14" ht="345">
      <c r="A62" s="3" t="s">
        <v>3958</v>
      </c>
      <c r="B62" s="3" t="s">
        <v>3959</v>
      </c>
      <c r="C62" s="4" t="s">
        <v>6571</v>
      </c>
      <c r="D62" s="3" t="s">
        <v>3960</v>
      </c>
      <c r="E62" s="3"/>
      <c r="F62" s="3" t="s">
        <v>66</v>
      </c>
      <c r="G62" s="3"/>
      <c r="H62" s="3" t="s">
        <v>2309</v>
      </c>
      <c r="I62" s="3"/>
      <c r="J62" s="3" t="s">
        <v>3961</v>
      </c>
      <c r="K62" s="3"/>
      <c r="L62" s="3" t="s">
        <v>3962</v>
      </c>
      <c r="M62" s="3" t="str">
        <f>HYPERLINK("https://ceds.ed.gov/cedselementdetails.aspx?termid=5617")</f>
        <v>https://ceds.ed.gov/cedselementdetails.aspx?termid=5617</v>
      </c>
      <c r="N62" s="3" t="str">
        <f>HYPERLINK("https://ceds.ed.gov/elementComment.aspx?elementName=Leave Event Type &amp;elementID=5617", "Click here to submit comment")</f>
        <v>Click here to submit comment</v>
      </c>
    </row>
    <row r="63" spans="1:14" ht="135">
      <c r="A63" s="3" t="s">
        <v>4257</v>
      </c>
      <c r="B63" s="3" t="s">
        <v>4258</v>
      </c>
      <c r="C63" s="3" t="s">
        <v>13</v>
      </c>
      <c r="D63" s="3" t="s">
        <v>6259</v>
      </c>
      <c r="E63" s="3" t="s">
        <v>6252</v>
      </c>
      <c r="F63" s="3" t="s">
        <v>66</v>
      </c>
      <c r="G63" s="3" t="s">
        <v>1461</v>
      </c>
      <c r="H63" s="3" t="s">
        <v>1820</v>
      </c>
      <c r="I63" s="3"/>
      <c r="J63" s="3" t="s">
        <v>4259</v>
      </c>
      <c r="K63" s="3"/>
      <c r="L63" s="3" t="s">
        <v>4260</v>
      </c>
      <c r="M63" s="3" t="str">
        <f>HYPERLINK("https://ceds.ed.gov/cedselementdetails.aspx?termid=5200")</f>
        <v>https://ceds.ed.gov/cedselementdetails.aspx?termid=5200</v>
      </c>
      <c r="N63" s="3" t="str">
        <f>HYPERLINK("https://ceds.ed.gov/elementComment.aspx?elementName=Number of Credits Earned &amp;elementID=5200", "Click here to submit comment")</f>
        <v>Click here to submit comment</v>
      </c>
    </row>
    <row r="64" spans="1:14" ht="240">
      <c r="A64" s="3" t="s">
        <v>4337</v>
      </c>
      <c r="B64" s="3" t="s">
        <v>4338</v>
      </c>
      <c r="C64" s="4" t="s">
        <v>6364</v>
      </c>
      <c r="D64" s="3" t="s">
        <v>6264</v>
      </c>
      <c r="E64" s="3" t="s">
        <v>65</v>
      </c>
      <c r="F64" s="3" t="s">
        <v>66</v>
      </c>
      <c r="G64" s="3"/>
      <c r="H64" s="3" t="s">
        <v>2309</v>
      </c>
      <c r="I64" s="3"/>
      <c r="J64" s="3" t="s">
        <v>4339</v>
      </c>
      <c r="K64" s="3"/>
      <c r="L64" s="3" t="s">
        <v>4340</v>
      </c>
      <c r="M64" s="3" t="str">
        <f>HYPERLINK("https://ceds.ed.gov/cedselementdetails.aspx?termid=5827")</f>
        <v>https://ceds.ed.gov/cedselementdetails.aspx?termid=5827</v>
      </c>
      <c r="N64" s="3" t="str">
        <f>HYPERLINK("https://ceds.ed.gov/elementComment.aspx?elementName=Organization Identification System &amp;elementID=5827", "Click here to submit comment")</f>
        <v>Click here to submit comment</v>
      </c>
    </row>
    <row r="65" spans="1:14" ht="409.5">
      <c r="A65" s="3" t="s">
        <v>4361</v>
      </c>
      <c r="B65" s="3" t="s">
        <v>4362</v>
      </c>
      <c r="C65" s="4" t="s">
        <v>6592</v>
      </c>
      <c r="D65" s="3" t="s">
        <v>6269</v>
      </c>
      <c r="E65" s="3"/>
      <c r="F65" s="3" t="s">
        <v>66</v>
      </c>
      <c r="G65" s="3" t="s">
        <v>149</v>
      </c>
      <c r="H65" s="3" t="s">
        <v>4363</v>
      </c>
      <c r="I65" s="3" t="s">
        <v>4364</v>
      </c>
      <c r="J65" s="3" t="s">
        <v>4365</v>
      </c>
      <c r="K65" s="3"/>
      <c r="L65" s="3" t="s">
        <v>4366</v>
      </c>
      <c r="M65" s="3" t="str">
        <f>HYPERLINK("https://ceds.ed.gov/cedselementdetails.aspx?termid=6165")</f>
        <v>https://ceds.ed.gov/cedselementdetails.aspx?termid=6165</v>
      </c>
      <c r="N65" s="3" t="str">
        <f>HYPERLINK("https://ceds.ed.gov/elementComment.aspx?elementName=Organization Type &amp;elementID=6165", "Click here to submit comment")</f>
        <v>Click here to submit comment</v>
      </c>
    </row>
    <row r="66" spans="1:14" ht="225">
      <c r="A66" s="3" t="s">
        <v>4472</v>
      </c>
      <c r="B66" s="3" t="s">
        <v>4473</v>
      </c>
      <c r="C66" s="3" t="s">
        <v>13</v>
      </c>
      <c r="D66" s="3" t="s">
        <v>2483</v>
      </c>
      <c r="E66" s="3"/>
      <c r="F66" s="3" t="s">
        <v>66</v>
      </c>
      <c r="G66" s="3" t="s">
        <v>575</v>
      </c>
      <c r="H66" s="3" t="s">
        <v>4474</v>
      </c>
      <c r="I66" s="3" t="s">
        <v>4475</v>
      </c>
      <c r="J66" s="3" t="s">
        <v>4476</v>
      </c>
      <c r="K66" s="3"/>
      <c r="L66" s="3" t="s">
        <v>4477</v>
      </c>
      <c r="M66" s="3" t="str">
        <f>HYPERLINK("https://ceds.ed.gov/cedselementdetails.aspx?termid=5993")</f>
        <v>https://ceds.ed.gov/cedselementdetails.aspx?termid=5993</v>
      </c>
      <c r="N66" s="3" t="str">
        <f>HYPERLINK("https://ceds.ed.gov/elementComment.aspx?elementName=Person Employed in Multiple Jobs Count &amp;elementID=5993", "Click here to submit comment")</f>
        <v>Click here to submit comment</v>
      </c>
    </row>
    <row r="67" spans="1:14" ht="75">
      <c r="A67" s="3" t="s">
        <v>4676</v>
      </c>
      <c r="B67" s="3" t="s">
        <v>4677</v>
      </c>
      <c r="C67" s="3" t="s">
        <v>13</v>
      </c>
      <c r="D67" s="3" t="s">
        <v>6288</v>
      </c>
      <c r="E67" s="3" t="s">
        <v>202</v>
      </c>
      <c r="F67" s="3" t="s">
        <v>66</v>
      </c>
      <c r="G67" s="3" t="s">
        <v>106</v>
      </c>
      <c r="H67" s="3" t="s">
        <v>4678</v>
      </c>
      <c r="I67" s="3"/>
      <c r="J67" s="3" t="s">
        <v>4679</v>
      </c>
      <c r="K67" s="3"/>
      <c r="L67" s="3" t="s">
        <v>4680</v>
      </c>
      <c r="M67" s="3" t="str">
        <f>HYPERLINK("https://ceds.ed.gov/cedselementdetails.aspx?termid=5809")</f>
        <v>https://ceds.ed.gov/cedselementdetails.aspx?termid=5809</v>
      </c>
      <c r="N67" s="3" t="str">
        <f>HYPERLINK("https://ceds.ed.gov/elementComment.aspx?elementName=Professional Development Activity Title &amp;elementID=5809", "Click here to submit comment")</f>
        <v>Click here to submit comment</v>
      </c>
    </row>
    <row r="68" spans="1:14" ht="195">
      <c r="A68" s="3" t="s">
        <v>4763</v>
      </c>
      <c r="B68" s="3" t="s">
        <v>4764</v>
      </c>
      <c r="C68" s="4" t="s">
        <v>6620</v>
      </c>
      <c r="D68" s="3" t="s">
        <v>6293</v>
      </c>
      <c r="E68" s="3"/>
      <c r="F68" s="3" t="s">
        <v>66</v>
      </c>
      <c r="G68" s="3"/>
      <c r="H68" s="3" t="s">
        <v>848</v>
      </c>
      <c r="I68" s="3"/>
      <c r="J68" s="3" t="s">
        <v>4765</v>
      </c>
      <c r="K68" s="3"/>
      <c r="L68" s="3" t="s">
        <v>4766</v>
      </c>
      <c r="M68" s="3" t="str">
        <f>HYPERLINK("https://ceds.ed.gov/cedselementdetails.aspx?termid=5780")</f>
        <v>https://ceds.ed.gov/cedselementdetails.aspx?termid=5780</v>
      </c>
      <c r="N68" s="3" t="str">
        <f>HYPERLINK("https://ceds.ed.gov/elementComment.aspx?elementName=Professional or Technical Credential Conferred &amp;elementID=5780", "Click here to submit comment")</f>
        <v>Click here to submit comment</v>
      </c>
    </row>
    <row r="69" spans="1:14" ht="409.5">
      <c r="A69" s="3" t="s">
        <v>4788</v>
      </c>
      <c r="B69" s="3" t="s">
        <v>4789</v>
      </c>
      <c r="C69" s="4" t="s">
        <v>6623</v>
      </c>
      <c r="D69" s="3" t="s">
        <v>6296</v>
      </c>
      <c r="E69" s="3"/>
      <c r="F69" s="3" t="s">
        <v>66</v>
      </c>
      <c r="G69" s="3"/>
      <c r="H69" s="3" t="s">
        <v>94</v>
      </c>
      <c r="I69" s="3"/>
      <c r="J69" s="3" t="s">
        <v>4790</v>
      </c>
      <c r="K69" s="3"/>
      <c r="L69" s="3" t="s">
        <v>4791</v>
      </c>
      <c r="M69" s="3" t="str">
        <f>HYPERLINK("https://ceds.ed.gov/cedselementdetails.aspx?termid=6210")</f>
        <v>https://ceds.ed.gov/cedselementdetails.aspx?termid=6210</v>
      </c>
      <c r="N69" s="3" t="str">
        <f>HYPERLINK("https://ceds.ed.gov/elementComment.aspx?elementName=Program Gifted Eligibility Criteria &amp;elementID=6210", "Click here to submit comment")</f>
        <v>Click here to submit comment</v>
      </c>
    </row>
    <row r="70" spans="1:14" ht="270">
      <c r="A70" s="3" t="s">
        <v>4847</v>
      </c>
      <c r="B70" s="3" t="s">
        <v>4848</v>
      </c>
      <c r="C70" s="4" t="s">
        <v>6625</v>
      </c>
      <c r="D70" s="3" t="s">
        <v>6300</v>
      </c>
      <c r="E70" s="3"/>
      <c r="F70" s="3" t="s">
        <v>66</v>
      </c>
      <c r="G70" s="3"/>
      <c r="H70" s="3" t="s">
        <v>4849</v>
      </c>
      <c r="I70" s="3"/>
      <c r="J70" s="3" t="s">
        <v>4850</v>
      </c>
      <c r="K70" s="3"/>
      <c r="L70" s="3" t="s">
        <v>4851</v>
      </c>
      <c r="M70" s="3" t="str">
        <f>HYPERLINK("https://ceds.ed.gov/cedselementdetails.aspx?termid=5692")</f>
        <v>https://ceds.ed.gov/cedselementdetails.aspx?termid=5692</v>
      </c>
      <c r="N70" s="3" t="str">
        <f>HYPERLINK("https://ceds.ed.gov/elementComment.aspx?elementName=Program Sponsor Type &amp;elementID=5692", "Click here to submit comment")</f>
        <v>Click here to submit comment</v>
      </c>
    </row>
    <row r="71" spans="1:14" ht="409.5">
      <c r="A71" s="3" t="s">
        <v>4856</v>
      </c>
      <c r="B71" s="3" t="s">
        <v>4857</v>
      </c>
      <c r="C71" s="4" t="s">
        <v>6626</v>
      </c>
      <c r="D71" s="3" t="s">
        <v>6301</v>
      </c>
      <c r="E71" s="3" t="s">
        <v>5968</v>
      </c>
      <c r="F71" s="3" t="s">
        <v>66</v>
      </c>
      <c r="G71" s="3"/>
      <c r="H71" s="3" t="s">
        <v>4858</v>
      </c>
      <c r="I71" s="3"/>
      <c r="J71" s="3" t="s">
        <v>4859</v>
      </c>
      <c r="K71" s="3"/>
      <c r="L71" s="3" t="s">
        <v>4860</v>
      </c>
      <c r="M71" s="3" t="str">
        <f>HYPERLINK("https://ceds.ed.gov/cedselementdetails.aspx?termid=5225")</f>
        <v>https://ceds.ed.gov/cedselementdetails.aspx?termid=5225</v>
      </c>
      <c r="N71" s="3" t="str">
        <f>HYPERLINK("https://ceds.ed.gov/elementComment.aspx?elementName=Program Type &amp;elementID=5225", "Click here to submit comment")</f>
        <v>Click here to submit comment</v>
      </c>
    </row>
    <row r="72" spans="1:14" ht="75">
      <c r="A72" s="3" t="s">
        <v>4873</v>
      </c>
      <c r="B72" s="3" t="s">
        <v>4874</v>
      </c>
      <c r="C72" s="4" t="s">
        <v>6629</v>
      </c>
      <c r="D72" s="3" t="s">
        <v>2644</v>
      </c>
      <c r="E72" s="3" t="s">
        <v>2147</v>
      </c>
      <c r="F72" s="3" t="s">
        <v>66</v>
      </c>
      <c r="G72" s="3"/>
      <c r="H72" s="3" t="s">
        <v>4875</v>
      </c>
      <c r="I72" s="3"/>
      <c r="J72" s="3" t="s">
        <v>4876</v>
      </c>
      <c r="K72" s="3"/>
      <c r="L72" s="3" t="s">
        <v>4877</v>
      </c>
      <c r="M72" s="3" t="str">
        <f>HYPERLINK("https://ceds.ed.gov/cedselementdetails.aspx?termid=5305")</f>
        <v>https://ceds.ed.gov/cedselementdetails.aspx?termid=5305</v>
      </c>
      <c r="N72" s="3" t="str">
        <f>HYPERLINK("https://ceds.ed.gov/elementComment.aspx?elementName=Proof of Residency Type &amp;elementID=5305", "Click here to submit comment")</f>
        <v>Click here to submit comment</v>
      </c>
    </row>
    <row r="73" spans="1:14" ht="210">
      <c r="A73" s="3" t="s">
        <v>4961</v>
      </c>
      <c r="B73" s="3" t="s">
        <v>4962</v>
      </c>
      <c r="C73" s="3" t="s">
        <v>13</v>
      </c>
      <c r="D73" s="3" t="s">
        <v>2483</v>
      </c>
      <c r="E73" s="3"/>
      <c r="F73" s="3" t="s">
        <v>66</v>
      </c>
      <c r="G73" s="3" t="s">
        <v>3496</v>
      </c>
      <c r="H73" s="3" t="s">
        <v>4963</v>
      </c>
      <c r="I73" s="3" t="s">
        <v>4964</v>
      </c>
      <c r="J73" s="3" t="s">
        <v>4965</v>
      </c>
      <c r="K73" s="3"/>
      <c r="L73" s="3" t="s">
        <v>4966</v>
      </c>
      <c r="M73" s="3" t="str">
        <f>HYPERLINK("https://ceds.ed.gov/cedselementdetails.aspx?termid=5991")</f>
        <v>https://ceds.ed.gov/cedselementdetails.aspx?termid=5991</v>
      </c>
      <c r="N73" s="3" t="str">
        <f>HYPERLINK("https://ceds.ed.gov/elementComment.aspx?elementName=Quarterly Earnings &amp;elementID=5991", "Click here to submit comment")</f>
        <v>Click here to submit comment</v>
      </c>
    </row>
    <row r="74" spans="1:14" ht="90">
      <c r="A74" s="3" t="s">
        <v>4987</v>
      </c>
      <c r="B74" s="3" t="s">
        <v>4988</v>
      </c>
      <c r="C74" s="4" t="s">
        <v>6639</v>
      </c>
      <c r="D74" s="3" t="s">
        <v>1806</v>
      </c>
      <c r="E74" s="3" t="s">
        <v>218</v>
      </c>
      <c r="F74" s="3" t="s">
        <v>66</v>
      </c>
      <c r="G74" s="3"/>
      <c r="H74" s="3" t="s">
        <v>4989</v>
      </c>
      <c r="I74" s="3"/>
      <c r="J74" s="3" t="s">
        <v>4990</v>
      </c>
      <c r="K74" s="3"/>
      <c r="L74" s="3" t="s">
        <v>4991</v>
      </c>
      <c r="M74" s="3" t="str">
        <f>HYPERLINK("https://ceds.ed.gov/cedselementdetails.aspx?termid=5230")</f>
        <v>https://ceds.ed.gov/cedselementdetails.aspx?termid=5230</v>
      </c>
      <c r="N74" s="3" t="str">
        <f>HYPERLINK("https://ceds.ed.gov/elementComment.aspx?elementName=Reconstituted Status &amp;elementID=5230", "Click here to submit comment")</f>
        <v>Click here to submit comment</v>
      </c>
    </row>
    <row r="75" spans="1:14" ht="120">
      <c r="A75" s="3" t="s">
        <v>5070</v>
      </c>
      <c r="B75" s="3" t="s">
        <v>5071</v>
      </c>
      <c r="C75" s="4" t="s">
        <v>6641</v>
      </c>
      <c r="D75" s="3" t="s">
        <v>6304</v>
      </c>
      <c r="E75" s="3" t="s">
        <v>218</v>
      </c>
      <c r="F75" s="3" t="s">
        <v>66</v>
      </c>
      <c r="G75" s="3"/>
      <c r="H75" s="3" t="s">
        <v>94</v>
      </c>
      <c r="I75" s="3"/>
      <c r="J75" s="3" t="s">
        <v>5072</v>
      </c>
      <c r="K75" s="3"/>
      <c r="L75" s="3" t="s">
        <v>5073</v>
      </c>
      <c r="M75" s="3" t="str">
        <f>HYPERLINK("https://ceds.ed.gov/cedselementdetails.aspx?termid=5588")</f>
        <v>https://ceds.ed.gov/cedselementdetails.aspx?termid=5588</v>
      </c>
      <c r="N75" s="3" t="str">
        <f>HYPERLINK("https://ceds.ed.gov/elementComment.aspx?elementName=Responsible School Type &amp;elementID=5588", "Click here to submit comment")</f>
        <v>Click here to submit comment</v>
      </c>
    </row>
    <row r="76" spans="1:14" ht="120">
      <c r="A76" s="3" t="s">
        <v>5214</v>
      </c>
      <c r="B76" s="3" t="s">
        <v>5215</v>
      </c>
      <c r="C76" s="3" t="s">
        <v>13</v>
      </c>
      <c r="D76" s="3" t="s">
        <v>6077</v>
      </c>
      <c r="E76" s="3" t="s">
        <v>6078</v>
      </c>
      <c r="F76" s="3" t="s">
        <v>66</v>
      </c>
      <c r="G76" s="3" t="s">
        <v>2031</v>
      </c>
      <c r="H76" s="3" t="s">
        <v>5216</v>
      </c>
      <c r="I76" s="3" t="s">
        <v>5217</v>
      </c>
      <c r="J76" s="3" t="s">
        <v>5218</v>
      </c>
      <c r="K76" s="3" t="s">
        <v>5219</v>
      </c>
      <c r="L76" s="3" t="s">
        <v>5220</v>
      </c>
      <c r="M76" s="3" t="str">
        <f>HYPERLINK("https://ceds.ed.gov/cedselementdetails.aspx?termid=5250")</f>
        <v>https://ceds.ed.gov/cedselementdetails.aspx?termid=5250</v>
      </c>
      <c r="N76" s="3" t="str">
        <f>HYPERLINK("https://ceds.ed.gov/elementComment.aspx?elementName=School Codes for the Exchange of Data Sequence of Course &amp;elementID=5250", "Click here to submit comment")</f>
        <v>Click here to submit comment</v>
      </c>
    </row>
    <row r="77" spans="1:14" ht="60">
      <c r="A77" s="3" t="s">
        <v>5390</v>
      </c>
      <c r="B77" s="3" t="s">
        <v>5391</v>
      </c>
      <c r="C77" s="3" t="s">
        <v>5963</v>
      </c>
      <c r="D77" s="3" t="s">
        <v>1708</v>
      </c>
      <c r="E77" s="3" t="s">
        <v>237</v>
      </c>
      <c r="F77" s="3" t="s">
        <v>66</v>
      </c>
      <c r="G77" s="3"/>
      <c r="H77" s="3" t="s">
        <v>94</v>
      </c>
      <c r="I77" s="3"/>
      <c r="J77" s="3" t="s">
        <v>5392</v>
      </c>
      <c r="K77" s="3"/>
      <c r="L77" s="3" t="s">
        <v>5393</v>
      </c>
      <c r="M77" s="3" t="str">
        <f>HYPERLINK("https://ceds.ed.gov/cedselementdetails.aspx?termid=5744")</f>
        <v>https://ceds.ed.gov/cedselementdetails.aspx?termid=5744</v>
      </c>
      <c r="N77" s="3" t="str">
        <f>HYPERLINK("https://ceds.ed.gov/elementComment.aspx?elementName=Sorority Participation Status &amp;elementID=5744", "Click here to submit comment")</f>
        <v>Click here to submit comment</v>
      </c>
    </row>
    <row r="78" spans="1:14" ht="409.5">
      <c r="A78" s="3" t="s">
        <v>5406</v>
      </c>
      <c r="B78" s="3" t="s">
        <v>5407</v>
      </c>
      <c r="C78" s="4" t="s">
        <v>6660</v>
      </c>
      <c r="D78" s="3" t="s">
        <v>6316</v>
      </c>
      <c r="E78" s="3" t="s">
        <v>218</v>
      </c>
      <c r="F78" s="3" t="s">
        <v>66</v>
      </c>
      <c r="G78" s="3"/>
      <c r="H78" s="3" t="s">
        <v>5408</v>
      </c>
      <c r="I78" s="3"/>
      <c r="J78" s="3" t="s">
        <v>5409</v>
      </c>
      <c r="K78" s="3"/>
      <c r="L78" s="3" t="s">
        <v>5410</v>
      </c>
      <c r="M78" s="3" t="str">
        <f>HYPERLINK("https://ceds.ed.gov/cedselementdetails.aspx?termid=5260")</f>
        <v>https://ceds.ed.gov/cedselementdetails.aspx?termid=5260</v>
      </c>
      <c r="N78" s="3" t="str">
        <f>HYPERLINK("https://ceds.ed.gov/elementComment.aspx?elementName=Special Education Exit Reason &amp;elementID=5260", "Click here to submit comment")</f>
        <v>Click here to submit comment</v>
      </c>
    </row>
    <row r="79" spans="1:14" ht="60">
      <c r="A79" s="3" t="s">
        <v>5510</v>
      </c>
      <c r="B79" s="3" t="s">
        <v>5511</v>
      </c>
      <c r="C79" s="3" t="s">
        <v>13</v>
      </c>
      <c r="D79" s="3" t="s">
        <v>1542</v>
      </c>
      <c r="E79" s="3" t="s">
        <v>202</v>
      </c>
      <c r="F79" s="3" t="s">
        <v>66</v>
      </c>
      <c r="G79" s="3" t="s">
        <v>73</v>
      </c>
      <c r="H79" s="3" t="s">
        <v>5512</v>
      </c>
      <c r="I79" s="3"/>
      <c r="J79" s="3" t="s">
        <v>5513</v>
      </c>
      <c r="K79" s="3"/>
      <c r="L79" s="3" t="s">
        <v>5514</v>
      </c>
      <c r="M79" s="3" t="str">
        <f>HYPERLINK("https://ceds.ed.gov/cedselementdetails.aspx?termid=6068")</f>
        <v>https://ceds.ed.gov/cedselementdetails.aspx?termid=6068</v>
      </c>
      <c r="N79" s="3" t="str">
        <f>HYPERLINK("https://ceds.ed.gov/elementComment.aspx?elementName=Staff Professional Development Activity Completion Date &amp;elementID=6068", "Click here to submit comment")</f>
        <v>Click here to submit comment</v>
      </c>
    </row>
    <row r="80" spans="1:14" ht="60">
      <c r="A80" s="3" t="s">
        <v>5515</v>
      </c>
      <c r="B80" s="3" t="s">
        <v>5516</v>
      </c>
      <c r="C80" s="3" t="s">
        <v>13</v>
      </c>
      <c r="D80" s="3" t="s">
        <v>1542</v>
      </c>
      <c r="E80" s="3" t="s">
        <v>202</v>
      </c>
      <c r="F80" s="3" t="s">
        <v>66</v>
      </c>
      <c r="G80" s="3" t="s">
        <v>73</v>
      </c>
      <c r="H80" s="3" t="s">
        <v>5512</v>
      </c>
      <c r="I80" s="3"/>
      <c r="J80" s="3" t="s">
        <v>5517</v>
      </c>
      <c r="K80" s="3"/>
      <c r="L80" s="3" t="s">
        <v>5518</v>
      </c>
      <c r="M80" s="3" t="str">
        <f>HYPERLINK("https://ceds.ed.gov/cedselementdetails.aspx?termid=6067")</f>
        <v>https://ceds.ed.gov/cedselementdetails.aspx?termid=6067</v>
      </c>
      <c r="N80" s="3" t="str">
        <f>HYPERLINK("https://ceds.ed.gov/elementComment.aspx?elementName=Staff Professional Development Activity Start Date &amp;elementID=6067", "Click here to submit comment")</f>
        <v>Click here to submit comment</v>
      </c>
    </row>
    <row r="81" spans="1:14" ht="45">
      <c r="A81" s="3" t="s">
        <v>5605</v>
      </c>
      <c r="B81" s="3" t="s">
        <v>5606</v>
      </c>
      <c r="C81" s="3" t="s">
        <v>5963</v>
      </c>
      <c r="D81" s="3" t="s">
        <v>4066</v>
      </c>
      <c r="E81" s="3"/>
      <c r="F81" s="3" t="s">
        <v>66</v>
      </c>
      <c r="G81" s="3"/>
      <c r="H81" s="3" t="s">
        <v>5607</v>
      </c>
      <c r="I81" s="3"/>
      <c r="J81" s="3" t="s">
        <v>5608</v>
      </c>
      <c r="K81" s="3"/>
      <c r="L81" s="3" t="s">
        <v>5609</v>
      </c>
      <c r="M81" s="3" t="str">
        <f>HYPERLINK("https://ceds.ed.gov/cedselementdetails.aspx?termid=6191")</f>
        <v>https://ceds.ed.gov/cedselementdetails.aspx?termid=6191</v>
      </c>
      <c r="N81" s="3" t="str">
        <f>HYPERLINK("https://ceds.ed.gov/elementComment.aspx?elementName=Student Course Section Mark Final Indicator &amp;elementID=6191", "Click here to submit comment")</f>
        <v>Click here to submit comment</v>
      </c>
    </row>
    <row r="82" spans="1:14" ht="240">
      <c r="A82" s="3" t="s">
        <v>5699</v>
      </c>
      <c r="B82" s="3" t="s">
        <v>5700</v>
      </c>
      <c r="C82" s="4" t="s">
        <v>6671</v>
      </c>
      <c r="D82" s="3" t="s">
        <v>6333</v>
      </c>
      <c r="E82" s="3" t="s">
        <v>344</v>
      </c>
      <c r="F82" s="3" t="s">
        <v>66</v>
      </c>
      <c r="G82" s="3"/>
      <c r="H82" s="3" t="s">
        <v>2527</v>
      </c>
      <c r="I82" s="3"/>
      <c r="J82" s="3" t="s">
        <v>5701</v>
      </c>
      <c r="K82" s="3"/>
      <c r="L82" s="3" t="s">
        <v>5702</v>
      </c>
      <c r="M82" s="3" t="str">
        <f>HYPERLINK("https://ceds.ed.gov/cedselementdetails.aspx?termid=5277")</f>
        <v>https://ceds.ed.gov/cedselementdetails.aspx?termid=5277</v>
      </c>
      <c r="N82" s="3" t="str">
        <f>HYPERLINK("https://ceds.ed.gov/elementComment.aspx?elementName=Teaching Credential Basis &amp;elementID=5277", "Click here to submit comment")</f>
        <v>Click here to submit comment</v>
      </c>
    </row>
    <row r="83" spans="1:14" ht="45">
      <c r="A83" s="3" t="s">
        <v>5740</v>
      </c>
      <c r="B83" s="3" t="s">
        <v>5741</v>
      </c>
      <c r="C83" s="3" t="s">
        <v>5963</v>
      </c>
      <c r="D83" s="3" t="s">
        <v>1471</v>
      </c>
      <c r="E83" s="3" t="s">
        <v>207</v>
      </c>
      <c r="F83" s="3" t="s">
        <v>66</v>
      </c>
      <c r="G83" s="3"/>
      <c r="H83" s="3" t="s">
        <v>2177</v>
      </c>
      <c r="I83" s="3"/>
      <c r="J83" s="3" t="s">
        <v>5742</v>
      </c>
      <c r="K83" s="3"/>
      <c r="L83" s="3" t="s">
        <v>5743</v>
      </c>
      <c r="M83" s="3" t="str">
        <f>HYPERLINK("https://ceds.ed.gov/cedselementdetails.aspx?termid=5473")</f>
        <v>https://ceds.ed.gov/cedselementdetails.aspx?termid=5473</v>
      </c>
      <c r="N83" s="3" t="str">
        <f>HYPERLINK("https://ceds.ed.gov/elementComment.aspx?elementName=Terminated Title III Programs Due to Failure &amp;elementID=5473", "Click here to submit comment")</f>
        <v>Click here to submit comment</v>
      </c>
    </row>
    <row r="84" spans="1:14" ht="409.5">
      <c r="A84" s="3" t="s">
        <v>5932</v>
      </c>
      <c r="B84" s="3" t="s">
        <v>5933</v>
      </c>
      <c r="C84" s="4" t="s">
        <v>6696</v>
      </c>
      <c r="D84" s="3" t="s">
        <v>5934</v>
      </c>
      <c r="E84" s="3"/>
      <c r="F84" s="3" t="s">
        <v>66</v>
      </c>
      <c r="G84" s="3"/>
      <c r="H84" s="3" t="s">
        <v>5935</v>
      </c>
      <c r="I84" s="3" t="s">
        <v>5936</v>
      </c>
      <c r="J84" s="3" t="s">
        <v>5937</v>
      </c>
      <c r="K84" s="3"/>
      <c r="L84" s="3" t="s">
        <v>5938</v>
      </c>
      <c r="M84" s="3" t="str">
        <f>HYPERLINK("https://ceds.ed.gov/cedselementdetails.aspx?termid=6000")</f>
        <v>https://ceds.ed.gov/cedselementdetails.aspx?termid=6000</v>
      </c>
      <c r="N84" s="3" t="str">
        <f>HYPERLINK("https://ceds.ed.gov/elementComment.aspx?elementName=Workforce Program Participation &amp;elementID=6000", "Click here to submit comment")</f>
        <v>Click here to submit comment</v>
      </c>
    </row>
    <row r="85" spans="1:14" ht="180">
      <c r="A85" s="3" t="s">
        <v>5939</v>
      </c>
      <c r="B85" s="3" t="s">
        <v>5940</v>
      </c>
      <c r="C85" s="3" t="s">
        <v>13</v>
      </c>
      <c r="D85" s="3" t="s">
        <v>5934</v>
      </c>
      <c r="E85" s="3"/>
      <c r="F85" s="3" t="s">
        <v>66</v>
      </c>
      <c r="G85" s="3" t="s">
        <v>73</v>
      </c>
      <c r="H85" s="3" t="s">
        <v>5941</v>
      </c>
      <c r="I85" s="3" t="s">
        <v>5942</v>
      </c>
      <c r="J85" s="3" t="s">
        <v>5943</v>
      </c>
      <c r="K85" s="3"/>
      <c r="L85" s="3" t="s">
        <v>5944</v>
      </c>
      <c r="M85" s="3" t="str">
        <f>HYPERLINK("https://ceds.ed.gov/cedselementdetails.aspx?termid=6002")</f>
        <v>https://ceds.ed.gov/cedselementdetails.aspx?termid=6002</v>
      </c>
      <c r="N85" s="3" t="str">
        <f>HYPERLINK("https://ceds.ed.gov/elementComment.aspx?elementName=Workforce Program Participation End Date &amp;elementID=6002", "Click here to submit comment")</f>
        <v>Click here to submit comment</v>
      </c>
    </row>
    <row r="86" spans="1:14" ht="180">
      <c r="A86" s="3" t="s">
        <v>5945</v>
      </c>
      <c r="B86" s="3" t="s">
        <v>5946</v>
      </c>
      <c r="C86" s="3" t="s">
        <v>13</v>
      </c>
      <c r="D86" s="3" t="s">
        <v>5934</v>
      </c>
      <c r="E86" s="3"/>
      <c r="F86" s="3" t="s">
        <v>66</v>
      </c>
      <c r="G86" s="3" t="s">
        <v>73</v>
      </c>
      <c r="H86" s="3" t="s">
        <v>5947</v>
      </c>
      <c r="I86" s="3" t="s">
        <v>5942</v>
      </c>
      <c r="J86" s="3" t="s">
        <v>5948</v>
      </c>
      <c r="K86" s="3"/>
      <c r="L86" s="3" t="s">
        <v>5949</v>
      </c>
      <c r="M86" s="3" t="str">
        <f>HYPERLINK("https://ceds.ed.gov/cedselementdetails.aspx?termid=6001")</f>
        <v>https://ceds.ed.gov/cedselementdetails.aspx?termid=6001</v>
      </c>
      <c r="N86" s="3" t="str">
        <f>HYPERLINK("https://ceds.ed.gov/elementComment.aspx?elementName=Workforce Program Participation Start Date &amp;elementID=6001", "Click here to submit comment")</f>
        <v>Click here to submit comment</v>
      </c>
    </row>
  </sheetData>
  <autoFilter ref="A1:O86"/>
  <hyperlinks>
    <hyperlink ref="C52" r:id="rId1" display="languageCodes.aspx"/>
    <hyperlink ref="C57" r:id="rId2" display="languageCodes.asp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13"/>
  <sheetViews>
    <sheetView workbookViewId="0">
      <pane ySplit="1" topLeftCell="A2" activePane="bottomLeft" state="frozen"/>
      <selection pane="bottomLeft" activeCell="A2" sqref="A2"/>
    </sheetView>
  </sheetViews>
  <sheetFormatPr defaultRowHeight="15"/>
  <cols>
    <col min="1" max="5" width="36.5703125" style="9" bestFit="1" customWidth="1"/>
    <col min="6" max="6" width="11.140625" style="9" bestFit="1" customWidth="1"/>
    <col min="7" max="9" width="36.5703125" style="9" bestFit="1" customWidth="1"/>
    <col min="10" max="10" width="9" style="9" bestFit="1" customWidth="1"/>
    <col min="11" max="12" width="36.5703125" style="9" bestFit="1" customWidth="1"/>
    <col min="13" max="13" width="57" style="9" customWidth="1"/>
    <col min="14" max="14" width="31.85546875" style="9" customWidth="1"/>
    <col min="15" max="16384" width="9.140625" style="9"/>
  </cols>
  <sheetData>
    <row r="1" spans="1:14" s="8" customFormat="1" ht="30">
      <c r="A1" s="1" t="s">
        <v>6697</v>
      </c>
      <c r="B1" s="1" t="s">
        <v>6698</v>
      </c>
      <c r="C1" s="1" t="s">
        <v>6699</v>
      </c>
      <c r="D1" s="1" t="s">
        <v>6700</v>
      </c>
      <c r="E1" s="1" t="s">
        <v>6710</v>
      </c>
      <c r="F1" s="1" t="s">
        <v>6701</v>
      </c>
      <c r="G1" s="1" t="s">
        <v>6702</v>
      </c>
      <c r="H1" s="1" t="s">
        <v>6703</v>
      </c>
      <c r="I1" s="1" t="s">
        <v>6704</v>
      </c>
      <c r="J1" s="2" t="s">
        <v>6705</v>
      </c>
      <c r="K1" s="1" t="s">
        <v>6706</v>
      </c>
      <c r="L1" s="1" t="s">
        <v>6707</v>
      </c>
      <c r="M1" s="1" t="s">
        <v>6708</v>
      </c>
      <c r="N1" s="1" t="s">
        <v>6709</v>
      </c>
    </row>
    <row r="2" spans="1:14" ht="60">
      <c r="A2" s="3" t="s">
        <v>80</v>
      </c>
      <c r="B2" s="3" t="s">
        <v>81</v>
      </c>
      <c r="C2" s="3" t="s">
        <v>13</v>
      </c>
      <c r="D2" s="3"/>
      <c r="E2" s="3"/>
      <c r="F2" s="3" t="s">
        <v>82</v>
      </c>
      <c r="G2" s="3" t="s">
        <v>73</v>
      </c>
      <c r="H2" s="3"/>
      <c r="I2" s="3" t="s">
        <v>83</v>
      </c>
      <c r="J2" s="3" t="s">
        <v>84</v>
      </c>
      <c r="K2" s="3"/>
      <c r="L2" s="3" t="s">
        <v>85</v>
      </c>
      <c r="M2" s="3" t="str">
        <f>HYPERLINK("https://ceds.ed.gov/cedselementdetails.aspx?termid=5899")</f>
        <v>https://ceds.ed.gov/cedselementdetails.aspx?termid=5899</v>
      </c>
      <c r="N2" s="3" t="str">
        <f>HYPERLINK("https://ceds.ed.gov/elementComment.aspx?elementName=Achievement Award Expires Date &amp;elementID=5899", "Click here to submit comment")</f>
        <v>Click here to submit comment</v>
      </c>
    </row>
    <row r="3" spans="1:14" ht="45">
      <c r="A3" s="3" t="s">
        <v>118</v>
      </c>
      <c r="B3" s="3" t="s">
        <v>119</v>
      </c>
      <c r="C3" s="3" t="s">
        <v>13</v>
      </c>
      <c r="D3" s="3"/>
      <c r="E3" s="3"/>
      <c r="F3" s="3" t="s">
        <v>82</v>
      </c>
      <c r="G3" s="3" t="s">
        <v>73</v>
      </c>
      <c r="H3" s="3"/>
      <c r="I3" s="3"/>
      <c r="J3" s="3" t="s">
        <v>120</v>
      </c>
      <c r="K3" s="3"/>
      <c r="L3" s="3" t="s">
        <v>121</v>
      </c>
      <c r="M3" s="3" t="str">
        <f>HYPERLINK("https://ceds.ed.gov/cedselementdetails.aspx?termid=5897")</f>
        <v>https://ceds.ed.gov/cedselementdetails.aspx?termid=5897</v>
      </c>
      <c r="N3" s="3" t="str">
        <f>HYPERLINK("https://ceds.ed.gov/elementComment.aspx?elementName=Achievement Date &amp;elementID=5897", "Click here to submit comment")</f>
        <v>Click here to submit comment</v>
      </c>
    </row>
    <row r="4" spans="1:14" ht="45">
      <c r="A4" s="3" t="s">
        <v>2794</v>
      </c>
      <c r="B4" s="3" t="s">
        <v>2795</v>
      </c>
      <c r="C4" s="3" t="s">
        <v>5963</v>
      </c>
      <c r="D4" s="3"/>
      <c r="E4" s="3"/>
      <c r="F4" s="3" t="s">
        <v>82</v>
      </c>
      <c r="G4" s="3"/>
      <c r="H4" s="3"/>
      <c r="I4" s="3"/>
      <c r="J4" s="3" t="s">
        <v>2796</v>
      </c>
      <c r="K4" s="3"/>
      <c r="L4" s="3" t="s">
        <v>2797</v>
      </c>
      <c r="M4" s="3" t="str">
        <f>HYPERLINK("https://ceds.ed.gov/cedselementdetails.aspx?termid=5783")</f>
        <v>https://ceds.ed.gov/cedselementdetails.aspx?termid=5783</v>
      </c>
      <c r="N4" s="3" t="str">
        <f>HYPERLINK("https://ceds.ed.gov/elementComment.aspx?elementName=Foster Care Status &amp;elementID=5783", "Click here to submit comment")</f>
        <v>Click here to submit comment</v>
      </c>
    </row>
    <row r="5" spans="1:14" ht="409.5">
      <c r="A5" s="3" t="s">
        <v>3648</v>
      </c>
      <c r="B5" s="3" t="s">
        <v>3649</v>
      </c>
      <c r="C5" s="4" t="s">
        <v>6566</v>
      </c>
      <c r="D5" s="3"/>
      <c r="E5" s="3"/>
      <c r="F5" s="3" t="s">
        <v>82</v>
      </c>
      <c r="G5" s="3"/>
      <c r="H5" s="3"/>
      <c r="I5" s="3" t="s">
        <v>3650</v>
      </c>
      <c r="J5" s="3" t="s">
        <v>3651</v>
      </c>
      <c r="K5" s="3"/>
      <c r="L5" s="3" t="s">
        <v>3652</v>
      </c>
      <c r="M5" s="3" t="str">
        <f>HYPERLINK("https://ceds.ed.gov/cedselementdetails.aspx?termid=5921")</f>
        <v>https://ceds.ed.gov/cedselementdetails.aspx?termid=5921</v>
      </c>
      <c r="N5" s="3" t="str">
        <f>HYPERLINK("https://ceds.ed.gov/elementComment.aspx?elementName=Learning Resource Media Type &amp;elementID=5921", "Click here to submit comment")</f>
        <v>Click here to submit comment</v>
      </c>
    </row>
    <row r="6" spans="1:14" ht="45">
      <c r="A6" s="3" t="s">
        <v>4455</v>
      </c>
      <c r="B6" s="3" t="s">
        <v>4456</v>
      </c>
      <c r="C6" s="3" t="s">
        <v>13</v>
      </c>
      <c r="D6" s="3"/>
      <c r="E6" s="3"/>
      <c r="F6" s="3" t="s">
        <v>82</v>
      </c>
      <c r="G6" s="3" t="s">
        <v>93</v>
      </c>
      <c r="H6" s="3"/>
      <c r="I6" s="3"/>
      <c r="J6" s="3" t="s">
        <v>4457</v>
      </c>
      <c r="K6" s="3"/>
      <c r="L6" s="3" t="s">
        <v>4458</v>
      </c>
      <c r="M6" s="3" t="str">
        <f>HYPERLINK("https://ceds.ed.gov/cedselementdetails.aspx?termid=6071")</f>
        <v>https://ceds.ed.gov/cedselementdetails.aspx?termid=6071</v>
      </c>
      <c r="N6" s="3" t="str">
        <f>HYPERLINK("https://ceds.ed.gov/elementComment.aspx?elementName=Performance Level Descriptive Feedback &amp;elementID=6071", "Click here to submit comment")</f>
        <v>Click here to submit comment</v>
      </c>
    </row>
    <row r="7" spans="1:14" ht="120">
      <c r="A7" s="3" t="s">
        <v>4516</v>
      </c>
      <c r="B7" s="3" t="s">
        <v>4517</v>
      </c>
      <c r="C7" s="3" t="s">
        <v>6282</v>
      </c>
      <c r="D7" s="3"/>
      <c r="E7" s="3" t="s">
        <v>24</v>
      </c>
      <c r="F7" s="3" t="s">
        <v>82</v>
      </c>
      <c r="G7" s="3"/>
      <c r="H7" s="3"/>
      <c r="I7" s="3"/>
      <c r="J7" s="3" t="s">
        <v>4518</v>
      </c>
      <c r="K7" s="3"/>
      <c r="L7" s="3" t="s">
        <v>4519</v>
      </c>
      <c r="M7" s="3" t="str">
        <f>HYPERLINK("https://ceds.ed.gov/cedselementdetails.aspx?termid=5215")</f>
        <v>https://ceds.ed.gov/cedselementdetails.aspx?termid=5215</v>
      </c>
      <c r="N7" s="3" t="str">
        <f>HYPERLINK("https://ceds.ed.gov/elementComment.aspx?elementName=Postsecondary Course Level &amp;elementID=5215", "Click here to submit comment")</f>
        <v>Click here to submit comment</v>
      </c>
    </row>
    <row r="8" spans="1:14" ht="409.5">
      <c r="A8" s="3" t="s">
        <v>4599</v>
      </c>
      <c r="B8" s="3" t="s">
        <v>4600</v>
      </c>
      <c r="C8" s="4" t="s">
        <v>6609</v>
      </c>
      <c r="D8" s="3"/>
      <c r="E8" s="3"/>
      <c r="F8" s="3" t="s">
        <v>82</v>
      </c>
      <c r="G8" s="3"/>
      <c r="H8" s="3"/>
      <c r="I8" s="3"/>
      <c r="J8" s="3" t="s">
        <v>4601</v>
      </c>
      <c r="K8" s="3"/>
      <c r="L8" s="3" t="s">
        <v>4602</v>
      </c>
      <c r="M8" s="3" t="str">
        <f>HYPERLINK("https://ceds.ed.gov/cedselementdetails.aspx?termid=5090")</f>
        <v>https://ceds.ed.gov/cedselementdetails.aspx?termid=5090</v>
      </c>
      <c r="N8" s="3" t="str">
        <f>HYPERLINK("https://ceds.ed.gov/elementComment.aspx?elementName=Prior to Secondary Course Identifier &amp;elementID=5090", "Click here to submit comment")</f>
        <v>Click here to submit comment</v>
      </c>
    </row>
    <row r="9" spans="1:14" ht="409.5">
      <c r="A9" s="3" t="s">
        <v>4603</v>
      </c>
      <c r="B9" s="3" t="s">
        <v>4604</v>
      </c>
      <c r="C9" s="4" t="s">
        <v>6610</v>
      </c>
      <c r="D9" s="3"/>
      <c r="E9" s="3"/>
      <c r="F9" s="3" t="s">
        <v>82</v>
      </c>
      <c r="G9" s="3"/>
      <c r="H9" s="3"/>
      <c r="I9" s="3"/>
      <c r="J9" s="3" t="s">
        <v>4605</v>
      </c>
      <c r="K9" s="3"/>
      <c r="L9" s="3" t="s">
        <v>4606</v>
      </c>
      <c r="M9" s="3" t="str">
        <f>HYPERLINK("https://ceds.ed.gov/cedselementdetails.aspx?termid=6118")</f>
        <v>https://ceds.ed.gov/cedselementdetails.aspx?termid=6118</v>
      </c>
      <c r="N9" s="3" t="str">
        <f>HYPERLINK("https://ceds.ed.gov/elementComment.aspx?elementName=Prior to Secondary Course Subject Area &amp;elementID=6118", "Click here to submit comment")</f>
        <v>Click here to submit comment</v>
      </c>
    </row>
    <row r="10" spans="1:14" ht="120">
      <c r="A10" s="3" t="s">
        <v>5272</v>
      </c>
      <c r="B10" s="3" t="s">
        <v>5273</v>
      </c>
      <c r="C10" s="3" t="s">
        <v>5274</v>
      </c>
      <c r="D10" s="3"/>
      <c r="E10" s="3" t="s">
        <v>6078</v>
      </c>
      <c r="F10" s="3" t="s">
        <v>82</v>
      </c>
      <c r="G10" s="3"/>
      <c r="H10" s="3"/>
      <c r="I10" s="3"/>
      <c r="J10" s="3" t="s">
        <v>5275</v>
      </c>
      <c r="K10" s="3"/>
      <c r="L10" s="3" t="s">
        <v>5276</v>
      </c>
      <c r="M10" s="3" t="str">
        <f>HYPERLINK("https://ceds.ed.gov/cedselementdetails.aspx?termid=5246")</f>
        <v>https://ceds.ed.gov/cedselementdetails.aspx?termid=5246</v>
      </c>
      <c r="N10" s="3" t="str">
        <f>HYPERLINK("https://ceds.ed.gov/elementComment.aspx?elementName=Secondary Course Identifier &amp;elementID=5246", "Click here to submit comment")</f>
        <v>Click here to submit comment</v>
      </c>
    </row>
    <row r="11" spans="1:14" ht="120">
      <c r="A11" s="3" t="s">
        <v>5277</v>
      </c>
      <c r="B11" s="3" t="s">
        <v>5278</v>
      </c>
      <c r="C11" s="4" t="s">
        <v>6651</v>
      </c>
      <c r="D11" s="3"/>
      <c r="E11" s="3" t="s">
        <v>6078</v>
      </c>
      <c r="F11" s="3" t="s">
        <v>82</v>
      </c>
      <c r="G11" s="3"/>
      <c r="H11" s="3"/>
      <c r="I11" s="3"/>
      <c r="J11" s="3" t="s">
        <v>5279</v>
      </c>
      <c r="K11" s="3"/>
      <c r="L11" s="3" t="s">
        <v>5280</v>
      </c>
      <c r="M11" s="3" t="str">
        <f>HYPERLINK("https://ceds.ed.gov/cedselementdetails.aspx?termid=5247")</f>
        <v>https://ceds.ed.gov/cedselementdetails.aspx?termid=5247</v>
      </c>
      <c r="N11" s="3" t="str">
        <f>HYPERLINK("https://ceds.ed.gov/elementComment.aspx?elementName=Secondary Course Level &amp;elementID=5247", "Click here to submit comment")</f>
        <v>Click here to submit comment</v>
      </c>
    </row>
    <row r="12" spans="1:14" ht="409.5">
      <c r="A12" s="3" t="s">
        <v>5281</v>
      </c>
      <c r="B12" s="3" t="s">
        <v>5282</v>
      </c>
      <c r="C12" s="4" t="s">
        <v>6652</v>
      </c>
      <c r="D12" s="3"/>
      <c r="E12" s="3" t="s">
        <v>6078</v>
      </c>
      <c r="F12" s="3" t="s">
        <v>82</v>
      </c>
      <c r="G12" s="3"/>
      <c r="H12" s="3"/>
      <c r="I12" s="3"/>
      <c r="J12" s="3" t="s">
        <v>5283</v>
      </c>
      <c r="K12" s="3"/>
      <c r="L12" s="3" t="s">
        <v>5284</v>
      </c>
      <c r="M12" s="3" t="str">
        <f>HYPERLINK("https://ceds.ed.gov/cedselementdetails.aspx?termid=5248")</f>
        <v>https://ceds.ed.gov/cedselementdetails.aspx?termid=5248</v>
      </c>
      <c r="N12" s="3" t="str">
        <f>HYPERLINK("https://ceds.ed.gov/elementComment.aspx?elementName=Secondary Course Subject Area &amp;elementID=5248", "Click here to submit comment")</f>
        <v>Click here to submit comment</v>
      </c>
    </row>
    <row r="13" spans="1:14" ht="409.5">
      <c r="A13" s="3" t="s">
        <v>5950</v>
      </c>
      <c r="B13" s="3" t="s">
        <v>5951</v>
      </c>
      <c r="C13" s="4" t="s">
        <v>6696</v>
      </c>
      <c r="D13" s="3"/>
      <c r="E13" s="3"/>
      <c r="F13" s="3" t="s">
        <v>82</v>
      </c>
      <c r="G13" s="3"/>
      <c r="H13" s="3"/>
      <c r="I13" s="3"/>
      <c r="J13" s="3" t="s">
        <v>5952</v>
      </c>
      <c r="K13" s="3"/>
      <c r="L13" s="3" t="s">
        <v>5953</v>
      </c>
      <c r="M13" s="3" t="str">
        <f>HYPERLINK("https://ceds.ed.gov/cedselementdetails.aspx?termid=5999")</f>
        <v>https://ceds.ed.gov/cedselementdetails.aspx?termid=5999</v>
      </c>
      <c r="N13" s="3" t="str">
        <f>HYPERLINK("https://ceds.ed.gov/elementComment.aspx?elementName=Workforce Program Participation While Enrolled in an Education Program &amp;elementID=5999", "Click here to submit comment")</f>
        <v>Click here to submit comment</v>
      </c>
    </row>
  </sheetData>
  <autoFilter ref="A1:O13"/>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N70"/>
  <sheetViews>
    <sheetView workbookViewId="0">
      <pane ySplit="1" topLeftCell="A2" activePane="bottomLeft" state="frozen"/>
      <selection pane="bottomLeft" activeCell="A2" sqref="A2"/>
    </sheetView>
  </sheetViews>
  <sheetFormatPr defaultRowHeight="15"/>
  <cols>
    <col min="1" max="5" width="36.5703125" style="9" bestFit="1" customWidth="1"/>
    <col min="6" max="6" width="11.140625" style="9" bestFit="1" customWidth="1"/>
    <col min="7" max="9" width="36.5703125" style="9" bestFit="1" customWidth="1"/>
    <col min="10" max="10" width="9" style="9" bestFit="1" customWidth="1"/>
    <col min="11" max="12" width="36.5703125" style="9" bestFit="1" customWidth="1"/>
    <col min="13" max="13" width="57" style="9" customWidth="1"/>
    <col min="14" max="14" width="31.85546875" style="9" customWidth="1"/>
    <col min="15" max="16384" width="9.140625" style="9"/>
  </cols>
  <sheetData>
    <row r="1" spans="1:14" s="8" customFormat="1" ht="30">
      <c r="A1" s="1" t="s">
        <v>6697</v>
      </c>
      <c r="B1" s="1" t="s">
        <v>6698</v>
      </c>
      <c r="C1" s="1" t="s">
        <v>6699</v>
      </c>
      <c r="D1" s="1" t="s">
        <v>6700</v>
      </c>
      <c r="E1" s="1" t="s">
        <v>6710</v>
      </c>
      <c r="F1" s="1" t="s">
        <v>6701</v>
      </c>
      <c r="G1" s="1" t="s">
        <v>6702</v>
      </c>
      <c r="H1" s="1" t="s">
        <v>6703</v>
      </c>
      <c r="I1" s="1" t="s">
        <v>6704</v>
      </c>
      <c r="J1" s="2" t="s">
        <v>6705</v>
      </c>
      <c r="K1" s="1" t="s">
        <v>6706</v>
      </c>
      <c r="L1" s="1" t="s">
        <v>6707</v>
      </c>
      <c r="M1" s="1" t="s">
        <v>6708</v>
      </c>
      <c r="N1" s="1" t="s">
        <v>6709</v>
      </c>
    </row>
    <row r="2" spans="1:14" ht="90">
      <c r="A2" s="3" t="s">
        <v>0</v>
      </c>
      <c r="B2" s="3" t="s">
        <v>1</v>
      </c>
      <c r="C2" s="3" t="s">
        <v>5963</v>
      </c>
      <c r="D2" s="3" t="s">
        <v>5964</v>
      </c>
      <c r="E2" s="3" t="s">
        <v>2</v>
      </c>
      <c r="F2" s="3" t="s">
        <v>3</v>
      </c>
      <c r="G2" s="3"/>
      <c r="H2" s="3"/>
      <c r="I2" s="3"/>
      <c r="J2" s="3" t="s">
        <v>4</v>
      </c>
      <c r="K2" s="3"/>
      <c r="L2" s="3" t="s">
        <v>5</v>
      </c>
      <c r="M2" s="3" t="str">
        <f>HYPERLINK("https://ceds.ed.gov/cedselementdetails.aspx?termid=5000")</f>
        <v>https://ceds.ed.gov/cedselementdetails.aspx?termid=5000</v>
      </c>
      <c r="N2" s="3" t="str">
        <f>HYPERLINK("https://ceds.ed.gov/elementComment.aspx?elementName=Ability Grouping Status &amp;elementID=5000", "Click here to submit comment")</f>
        <v>Click here to submit comment</v>
      </c>
    </row>
    <row r="3" spans="1:14" ht="285">
      <c r="A3" s="3" t="s">
        <v>18</v>
      </c>
      <c r="B3" s="3" t="s">
        <v>19</v>
      </c>
      <c r="C3" s="4" t="s">
        <v>6346</v>
      </c>
      <c r="D3" s="3" t="s">
        <v>5966</v>
      </c>
      <c r="E3" s="3" t="s">
        <v>5967</v>
      </c>
      <c r="F3" s="3" t="s">
        <v>3</v>
      </c>
      <c r="G3" s="3"/>
      <c r="H3" s="3"/>
      <c r="I3" s="3"/>
      <c r="J3" s="3" t="s">
        <v>20</v>
      </c>
      <c r="K3" s="3"/>
      <c r="L3" s="3" t="s">
        <v>21</v>
      </c>
      <c r="M3" s="3" t="str">
        <f>HYPERLINK("https://ceds.ed.gov/cedselementdetails.aspx?termid=5002")</f>
        <v>https://ceds.ed.gov/cedselementdetails.aspx?termid=5002</v>
      </c>
      <c r="N3" s="3" t="str">
        <f>HYPERLINK("https://ceds.ed.gov/elementComment.aspx?elementName=Academic Award Level Conferred &amp;elementID=5002", "Click here to submit comment")</f>
        <v>Click here to submit comment</v>
      </c>
    </row>
    <row r="4" spans="1:14" ht="409.5">
      <c r="A4" s="3" t="s">
        <v>170</v>
      </c>
      <c r="B4" s="3" t="s">
        <v>171</v>
      </c>
      <c r="C4" s="3" t="s">
        <v>13</v>
      </c>
      <c r="D4" s="3" t="s">
        <v>5972</v>
      </c>
      <c r="E4" s="3" t="s">
        <v>5973</v>
      </c>
      <c r="F4" s="3" t="s">
        <v>3</v>
      </c>
      <c r="G4" s="3" t="s">
        <v>100</v>
      </c>
      <c r="H4" s="3"/>
      <c r="I4" s="3"/>
      <c r="J4" s="3" t="s">
        <v>172</v>
      </c>
      <c r="K4" s="3"/>
      <c r="L4" s="3" t="s">
        <v>173</v>
      </c>
      <c r="M4" s="3" t="str">
        <f>HYPERLINK("https://ceds.ed.gov/cedselementdetails.aspx?termid=5019")</f>
        <v>https://ceds.ed.gov/cedselementdetails.aspx?termid=5019</v>
      </c>
      <c r="N4" s="3" t="str">
        <f>HYPERLINK("https://ceds.ed.gov/elementComment.aspx?elementName=Address Apartment Room or Suite Number &amp;elementID=5019", "Click here to submit comment")</f>
        <v>Click here to submit comment</v>
      </c>
    </row>
    <row r="5" spans="1:14" ht="409.5">
      <c r="A5" s="3" t="s">
        <v>174</v>
      </c>
      <c r="B5" s="3" t="s">
        <v>175</v>
      </c>
      <c r="C5" s="3" t="s">
        <v>13</v>
      </c>
      <c r="D5" s="3" t="s">
        <v>5972</v>
      </c>
      <c r="E5" s="3" t="s">
        <v>5973</v>
      </c>
      <c r="F5" s="3" t="s">
        <v>3</v>
      </c>
      <c r="G5" s="3" t="s">
        <v>100</v>
      </c>
      <c r="H5" s="3"/>
      <c r="I5" s="3"/>
      <c r="J5" s="3" t="s">
        <v>176</v>
      </c>
      <c r="K5" s="3"/>
      <c r="L5" s="3" t="s">
        <v>177</v>
      </c>
      <c r="M5" s="3" t="str">
        <f>HYPERLINK("https://ceds.ed.gov/cedselementdetails.aspx?termid=5040")</f>
        <v>https://ceds.ed.gov/cedselementdetails.aspx?termid=5040</v>
      </c>
      <c r="N5" s="3" t="str">
        <f>HYPERLINK("https://ceds.ed.gov/elementComment.aspx?elementName=Address City &amp;elementID=5040", "Click here to submit comment")</f>
        <v>Click here to submit comment</v>
      </c>
    </row>
    <row r="6" spans="1:14" ht="409.5">
      <c r="A6" s="3" t="s">
        <v>178</v>
      </c>
      <c r="B6" s="3" t="s">
        <v>179</v>
      </c>
      <c r="C6" s="3" t="s">
        <v>13</v>
      </c>
      <c r="D6" s="3" t="s">
        <v>5974</v>
      </c>
      <c r="E6" s="3" t="s">
        <v>5973</v>
      </c>
      <c r="F6" s="3" t="s">
        <v>3</v>
      </c>
      <c r="G6" s="3" t="s">
        <v>100</v>
      </c>
      <c r="H6" s="3"/>
      <c r="I6" s="3"/>
      <c r="J6" s="3" t="s">
        <v>180</v>
      </c>
      <c r="K6" s="3"/>
      <c r="L6" s="3" t="s">
        <v>181</v>
      </c>
      <c r="M6" s="3" t="str">
        <f>HYPERLINK("https://ceds.ed.gov/cedselementdetails.aspx?termid=5190")</f>
        <v>https://ceds.ed.gov/cedselementdetails.aspx?termid=5190</v>
      </c>
      <c r="N6" s="3" t="str">
        <f>HYPERLINK("https://ceds.ed.gov/elementComment.aspx?elementName=Address County Name &amp;elementID=5190", "Click here to submit comment")</f>
        <v>Click here to submit comment</v>
      </c>
    </row>
    <row r="7" spans="1:14" ht="409.5">
      <c r="A7" s="3" t="s">
        <v>182</v>
      </c>
      <c r="B7" s="3" t="s">
        <v>183</v>
      </c>
      <c r="C7" s="3" t="s">
        <v>13</v>
      </c>
      <c r="D7" s="3" t="s">
        <v>5972</v>
      </c>
      <c r="E7" s="3" t="s">
        <v>5973</v>
      </c>
      <c r="F7" s="3" t="s">
        <v>3</v>
      </c>
      <c r="G7" s="3" t="s">
        <v>184</v>
      </c>
      <c r="H7" s="3"/>
      <c r="I7" s="3"/>
      <c r="J7" s="3" t="s">
        <v>185</v>
      </c>
      <c r="K7" s="3"/>
      <c r="L7" s="3" t="s">
        <v>186</v>
      </c>
      <c r="M7" s="3" t="str">
        <f>HYPERLINK("https://ceds.ed.gov/cedselementdetails.aspx?termid=5214")</f>
        <v>https://ceds.ed.gov/cedselementdetails.aspx?termid=5214</v>
      </c>
      <c r="N7" s="3" t="str">
        <f>HYPERLINK("https://ceds.ed.gov/elementComment.aspx?elementName=Address Postal Code &amp;elementID=5214", "Click here to submit comment")</f>
        <v>Click here to submit comment</v>
      </c>
    </row>
    <row r="8" spans="1:14" ht="409.5">
      <c r="A8" s="3" t="s">
        <v>187</v>
      </c>
      <c r="B8" s="3" t="s">
        <v>188</v>
      </c>
      <c r="C8" s="3" t="s">
        <v>13</v>
      </c>
      <c r="D8" s="3" t="s">
        <v>5972</v>
      </c>
      <c r="E8" s="3" t="s">
        <v>5973</v>
      </c>
      <c r="F8" s="3" t="s">
        <v>3</v>
      </c>
      <c r="G8" s="3" t="s">
        <v>149</v>
      </c>
      <c r="H8" s="3"/>
      <c r="I8" s="3"/>
      <c r="J8" s="3" t="s">
        <v>189</v>
      </c>
      <c r="K8" s="3"/>
      <c r="L8" s="3" t="s">
        <v>190</v>
      </c>
      <c r="M8" s="3" t="str">
        <f>HYPERLINK("https://ceds.ed.gov/cedselementdetails.aspx?termid=5269")</f>
        <v>https://ceds.ed.gov/cedselementdetails.aspx?termid=5269</v>
      </c>
      <c r="N8" s="3" t="str">
        <f>HYPERLINK("https://ceds.ed.gov/elementComment.aspx?elementName=Address Street Number and Name &amp;elementID=5269", "Click here to submit comment")</f>
        <v>Click here to submit comment</v>
      </c>
    </row>
    <row r="9" spans="1:14" ht="255">
      <c r="A9" s="3" t="s">
        <v>196</v>
      </c>
      <c r="B9" s="3" t="s">
        <v>197</v>
      </c>
      <c r="C9" s="4" t="s">
        <v>6354</v>
      </c>
      <c r="D9" s="3" t="s">
        <v>5977</v>
      </c>
      <c r="E9" s="3" t="s">
        <v>5968</v>
      </c>
      <c r="F9" s="3" t="s">
        <v>3</v>
      </c>
      <c r="G9" s="3" t="s">
        <v>100</v>
      </c>
      <c r="H9" s="3"/>
      <c r="I9" s="3"/>
      <c r="J9" s="3" t="s">
        <v>198</v>
      </c>
      <c r="K9" s="3"/>
      <c r="L9" s="3" t="s">
        <v>199</v>
      </c>
      <c r="M9" s="3" t="str">
        <f>HYPERLINK("https://ceds.ed.gov/cedselementdetails.aspx?termid=5644")</f>
        <v>https://ceds.ed.gov/cedselementdetails.aspx?termid=5644</v>
      </c>
      <c r="N9" s="3" t="str">
        <f>HYPERLINK("https://ceds.ed.gov/elementComment.aspx?elementName=Address Type for Organization &amp;elementID=5644", "Click here to submit comment")</f>
        <v>Click here to submit comment</v>
      </c>
    </row>
    <row r="10" spans="1:14" ht="300">
      <c r="A10" s="3" t="s">
        <v>200</v>
      </c>
      <c r="B10" s="3" t="s">
        <v>201</v>
      </c>
      <c r="C10" s="4" t="s">
        <v>6355</v>
      </c>
      <c r="D10" s="3" t="s">
        <v>5978</v>
      </c>
      <c r="E10" s="3" t="s">
        <v>202</v>
      </c>
      <c r="F10" s="3" t="s">
        <v>3</v>
      </c>
      <c r="G10" s="3" t="s">
        <v>100</v>
      </c>
      <c r="H10" s="3"/>
      <c r="I10" s="3"/>
      <c r="J10" s="3" t="s">
        <v>203</v>
      </c>
      <c r="K10" s="3"/>
      <c r="L10" s="3" t="s">
        <v>204</v>
      </c>
      <c r="M10" s="3" t="str">
        <f>HYPERLINK("https://ceds.ed.gov/cedselementdetails.aspx?termid=5698")</f>
        <v>https://ceds.ed.gov/cedselementdetails.aspx?termid=5698</v>
      </c>
      <c r="N10" s="3" t="str">
        <f>HYPERLINK("https://ceds.ed.gov/elementComment.aspx?elementName=Address Type for Staff &amp;elementID=5698", "Click here to submit comment")</f>
        <v>Click here to submit comment</v>
      </c>
    </row>
    <row r="11" spans="1:14" ht="240">
      <c r="A11" s="3" t="s">
        <v>264</v>
      </c>
      <c r="B11" s="3" t="s">
        <v>265</v>
      </c>
      <c r="C11" s="4" t="s">
        <v>6364</v>
      </c>
      <c r="D11" s="3" t="s">
        <v>5981</v>
      </c>
      <c r="E11" s="3"/>
      <c r="F11" s="3" t="s">
        <v>3</v>
      </c>
      <c r="G11" s="3"/>
      <c r="H11" s="3"/>
      <c r="I11" s="3"/>
      <c r="J11" s="3" t="s">
        <v>266</v>
      </c>
      <c r="K11" s="3"/>
      <c r="L11" s="3" t="s">
        <v>267</v>
      </c>
      <c r="M11" s="3" t="str">
        <f>HYPERLINK("https://ceds.ed.gov/cedselementdetails.aspx?termid=5778")</f>
        <v>https://ceds.ed.gov/cedselementdetails.aspx?termid=5778</v>
      </c>
      <c r="N11" s="3" t="str">
        <f>HYPERLINK("https://ceds.ed.gov/elementComment.aspx?elementName=Adult Education Service Provider Identification System &amp;elementID=5778", "Click here to submit comment")</f>
        <v>Click here to submit comment</v>
      </c>
    </row>
    <row r="12" spans="1:14" ht="60">
      <c r="A12" s="3" t="s">
        <v>268</v>
      </c>
      <c r="B12" s="3" t="s">
        <v>269</v>
      </c>
      <c r="C12" s="3" t="s">
        <v>13</v>
      </c>
      <c r="D12" s="3" t="s">
        <v>5981</v>
      </c>
      <c r="E12" s="3"/>
      <c r="F12" s="3" t="s">
        <v>3</v>
      </c>
      <c r="G12" s="3" t="s">
        <v>100</v>
      </c>
      <c r="H12" s="3"/>
      <c r="I12" s="3"/>
      <c r="J12" s="3" t="s">
        <v>270</v>
      </c>
      <c r="K12" s="3"/>
      <c r="L12" s="3" t="s">
        <v>271</v>
      </c>
      <c r="M12" s="3" t="str">
        <f>HYPERLINK("https://ceds.ed.gov/cedselementdetails.aspx?termid=5777")</f>
        <v>https://ceds.ed.gov/cedselementdetails.aspx?termid=5777</v>
      </c>
      <c r="N12" s="3" t="str">
        <f>HYPERLINK("https://ceds.ed.gov/elementComment.aspx?elementName=Adult Education Service Provider Identifier &amp;elementID=5777", "Click here to submit comment")</f>
        <v>Click here to submit comment</v>
      </c>
    </row>
    <row r="13" spans="1:14" ht="300">
      <c r="A13" s="3" t="s">
        <v>399</v>
      </c>
      <c r="B13" s="3" t="s">
        <v>400</v>
      </c>
      <c r="C13" s="4" t="s">
        <v>6376</v>
      </c>
      <c r="D13" s="3" t="s">
        <v>5991</v>
      </c>
      <c r="E13" s="3" t="s">
        <v>5992</v>
      </c>
      <c r="F13" s="3" t="s">
        <v>3</v>
      </c>
      <c r="G13" s="3"/>
      <c r="H13" s="3"/>
      <c r="I13" s="3"/>
      <c r="J13" s="3" t="s">
        <v>401</v>
      </c>
      <c r="K13" s="3"/>
      <c r="L13" s="3" t="s">
        <v>402</v>
      </c>
      <c r="M13" s="3" t="str">
        <f>HYPERLINK("https://ceds.ed.gov/cedselementdetails.aspx?termid=5374")</f>
        <v>https://ceds.ed.gov/cedselementdetails.aspx?termid=5374</v>
      </c>
      <c r="N13" s="3" t="str">
        <f>HYPERLINK("https://ceds.ed.gov/elementComment.aspx?elementName=Assessment Accommodation Category &amp;elementID=5374", "Click here to submit comment")</f>
        <v>Click here to submit comment</v>
      </c>
    </row>
    <row r="14" spans="1:14" ht="165">
      <c r="A14" s="3" t="s">
        <v>1224</v>
      </c>
      <c r="B14" s="3" t="s">
        <v>1225</v>
      </c>
      <c r="C14" s="3" t="s">
        <v>5963</v>
      </c>
      <c r="D14" s="3" t="s">
        <v>6054</v>
      </c>
      <c r="E14" s="3" t="s">
        <v>5992</v>
      </c>
      <c r="F14" s="3" t="s">
        <v>3</v>
      </c>
      <c r="G14" s="3"/>
      <c r="H14" s="3"/>
      <c r="I14" s="3"/>
      <c r="J14" s="3" t="s">
        <v>1226</v>
      </c>
      <c r="K14" s="3"/>
      <c r="L14" s="3" t="s">
        <v>1227</v>
      </c>
      <c r="M14" s="3" t="str">
        <f>HYPERLINK("https://ceds.ed.gov/cedselementdetails.aspx?termid=5375")</f>
        <v>https://ceds.ed.gov/cedselementdetails.aspx?termid=5375</v>
      </c>
      <c r="N14" s="3" t="str">
        <f>HYPERLINK("https://ceds.ed.gov/elementComment.aspx?elementName=Assessment Secure Indicator &amp;elementID=5375", "Click here to submit comment")</f>
        <v>Click here to submit comment</v>
      </c>
    </row>
    <row r="15" spans="1:14" ht="360">
      <c r="A15" s="3" t="s">
        <v>1474</v>
      </c>
      <c r="B15" s="3" t="s">
        <v>1475</v>
      </c>
      <c r="C15" s="3" t="s">
        <v>13</v>
      </c>
      <c r="D15" s="3" t="s">
        <v>6079</v>
      </c>
      <c r="E15" s="3" t="s">
        <v>6080</v>
      </c>
      <c r="F15" s="3" t="s">
        <v>3</v>
      </c>
      <c r="G15" s="3" t="s">
        <v>73</v>
      </c>
      <c r="H15" s="3"/>
      <c r="I15" s="3"/>
      <c r="J15" s="3" t="s">
        <v>1476</v>
      </c>
      <c r="K15" s="3"/>
      <c r="L15" s="3" t="s">
        <v>1474</v>
      </c>
      <c r="M15" s="3" t="str">
        <f>HYPERLINK("https://ceds.ed.gov/cedselementdetails.aspx?termid=5033")</f>
        <v>https://ceds.ed.gov/cedselementdetails.aspx?termid=5033</v>
      </c>
      <c r="N15" s="3" t="str">
        <f>HYPERLINK("https://ceds.ed.gov/elementComment.aspx?elementName=Birthdate &amp;elementID=5033", "Click here to submit comment")</f>
        <v>Click here to submit comment</v>
      </c>
    </row>
    <row r="16" spans="1:14" ht="75">
      <c r="A16" s="3" t="s">
        <v>1700</v>
      </c>
      <c r="B16" s="3" t="s">
        <v>1701</v>
      </c>
      <c r="C16" s="5" t="s">
        <v>1702</v>
      </c>
      <c r="D16" s="3" t="s">
        <v>6099</v>
      </c>
      <c r="E16" s="3" t="s">
        <v>5967</v>
      </c>
      <c r="F16" s="3" t="s">
        <v>3</v>
      </c>
      <c r="G16" s="3"/>
      <c r="H16" s="3"/>
      <c r="I16" s="3"/>
      <c r="J16" s="3" t="s">
        <v>1703</v>
      </c>
      <c r="K16" s="3" t="s">
        <v>1704</v>
      </c>
      <c r="L16" s="3" t="s">
        <v>1705</v>
      </c>
      <c r="M16" s="3" t="str">
        <f>HYPERLINK("https://ceds.ed.gov/cedselementdetails.aspx?termid=5043")</f>
        <v>https://ceds.ed.gov/cedselementdetails.aspx?termid=5043</v>
      </c>
      <c r="N16" s="3" t="str">
        <f>HYPERLINK("https://ceds.ed.gov/elementComment.aspx?elementName=Classification of Instructional Program Code &amp;elementID=5043", "Click here to submit comment")</f>
        <v>Click here to submit comment</v>
      </c>
    </row>
    <row r="17" spans="1:14" ht="60">
      <c r="A17" s="3" t="s">
        <v>1734</v>
      </c>
      <c r="B17" s="3" t="s">
        <v>1735</v>
      </c>
      <c r="C17" s="3" t="s">
        <v>13</v>
      </c>
      <c r="D17" s="3" t="s">
        <v>6100</v>
      </c>
      <c r="E17" s="3" t="s">
        <v>6101</v>
      </c>
      <c r="F17" s="3" t="s">
        <v>3</v>
      </c>
      <c r="G17" s="3" t="s">
        <v>1736</v>
      </c>
      <c r="H17" s="3"/>
      <c r="I17" s="3"/>
      <c r="J17" s="3" t="s">
        <v>1737</v>
      </c>
      <c r="K17" s="3"/>
      <c r="L17" s="3" t="s">
        <v>1738</v>
      </c>
      <c r="M17" s="3" t="str">
        <f>HYPERLINK("https://ceds.ed.gov/cedselementdetails.aspx?termid=5577")</f>
        <v>https://ceds.ed.gov/cedselementdetails.aspx?termid=5577</v>
      </c>
      <c r="N17" s="3" t="str">
        <f>HYPERLINK("https://ceds.ed.gov/elementComment.aspx?elementName=Cohort Graduation Year &amp;elementID=5577", "Click here to submit comment")</f>
        <v>Click here to submit comment</v>
      </c>
    </row>
    <row r="18" spans="1:14" ht="409.5">
      <c r="A18" s="3" t="s">
        <v>1809</v>
      </c>
      <c r="B18" s="3" t="s">
        <v>1810</v>
      </c>
      <c r="C18" s="4" t="s">
        <v>6433</v>
      </c>
      <c r="D18" s="3" t="s">
        <v>6106</v>
      </c>
      <c r="E18" s="3" t="s">
        <v>6107</v>
      </c>
      <c r="F18" s="3" t="s">
        <v>3</v>
      </c>
      <c r="G18" s="3"/>
      <c r="H18" s="3"/>
      <c r="I18" s="3"/>
      <c r="J18" s="3" t="s">
        <v>1811</v>
      </c>
      <c r="K18" s="3"/>
      <c r="L18" s="3" t="s">
        <v>1812</v>
      </c>
      <c r="M18" s="3" t="str">
        <f>HYPERLINK("https://ceds.ed.gov/cedselementdetails.aspx?termid=5050")</f>
        <v>https://ceds.ed.gov/cedselementdetails.aspx?termid=5050</v>
      </c>
      <c r="N18" s="3" t="str">
        <f>HYPERLINK("https://ceds.ed.gov/elementComment.aspx?elementName=Country Code &amp;elementID=5050", "Click here to submit comment")</f>
        <v>Click here to submit comment</v>
      </c>
    </row>
    <row r="19" spans="1:14" ht="210">
      <c r="A19" s="3" t="s">
        <v>1962</v>
      </c>
      <c r="B19" s="3" t="s">
        <v>1963</v>
      </c>
      <c r="C19" s="4" t="s">
        <v>6445</v>
      </c>
      <c r="D19" s="3" t="s">
        <v>6119</v>
      </c>
      <c r="E19" s="3" t="s">
        <v>5968</v>
      </c>
      <c r="F19" s="3" t="s">
        <v>3</v>
      </c>
      <c r="G19" s="3"/>
      <c r="H19" s="3"/>
      <c r="I19" s="3"/>
      <c r="J19" s="3" t="s">
        <v>1964</v>
      </c>
      <c r="K19" s="3"/>
      <c r="L19" s="3" t="s">
        <v>1965</v>
      </c>
      <c r="M19" s="3" t="str">
        <f>HYPERLINK("https://ceds.ed.gov/cedselementdetails.aspx?termid=5065")</f>
        <v>https://ceds.ed.gov/cedselementdetails.aspx?termid=5065</v>
      </c>
      <c r="N19" s="3" t="str">
        <f>HYPERLINK("https://ceds.ed.gov/elementComment.aspx?elementName=Course Repeat Code &amp;elementID=5065", "Click here to submit comment")</f>
        <v>Click here to submit comment</v>
      </c>
    </row>
    <row r="20" spans="1:14" ht="105">
      <c r="A20" s="3" t="s">
        <v>2050</v>
      </c>
      <c r="B20" s="3" t="s">
        <v>2051</v>
      </c>
      <c r="C20" s="3" t="s">
        <v>6125</v>
      </c>
      <c r="D20" s="3" t="s">
        <v>6126</v>
      </c>
      <c r="E20" s="3"/>
      <c r="F20" s="3" t="s">
        <v>3</v>
      </c>
      <c r="G20" s="3"/>
      <c r="H20" s="3"/>
      <c r="I20" s="3"/>
      <c r="J20" s="3" t="s">
        <v>2052</v>
      </c>
      <c r="K20" s="3"/>
      <c r="L20" s="3" t="s">
        <v>2053</v>
      </c>
      <c r="M20" s="3" t="str">
        <f>HYPERLINK("https://ceds.ed.gov/cedselementdetails.aspx?termid=5071")</f>
        <v>https://ceds.ed.gov/cedselementdetails.aspx?termid=5071</v>
      </c>
      <c r="N20" s="3" t="str">
        <f>HYPERLINK("https://ceds.ed.gov/elementComment.aspx?elementName=Credential Type &amp;elementID=5071", "Click here to submit comment")</f>
        <v>Click here to submit comment</v>
      </c>
    </row>
    <row r="21" spans="1:14" ht="75">
      <c r="A21" s="3" t="s">
        <v>2208</v>
      </c>
      <c r="B21" s="3" t="s">
        <v>2209</v>
      </c>
      <c r="C21" s="3" t="s">
        <v>5963</v>
      </c>
      <c r="D21" s="3" t="s">
        <v>6137</v>
      </c>
      <c r="E21" s="3" t="s">
        <v>218</v>
      </c>
      <c r="F21" s="3" t="s">
        <v>3</v>
      </c>
      <c r="G21" s="3"/>
      <c r="H21" s="3"/>
      <c r="I21" s="3"/>
      <c r="J21" s="3" t="s">
        <v>2210</v>
      </c>
      <c r="K21" s="3"/>
      <c r="L21" s="3" t="s">
        <v>2211</v>
      </c>
      <c r="M21" s="3" t="str">
        <f>HYPERLINK("https://ceds.ed.gov/cedselementdetails.aspx?termid=5569")</f>
        <v>https://ceds.ed.gov/cedselementdetails.aspx?termid=5569</v>
      </c>
      <c r="N21" s="3" t="str">
        <f>HYPERLINK("https://ceds.ed.gov/elementComment.aspx?elementName=Disability Status &amp;elementID=5569", "Click here to submit comment")</f>
        <v>Click here to submit comment</v>
      </c>
    </row>
    <row r="22" spans="1:14" ht="300">
      <c r="A22" s="3" t="s">
        <v>2390</v>
      </c>
      <c r="B22" s="3" t="s">
        <v>2391</v>
      </c>
      <c r="C22" s="4" t="s">
        <v>6484</v>
      </c>
      <c r="D22" s="3" t="s">
        <v>2392</v>
      </c>
      <c r="E22" s="3" t="s">
        <v>2147</v>
      </c>
      <c r="F22" s="3" t="s">
        <v>3</v>
      </c>
      <c r="G22" s="3"/>
      <c r="H22" s="3"/>
      <c r="I22" s="3"/>
      <c r="J22" s="3" t="s">
        <v>2393</v>
      </c>
      <c r="K22" s="3"/>
      <c r="L22" s="3" t="s">
        <v>2394</v>
      </c>
      <c r="M22" s="3" t="str">
        <f>HYPERLINK("https://ceds.ed.gov/cedselementdetails.aspx?termid=5304")</f>
        <v>https://ceds.ed.gov/cedselementdetails.aspx?termid=5304</v>
      </c>
      <c r="N22" s="3" t="str">
        <f>HYPERLINK("https://ceds.ed.gov/elementComment.aspx?elementName=Early Learning Program Eligibility Category &amp;elementID=5304", "Click here to submit comment")</f>
        <v>Click here to submit comment</v>
      </c>
    </row>
    <row r="23" spans="1:14" ht="409.5">
      <c r="A23" s="3" t="s">
        <v>2451</v>
      </c>
      <c r="B23" s="3" t="s">
        <v>2452</v>
      </c>
      <c r="C23" s="3" t="s">
        <v>13</v>
      </c>
      <c r="D23" s="3" t="s">
        <v>6148</v>
      </c>
      <c r="E23" s="3" t="s">
        <v>5968</v>
      </c>
      <c r="F23" s="3" t="s">
        <v>3</v>
      </c>
      <c r="G23" s="3" t="s">
        <v>2453</v>
      </c>
      <c r="H23" s="3"/>
      <c r="I23" s="3"/>
      <c r="J23" s="3" t="s">
        <v>2454</v>
      </c>
      <c r="K23" s="3" t="s">
        <v>2455</v>
      </c>
      <c r="L23" s="3" t="s">
        <v>2456</v>
      </c>
      <c r="M23" s="3" t="str">
        <f>HYPERLINK("https://ceds.ed.gov/cedselementdetails.aspx?termid=5088")</f>
        <v>https://ceds.ed.gov/cedselementdetails.aspx?termid=5088</v>
      </c>
      <c r="N23" s="3" t="str">
        <f>HYPERLINK("https://ceds.ed.gov/elementComment.aspx?elementName=Electronic Mail Address &amp;elementID=5088", "Click here to submit comment")</f>
        <v>Click here to submit comment</v>
      </c>
    </row>
    <row r="24" spans="1:14" ht="409.5">
      <c r="A24" s="3" t="s">
        <v>2457</v>
      </c>
      <c r="B24" s="3" t="s">
        <v>2458</v>
      </c>
      <c r="C24" s="4" t="s">
        <v>6489</v>
      </c>
      <c r="D24" s="3" t="s">
        <v>6148</v>
      </c>
      <c r="E24" s="3" t="s">
        <v>5968</v>
      </c>
      <c r="F24" s="3" t="s">
        <v>3</v>
      </c>
      <c r="G24" s="3"/>
      <c r="H24" s="3"/>
      <c r="I24" s="3"/>
      <c r="J24" s="3" t="s">
        <v>2459</v>
      </c>
      <c r="K24" s="3" t="s">
        <v>2460</v>
      </c>
      <c r="L24" s="3" t="s">
        <v>2461</v>
      </c>
      <c r="M24" s="3" t="str">
        <f>HYPERLINK("https://ceds.ed.gov/cedselementdetails.aspx?termid=5089")</f>
        <v>https://ceds.ed.gov/cedselementdetails.aspx?termid=5089</v>
      </c>
      <c r="N24" s="3" t="str">
        <f>HYPERLINK("https://ceds.ed.gov/elementComment.aspx?elementName=Electronic Mail Address Type &amp;elementID=5089", "Click here to submit comment")</f>
        <v>Click here to submit comment</v>
      </c>
    </row>
    <row r="25" spans="1:14" ht="285">
      <c r="A25" s="3" t="s">
        <v>2492</v>
      </c>
      <c r="B25" s="3" t="s">
        <v>2493</v>
      </c>
      <c r="C25" s="3" t="s">
        <v>13</v>
      </c>
      <c r="D25" s="3" t="s">
        <v>6152</v>
      </c>
      <c r="E25" s="3" t="s">
        <v>202</v>
      </c>
      <c r="F25" s="3" t="s">
        <v>3</v>
      </c>
      <c r="G25" s="3" t="s">
        <v>73</v>
      </c>
      <c r="H25" s="3"/>
      <c r="I25" s="3"/>
      <c r="J25" s="3" t="s">
        <v>2494</v>
      </c>
      <c r="K25" s="3"/>
      <c r="L25" s="3" t="s">
        <v>2495</v>
      </c>
      <c r="M25" s="3" t="str">
        <f>HYPERLINK("https://ceds.ed.gov/cedselementdetails.aspx?termid=5794")</f>
        <v>https://ceds.ed.gov/cedselementdetails.aspx?termid=5794</v>
      </c>
      <c r="N25" s="3" t="str">
        <f>HYPERLINK("https://ceds.ed.gov/elementComment.aspx?elementName=Employment End Date &amp;elementID=5794", "Click here to submit comment")</f>
        <v>Click here to submit comment</v>
      </c>
    </row>
    <row r="26" spans="1:14" ht="285">
      <c r="A26" s="3" t="s">
        <v>2534</v>
      </c>
      <c r="B26" s="3" t="s">
        <v>2535</v>
      </c>
      <c r="C26" s="3" t="s">
        <v>13</v>
      </c>
      <c r="D26" s="3" t="s">
        <v>6152</v>
      </c>
      <c r="E26" s="3" t="s">
        <v>6154</v>
      </c>
      <c r="F26" s="3" t="s">
        <v>3</v>
      </c>
      <c r="G26" s="3" t="s">
        <v>73</v>
      </c>
      <c r="H26" s="3"/>
      <c r="I26" s="3"/>
      <c r="J26" s="3" t="s">
        <v>2536</v>
      </c>
      <c r="K26" s="3"/>
      <c r="L26" s="3" t="s">
        <v>2537</v>
      </c>
      <c r="M26" s="3" t="str">
        <f>HYPERLINK("https://ceds.ed.gov/cedselementdetails.aspx?termid=5345")</f>
        <v>https://ceds.ed.gov/cedselementdetails.aspx?termid=5345</v>
      </c>
      <c r="N26" s="3" t="str">
        <f>HYPERLINK("https://ceds.ed.gov/elementComment.aspx?elementName=Employment Start Date &amp;elementID=5345", "Click here to submit comment")</f>
        <v>Click here to submit comment</v>
      </c>
    </row>
    <row r="27" spans="1:14" ht="330">
      <c r="A27" s="3" t="s">
        <v>2570</v>
      </c>
      <c r="B27" s="3" t="s">
        <v>2571</v>
      </c>
      <c r="C27" s="4" t="s">
        <v>6499</v>
      </c>
      <c r="D27" s="3" t="s">
        <v>6161</v>
      </c>
      <c r="E27" s="3" t="s">
        <v>6084</v>
      </c>
      <c r="F27" s="3" t="s">
        <v>3</v>
      </c>
      <c r="G27" s="3"/>
      <c r="H27" s="3"/>
      <c r="I27" s="3"/>
      <c r="J27" s="3" t="s">
        <v>2572</v>
      </c>
      <c r="K27" s="3"/>
      <c r="L27" s="3" t="s">
        <v>2573</v>
      </c>
      <c r="M27" s="3" t="str">
        <f>HYPERLINK("https://ceds.ed.gov/cedselementdetails.aspx?termid=5100")</f>
        <v>https://ceds.ed.gov/cedselementdetails.aspx?termid=5100</v>
      </c>
      <c r="N27" s="3" t="str">
        <f>HYPERLINK("https://ceds.ed.gov/elementComment.aspx?elementName=Entry Grade Level &amp;elementID=5100", "Click here to submit comment")</f>
        <v>Click here to submit comment</v>
      </c>
    </row>
    <row r="28" spans="1:14" ht="330">
      <c r="A28" s="3" t="s">
        <v>2582</v>
      </c>
      <c r="B28" s="3" t="s">
        <v>2583</v>
      </c>
      <c r="C28" s="4" t="s">
        <v>6499</v>
      </c>
      <c r="D28" s="3" t="s">
        <v>6161</v>
      </c>
      <c r="E28" s="3"/>
      <c r="F28" s="3" t="s">
        <v>3</v>
      </c>
      <c r="G28" s="3"/>
      <c r="H28" s="3"/>
      <c r="I28" s="3"/>
      <c r="J28" s="3" t="s">
        <v>2584</v>
      </c>
      <c r="K28" s="3"/>
      <c r="L28" s="3" t="s">
        <v>2585</v>
      </c>
      <c r="M28" s="3" t="str">
        <f>HYPERLINK("https://ceds.ed.gov/cedselementdetails.aspx?termid=6177")</f>
        <v>https://ceds.ed.gov/cedselementdetails.aspx?termid=6177</v>
      </c>
      <c r="N28" s="3" t="str">
        <f>HYPERLINK("https://ceds.ed.gov/elementComment.aspx?elementName=Exit Grade Level &amp;elementID=6177", "Click here to submit comment")</f>
        <v>Click here to submit comment</v>
      </c>
    </row>
    <row r="29" spans="1:14" ht="409.5">
      <c r="A29" s="3" t="s">
        <v>2594</v>
      </c>
      <c r="B29" s="3" t="s">
        <v>2595</v>
      </c>
      <c r="C29" s="4" t="s">
        <v>6502</v>
      </c>
      <c r="D29" s="3" t="s">
        <v>6166</v>
      </c>
      <c r="E29" s="3"/>
      <c r="F29" s="3" t="s">
        <v>3</v>
      </c>
      <c r="G29" s="3"/>
      <c r="H29" s="3"/>
      <c r="I29" s="3"/>
      <c r="J29" s="3" t="s">
        <v>2596</v>
      </c>
      <c r="K29" s="3"/>
      <c r="L29" s="3" t="s">
        <v>2597</v>
      </c>
      <c r="M29" s="3" t="str">
        <f>HYPERLINK("https://ceds.ed.gov/cedselementdetails.aspx?termid=5222")</f>
        <v>https://ceds.ed.gov/cedselementdetails.aspx?termid=5222</v>
      </c>
      <c r="N29" s="3" t="str">
        <f>HYPERLINK("https://ceds.ed.gov/elementComment.aspx?elementName=Exit Reason &amp;elementID=5222", "Click here to submit comment")</f>
        <v>Click here to submit comment</v>
      </c>
    </row>
    <row r="30" spans="1:14" ht="90">
      <c r="A30" s="3" t="s">
        <v>2653</v>
      </c>
      <c r="B30" s="3" t="s">
        <v>2654</v>
      </c>
      <c r="C30" s="3" t="s">
        <v>13</v>
      </c>
      <c r="D30" s="3" t="s">
        <v>6169</v>
      </c>
      <c r="E30" s="3" t="s">
        <v>218</v>
      </c>
      <c r="F30" s="3" t="s">
        <v>3</v>
      </c>
      <c r="G30" s="3"/>
      <c r="H30" s="3"/>
      <c r="I30" s="3"/>
      <c r="J30" s="3" t="s">
        <v>2655</v>
      </c>
      <c r="K30" s="3"/>
      <c r="L30" s="3" t="s">
        <v>2656</v>
      </c>
      <c r="M30" s="3" t="str">
        <f>HYPERLINK("https://ceds.ed.gov/cedselementdetails.aspx?termid=5538")</f>
        <v>https://ceds.ed.gov/cedselementdetails.aspx?termid=5538</v>
      </c>
      <c r="N30" s="3" t="str">
        <f>HYPERLINK("https://ceds.ed.gov/elementComment.aspx?elementName=Federal Program Code &amp;elementID=5538", "Click here to submit comment")</f>
        <v>Click here to submit comment</v>
      </c>
    </row>
    <row r="31" spans="1:14" ht="135">
      <c r="A31" s="3" t="s">
        <v>2657</v>
      </c>
      <c r="B31" s="3" t="s">
        <v>2658</v>
      </c>
      <c r="C31" s="3" t="s">
        <v>13</v>
      </c>
      <c r="D31" s="3" t="s">
        <v>6170</v>
      </c>
      <c r="E31" s="3" t="s">
        <v>218</v>
      </c>
      <c r="F31" s="3" t="s">
        <v>3</v>
      </c>
      <c r="G31" s="3" t="s">
        <v>1461</v>
      </c>
      <c r="H31" s="3"/>
      <c r="I31" s="3"/>
      <c r="J31" s="3" t="s">
        <v>2659</v>
      </c>
      <c r="K31" s="3"/>
      <c r="L31" s="3" t="s">
        <v>2660</v>
      </c>
      <c r="M31" s="3" t="str">
        <f>HYPERLINK("https://ceds.ed.gov/cedselementdetails.aspx?termid=5540")</f>
        <v>https://ceds.ed.gov/cedselementdetails.aspx?termid=5540</v>
      </c>
      <c r="N31" s="3" t="str">
        <f>HYPERLINK("https://ceds.ed.gov/elementComment.aspx?elementName=Federal Programs Funding Allocation &amp;elementID=5540", "Click here to submit comment")</f>
        <v>Click here to submit comment</v>
      </c>
    </row>
    <row r="32" spans="1:14" ht="409.5">
      <c r="A32" s="3" t="s">
        <v>2776</v>
      </c>
      <c r="B32" s="3" t="s">
        <v>2777</v>
      </c>
      <c r="C32" s="3" t="s">
        <v>13</v>
      </c>
      <c r="D32" s="3" t="s">
        <v>6175</v>
      </c>
      <c r="E32" s="3" t="s">
        <v>6176</v>
      </c>
      <c r="F32" s="3" t="s">
        <v>3</v>
      </c>
      <c r="G32" s="3" t="s">
        <v>1368</v>
      </c>
      <c r="H32" s="3"/>
      <c r="I32" s="3" t="s">
        <v>2778</v>
      </c>
      <c r="J32" s="3" t="s">
        <v>2779</v>
      </c>
      <c r="K32" s="3"/>
      <c r="L32" s="3" t="s">
        <v>2780</v>
      </c>
      <c r="M32" s="3" t="str">
        <f>HYPERLINK("https://ceds.ed.gov/cedselementdetails.aspx?termid=5115")</f>
        <v>https://ceds.ed.gov/cedselementdetails.aspx?termid=5115</v>
      </c>
      <c r="N32" s="3" t="str">
        <f>HYPERLINK("https://ceds.ed.gov/elementComment.aspx?elementName=First Name &amp;elementID=5115", "Click here to submit comment")</f>
        <v>Click here to submit comment</v>
      </c>
    </row>
    <row r="33" spans="1:14" ht="409.5">
      <c r="A33" s="3" t="s">
        <v>2829</v>
      </c>
      <c r="B33" s="3" t="s">
        <v>2830</v>
      </c>
      <c r="C33" s="3" t="s">
        <v>13</v>
      </c>
      <c r="D33" s="3" t="s">
        <v>6175</v>
      </c>
      <c r="E33" s="3" t="s">
        <v>6179</v>
      </c>
      <c r="F33" s="3" t="s">
        <v>3</v>
      </c>
      <c r="G33" s="3" t="s">
        <v>2031</v>
      </c>
      <c r="H33" s="3"/>
      <c r="I33" s="3" t="s">
        <v>2778</v>
      </c>
      <c r="J33" s="3" t="s">
        <v>2831</v>
      </c>
      <c r="K33" s="3"/>
      <c r="L33" s="3" t="s">
        <v>2832</v>
      </c>
      <c r="M33" s="3" t="str">
        <f>HYPERLINK("https://ceds.ed.gov/cedselementdetails.aspx?termid=5121")</f>
        <v>https://ceds.ed.gov/cedselementdetails.aspx?termid=5121</v>
      </c>
      <c r="N33" s="3" t="str">
        <f>HYPERLINK("https://ceds.ed.gov/elementComment.aspx?elementName=Generation Code or Suffix &amp;elementID=5121", "Click here to submit comment")</f>
        <v>Click here to submit comment</v>
      </c>
    </row>
    <row r="34" spans="1:14" ht="60">
      <c r="A34" s="3" t="s">
        <v>2933</v>
      </c>
      <c r="B34" s="3" t="s">
        <v>2934</v>
      </c>
      <c r="C34" s="3" t="s">
        <v>13</v>
      </c>
      <c r="D34" s="3" t="s">
        <v>6189</v>
      </c>
      <c r="E34" s="3"/>
      <c r="F34" s="3" t="s">
        <v>3</v>
      </c>
      <c r="G34" s="3" t="s">
        <v>73</v>
      </c>
      <c r="H34" s="3"/>
      <c r="I34" s="3"/>
      <c r="J34" s="3" t="s">
        <v>2935</v>
      </c>
      <c r="K34" s="3"/>
      <c r="L34" s="3" t="s">
        <v>2936</v>
      </c>
      <c r="M34" s="3" t="str">
        <f>HYPERLINK("https://ceds.ed.gov/cedselementdetails.aspx?termid=5681")</f>
        <v>https://ceds.ed.gov/cedselementdetails.aspx?termid=5681</v>
      </c>
      <c r="N34" s="3" t="str">
        <f>HYPERLINK("https://ceds.ed.gov/elementComment.aspx?elementName=Hearing Screening Date &amp;elementID=5681", "Click here to submit comment")</f>
        <v>Click here to submit comment</v>
      </c>
    </row>
    <row r="35" spans="1:14" ht="60">
      <c r="A35" s="3" t="s">
        <v>2937</v>
      </c>
      <c r="B35" s="3" t="s">
        <v>2938</v>
      </c>
      <c r="C35" s="4" t="s">
        <v>6526</v>
      </c>
      <c r="D35" s="3" t="s">
        <v>6189</v>
      </c>
      <c r="E35" s="3" t="s">
        <v>2158</v>
      </c>
      <c r="F35" s="3" t="s">
        <v>3</v>
      </c>
      <c r="G35" s="3"/>
      <c r="H35" s="3"/>
      <c r="I35" s="3"/>
      <c r="J35" s="3" t="s">
        <v>2939</v>
      </c>
      <c r="K35" s="3"/>
      <c r="L35" s="3" t="s">
        <v>2940</v>
      </c>
      <c r="M35" s="3" t="str">
        <f>HYPERLINK("https://ceds.ed.gov/cedselementdetails.aspx?termid=5309")</f>
        <v>https://ceds.ed.gov/cedselementdetails.aspx?termid=5309</v>
      </c>
      <c r="N35" s="3" t="str">
        <f>HYPERLINK("https://ceds.ed.gov/elementComment.aspx?elementName=Hearing Screening Status &amp;elementID=5309", "Click here to submit comment")</f>
        <v>Click here to submit comment</v>
      </c>
    </row>
    <row r="36" spans="1:14" ht="210">
      <c r="A36" s="3" t="s">
        <v>2980</v>
      </c>
      <c r="B36" s="3" t="s">
        <v>2981</v>
      </c>
      <c r="C36" s="3" t="s">
        <v>13</v>
      </c>
      <c r="D36" s="3" t="s">
        <v>6196</v>
      </c>
      <c r="E36" s="3" t="s">
        <v>6197</v>
      </c>
      <c r="F36" s="3" t="s">
        <v>3</v>
      </c>
      <c r="G36" s="3" t="s">
        <v>73</v>
      </c>
      <c r="H36" s="3"/>
      <c r="I36" s="3" t="s">
        <v>2982</v>
      </c>
      <c r="J36" s="3" t="s">
        <v>2983</v>
      </c>
      <c r="K36" s="3"/>
      <c r="L36" s="3" t="s">
        <v>2984</v>
      </c>
      <c r="M36" s="3" t="str">
        <f>HYPERLINK("https://ceds.ed.gov/cedselementdetails.aspx?termid=5143")</f>
        <v>https://ceds.ed.gov/cedselementdetails.aspx?termid=5143</v>
      </c>
      <c r="N36" s="3" t="str">
        <f>HYPERLINK("https://ceds.ed.gov/elementComment.aspx?elementName=Hire Date &amp;elementID=5143", "Click here to submit comment")</f>
        <v>Click here to submit comment</v>
      </c>
    </row>
    <row r="37" spans="1:14" ht="285">
      <c r="A37" s="3" t="s">
        <v>3040</v>
      </c>
      <c r="B37" s="3" t="s">
        <v>3041</v>
      </c>
      <c r="C37" s="3" t="s">
        <v>5963</v>
      </c>
      <c r="D37" s="3" t="s">
        <v>6137</v>
      </c>
      <c r="E37" s="3" t="s">
        <v>6200</v>
      </c>
      <c r="F37" s="3" t="s">
        <v>3</v>
      </c>
      <c r="G37" s="3"/>
      <c r="H37" s="3"/>
      <c r="I37" s="3"/>
      <c r="J37" s="3" t="s">
        <v>3042</v>
      </c>
      <c r="K37" s="3"/>
      <c r="L37" s="3" t="s">
        <v>3043</v>
      </c>
      <c r="M37" s="3" t="str">
        <f>HYPERLINK("https://ceds.ed.gov/cedselementdetails.aspx?termid=5151")</f>
        <v>https://ceds.ed.gov/cedselementdetails.aspx?termid=5151</v>
      </c>
      <c r="N37" s="3" t="str">
        <f>HYPERLINK("https://ceds.ed.gov/elementComment.aspx?elementName=IDEA Indicator &amp;elementID=5151", "Click here to submit comment")</f>
        <v>Click here to submit comment</v>
      </c>
    </row>
    <row r="38" spans="1:14" ht="75">
      <c r="A38" s="3" t="s">
        <v>3199</v>
      </c>
      <c r="B38" s="3" t="s">
        <v>3200</v>
      </c>
      <c r="C38" s="3" t="s">
        <v>13</v>
      </c>
      <c r="D38" s="3" t="s">
        <v>6207</v>
      </c>
      <c r="E38" s="3"/>
      <c r="F38" s="3" t="s">
        <v>3</v>
      </c>
      <c r="G38" s="3" t="s">
        <v>73</v>
      </c>
      <c r="H38" s="3"/>
      <c r="I38" s="3"/>
      <c r="J38" s="3" t="s">
        <v>3201</v>
      </c>
      <c r="K38" s="3"/>
      <c r="L38" s="3" t="s">
        <v>3202</v>
      </c>
      <c r="M38" s="3" t="str">
        <f>HYPERLINK("https://ceds.ed.gov/cedselementdetails.aspx?termid=6197")</f>
        <v>https://ceds.ed.gov/cedselementdetails.aspx?termid=6197</v>
      </c>
      <c r="N38" s="3" t="str">
        <f>HYPERLINK("https://ceds.ed.gov/elementComment.aspx?elementName=Individualized Program Date &amp;elementID=6197", "Click here to submit comment")</f>
        <v>Click here to submit comment</v>
      </c>
    </row>
    <row r="39" spans="1:14" ht="75">
      <c r="A39" s="3" t="s">
        <v>3310</v>
      </c>
      <c r="B39" s="3" t="s">
        <v>3311</v>
      </c>
      <c r="C39" s="3" t="s">
        <v>13</v>
      </c>
      <c r="D39" s="3" t="s">
        <v>6211</v>
      </c>
      <c r="E39" s="3" t="s">
        <v>42</v>
      </c>
      <c r="F39" s="3" t="s">
        <v>3</v>
      </c>
      <c r="G39" s="3" t="s">
        <v>1461</v>
      </c>
      <c r="H39" s="3"/>
      <c r="I39" s="3"/>
      <c r="J39" s="3" t="s">
        <v>3312</v>
      </c>
      <c r="K39" s="3"/>
      <c r="L39" s="3" t="s">
        <v>3313</v>
      </c>
      <c r="M39" s="3" t="str">
        <f>HYPERLINK("https://ceds.ed.gov/cedselementdetails.aspx?termid=5361")</f>
        <v>https://ceds.ed.gov/cedselementdetails.aspx?termid=5361</v>
      </c>
      <c r="N39" s="3" t="str">
        <f>HYPERLINK("https://ceds.ed.gov/elementComment.aspx?elementName=Instructional Activity Hours Completed &amp;elementID=5361", "Click here to submit comment")</f>
        <v>Click here to submit comment</v>
      </c>
    </row>
    <row r="40" spans="1:14" ht="409.5">
      <c r="A40" s="3" t="s">
        <v>3427</v>
      </c>
      <c r="B40" s="3" t="s">
        <v>3428</v>
      </c>
      <c r="C40" s="3" t="s">
        <v>13</v>
      </c>
      <c r="D40" s="3" t="s">
        <v>6217</v>
      </c>
      <c r="E40" s="3" t="s">
        <v>6176</v>
      </c>
      <c r="F40" s="3" t="s">
        <v>3</v>
      </c>
      <c r="G40" s="3" t="s">
        <v>1368</v>
      </c>
      <c r="H40" s="3"/>
      <c r="I40" s="3" t="s">
        <v>2778</v>
      </c>
      <c r="J40" s="3" t="s">
        <v>3429</v>
      </c>
      <c r="K40" s="3" t="s">
        <v>3430</v>
      </c>
      <c r="L40" s="3" t="s">
        <v>3431</v>
      </c>
      <c r="M40" s="3" t="str">
        <f>HYPERLINK("https://ceds.ed.gov/cedselementdetails.aspx?termid=5172")</f>
        <v>https://ceds.ed.gov/cedselementdetails.aspx?termid=5172</v>
      </c>
      <c r="N40" s="3" t="str">
        <f>HYPERLINK("https://ceds.ed.gov/elementComment.aspx?elementName=Last or Surname &amp;elementID=5172", "Click here to submit comment")</f>
        <v>Click here to submit comment</v>
      </c>
    </row>
    <row r="41" spans="1:14" ht="150">
      <c r="A41" s="3" t="s">
        <v>3804</v>
      </c>
      <c r="B41" s="3" t="s">
        <v>3805</v>
      </c>
      <c r="C41" s="3" t="s">
        <v>13</v>
      </c>
      <c r="D41" s="3" t="s">
        <v>6243</v>
      </c>
      <c r="E41" s="3"/>
      <c r="F41" s="3" t="s">
        <v>3</v>
      </c>
      <c r="G41" s="3" t="s">
        <v>93</v>
      </c>
      <c r="H41" s="3"/>
      <c r="I41" s="3"/>
      <c r="J41" s="3" t="s">
        <v>3806</v>
      </c>
      <c r="K41" s="3"/>
      <c r="L41" s="3" t="s">
        <v>3807</v>
      </c>
      <c r="M41" s="3" t="str">
        <f>HYPERLINK("https://ceds.ed.gov/cedselementdetails.aspx?termid=5871")</f>
        <v>https://ceds.ed.gov/cedselementdetails.aspx?termid=5871</v>
      </c>
      <c r="N41" s="3" t="str">
        <f>HYPERLINK("https://ceds.ed.gov/elementComment.aspx?elementName=Learning Standard Item Association Identifier &amp;elementID=5871", "Click here to submit comment")</f>
        <v>Click here to submit comment</v>
      </c>
    </row>
    <row r="42" spans="1:14" ht="409.5">
      <c r="A42" s="3" t="s">
        <v>4088</v>
      </c>
      <c r="B42" s="3" t="s">
        <v>4089</v>
      </c>
      <c r="C42" s="3" t="s">
        <v>13</v>
      </c>
      <c r="D42" s="3" t="s">
        <v>6217</v>
      </c>
      <c r="E42" s="3" t="s">
        <v>6176</v>
      </c>
      <c r="F42" s="3" t="s">
        <v>3</v>
      </c>
      <c r="G42" s="3" t="s">
        <v>1368</v>
      </c>
      <c r="H42" s="3"/>
      <c r="I42" s="3" t="s">
        <v>2778</v>
      </c>
      <c r="J42" s="3" t="s">
        <v>4090</v>
      </c>
      <c r="K42" s="3"/>
      <c r="L42" s="3" t="s">
        <v>4091</v>
      </c>
      <c r="M42" s="3" t="str">
        <f>HYPERLINK("https://ceds.ed.gov/cedselementdetails.aspx?termid=5184")</f>
        <v>https://ceds.ed.gov/cedselementdetails.aspx?termid=5184</v>
      </c>
      <c r="N42" s="3" t="str">
        <f>HYPERLINK("https://ceds.ed.gov/elementComment.aspx?elementName=Middle Name &amp;elementID=5184", "Click here to submit comment")</f>
        <v>Click here to submit comment</v>
      </c>
    </row>
    <row r="43" spans="1:14" ht="270">
      <c r="A43" s="3" t="s">
        <v>4147</v>
      </c>
      <c r="B43" s="3" t="s">
        <v>4148</v>
      </c>
      <c r="C43" s="3" t="s">
        <v>5963</v>
      </c>
      <c r="D43" s="3" t="s">
        <v>6255</v>
      </c>
      <c r="E43" s="3" t="s">
        <v>6084</v>
      </c>
      <c r="F43" s="3" t="s">
        <v>3</v>
      </c>
      <c r="G43" s="3"/>
      <c r="H43" s="3"/>
      <c r="I43" s="3"/>
      <c r="J43" s="3" t="s">
        <v>4149</v>
      </c>
      <c r="K43" s="3"/>
      <c r="L43" s="3" t="s">
        <v>4150</v>
      </c>
      <c r="M43" s="3" t="str">
        <f>HYPERLINK("https://ceds.ed.gov/cedselementdetails.aspx?termid=5189")</f>
        <v>https://ceds.ed.gov/cedselementdetails.aspx?termid=5189</v>
      </c>
      <c r="N43" s="3" t="str">
        <f>HYPERLINK("https://ceds.ed.gov/elementComment.aspx?elementName=Migrant Status &amp;elementID=5189", "Click here to submit comment")</f>
        <v>Click here to submit comment</v>
      </c>
    </row>
    <row r="44" spans="1:14" ht="120">
      <c r="A44" s="3" t="s">
        <v>4341</v>
      </c>
      <c r="B44" s="3" t="s">
        <v>4342</v>
      </c>
      <c r="C44" s="3" t="s">
        <v>13</v>
      </c>
      <c r="D44" s="3" t="s">
        <v>6264</v>
      </c>
      <c r="E44" s="3" t="s">
        <v>65</v>
      </c>
      <c r="F44" s="3" t="s">
        <v>3</v>
      </c>
      <c r="G44" s="3" t="s">
        <v>100</v>
      </c>
      <c r="H44" s="3"/>
      <c r="I44" s="3"/>
      <c r="J44" s="3" t="s">
        <v>4343</v>
      </c>
      <c r="K44" s="3"/>
      <c r="L44" s="3" t="s">
        <v>4344</v>
      </c>
      <c r="M44" s="3" t="str">
        <f>HYPERLINK("https://ceds.ed.gov/cedselementdetails.aspx?termid=5825")</f>
        <v>https://ceds.ed.gov/cedselementdetails.aspx?termid=5825</v>
      </c>
      <c r="N44" s="3" t="str">
        <f>HYPERLINK("https://ceds.ed.gov/elementComment.aspx?elementName=Organization Identifier &amp;elementID=5825", "Click here to submit comment")</f>
        <v>Click here to submit comment</v>
      </c>
    </row>
    <row r="45" spans="1:14" ht="180">
      <c r="A45" s="3" t="s">
        <v>4349</v>
      </c>
      <c r="B45" s="3" t="s">
        <v>4350</v>
      </c>
      <c r="C45" s="3" t="s">
        <v>13</v>
      </c>
      <c r="D45" s="3" t="s">
        <v>6266</v>
      </c>
      <c r="E45" s="3" t="s">
        <v>202</v>
      </c>
      <c r="F45" s="3" t="s">
        <v>3</v>
      </c>
      <c r="G45" s="3" t="s">
        <v>106</v>
      </c>
      <c r="H45" s="3"/>
      <c r="I45" s="3"/>
      <c r="J45" s="3" t="s">
        <v>4351</v>
      </c>
      <c r="K45" s="3"/>
      <c r="L45" s="3" t="s">
        <v>4352</v>
      </c>
      <c r="M45" s="3" t="str">
        <f>HYPERLINK("https://ceds.ed.gov/cedselementdetails.aspx?termid=5204")</f>
        <v>https://ceds.ed.gov/cedselementdetails.aspx?termid=5204</v>
      </c>
      <c r="N45" s="3" t="str">
        <f>HYPERLINK("https://ceds.ed.gov/elementComment.aspx?elementName=Organization Name &amp;elementID=5204", "Click here to submit comment")</f>
        <v>Click here to submit comment</v>
      </c>
    </row>
    <row r="46" spans="1:14" ht="409.5">
      <c r="A46" s="3" t="s">
        <v>4390</v>
      </c>
      <c r="B46" s="3" t="s">
        <v>4391</v>
      </c>
      <c r="C46" s="3" t="s">
        <v>13</v>
      </c>
      <c r="D46" s="3" t="s">
        <v>6271</v>
      </c>
      <c r="E46" s="3" t="s">
        <v>6179</v>
      </c>
      <c r="F46" s="3" t="s">
        <v>3</v>
      </c>
      <c r="G46" s="3" t="s">
        <v>149</v>
      </c>
      <c r="H46" s="3"/>
      <c r="I46" s="3"/>
      <c r="J46" s="3" t="s">
        <v>4392</v>
      </c>
      <c r="K46" s="3"/>
      <c r="L46" s="3" t="s">
        <v>4393</v>
      </c>
      <c r="M46" s="3" t="str">
        <f>HYPERLINK("https://ceds.ed.gov/cedselementdetails.aspx?termid=5206")</f>
        <v>https://ceds.ed.gov/cedselementdetails.aspx?termid=5206</v>
      </c>
      <c r="N46" s="3" t="str">
        <f>HYPERLINK("https://ceds.ed.gov/elementComment.aspx?elementName=Other Name &amp;elementID=5206", "Click here to submit comment")</f>
        <v>Click here to submit comment</v>
      </c>
    </row>
    <row r="47" spans="1:14" ht="409.5">
      <c r="A47" s="3" t="s">
        <v>4394</v>
      </c>
      <c r="B47" s="3" t="s">
        <v>4395</v>
      </c>
      <c r="C47" s="4" t="s">
        <v>6593</v>
      </c>
      <c r="D47" s="3" t="s">
        <v>6272</v>
      </c>
      <c r="E47" s="3" t="s">
        <v>6273</v>
      </c>
      <c r="F47" s="3" t="s">
        <v>3</v>
      </c>
      <c r="G47" s="3" t="s">
        <v>100</v>
      </c>
      <c r="H47" s="3"/>
      <c r="I47" s="3"/>
      <c r="J47" s="3" t="s">
        <v>4396</v>
      </c>
      <c r="K47" s="3"/>
      <c r="L47" s="3" t="s">
        <v>4397</v>
      </c>
      <c r="M47" s="3" t="str">
        <f>HYPERLINK("https://ceds.ed.gov/cedselementdetails.aspx?termid=5627")</f>
        <v>https://ceds.ed.gov/cedselementdetails.aspx?termid=5627</v>
      </c>
      <c r="N47" s="3" t="str">
        <f>HYPERLINK("https://ceds.ed.gov/elementComment.aspx?elementName=Other Name Type &amp;elementID=5627", "Click here to submit comment")</f>
        <v>Click here to submit comment</v>
      </c>
    </row>
    <row r="48" spans="1:14" ht="409.5">
      <c r="A48" s="3" t="s">
        <v>4490</v>
      </c>
      <c r="B48" s="3" t="s">
        <v>4491</v>
      </c>
      <c r="C48" s="4" t="s">
        <v>6598</v>
      </c>
      <c r="D48" s="3" t="s">
        <v>6277</v>
      </c>
      <c r="E48" s="3" t="s">
        <v>1480</v>
      </c>
      <c r="F48" s="3" t="s">
        <v>3</v>
      </c>
      <c r="G48" s="3"/>
      <c r="H48" s="3"/>
      <c r="I48" s="3"/>
      <c r="J48" s="3" t="s">
        <v>4492</v>
      </c>
      <c r="K48" s="3"/>
      <c r="L48" s="3" t="s">
        <v>4493</v>
      </c>
      <c r="M48" s="3" t="str">
        <f>HYPERLINK("https://ceds.ed.gov/cedselementdetails.aspx?termid=5415")</f>
        <v>https://ceds.ed.gov/cedselementdetails.aspx?termid=5415</v>
      </c>
      <c r="N48" s="3" t="str">
        <f>HYPERLINK("https://ceds.ed.gov/elementComment.aspx?elementName=Person Relationship to Learner Type &amp;elementID=5415", "Click here to submit comment")</f>
        <v>Click here to submit comment</v>
      </c>
    </row>
    <row r="49" spans="1:14" ht="409.5">
      <c r="A49" s="3" t="s">
        <v>4494</v>
      </c>
      <c r="B49" s="3" t="s">
        <v>4495</v>
      </c>
      <c r="C49" s="4" t="s">
        <v>6599</v>
      </c>
      <c r="D49" s="3" t="s">
        <v>6278</v>
      </c>
      <c r="E49" s="3"/>
      <c r="F49" s="3" t="s">
        <v>3</v>
      </c>
      <c r="G49" s="3"/>
      <c r="H49" s="3"/>
      <c r="I49" s="3"/>
      <c r="J49" s="3" t="s">
        <v>4496</v>
      </c>
      <c r="K49" s="3"/>
      <c r="L49" s="3" t="s">
        <v>4497</v>
      </c>
      <c r="M49" s="3" t="str">
        <f>HYPERLINK("https://ceds.ed.gov/cedselementdetails.aspx?termid=5611")</f>
        <v>https://ceds.ed.gov/cedselementdetails.aspx?termid=5611</v>
      </c>
      <c r="N49" s="3" t="str">
        <f>HYPERLINK("https://ceds.ed.gov/elementComment.aspx?elementName=Personal Information Verification &amp;elementID=5611", "Click here to submit comment")</f>
        <v>Click here to submit comment</v>
      </c>
    </row>
    <row r="50" spans="1:14" ht="409.5">
      <c r="A50" s="3" t="s">
        <v>4498</v>
      </c>
      <c r="B50" s="3" t="s">
        <v>4499</v>
      </c>
      <c r="C50" s="3" t="s">
        <v>13</v>
      </c>
      <c r="D50" s="3" t="s">
        <v>6279</v>
      </c>
      <c r="E50" s="3" t="s">
        <v>6280</v>
      </c>
      <c r="F50" s="3" t="s">
        <v>3</v>
      </c>
      <c r="G50" s="3" t="s">
        <v>100</v>
      </c>
      <c r="H50" s="3"/>
      <c r="I50" s="3"/>
      <c r="J50" s="3" t="s">
        <v>4500</v>
      </c>
      <c r="K50" s="3" t="s">
        <v>4501</v>
      </c>
      <c r="L50" s="3" t="s">
        <v>4502</v>
      </c>
      <c r="M50" s="3" t="str">
        <f>HYPERLINK("https://ceds.ed.gov/cedselementdetails.aspx?termid=5212")</f>
        <v>https://ceds.ed.gov/cedselementdetails.aspx?termid=5212</v>
      </c>
      <c r="N50" s="3" t="str">
        <f>HYPERLINK("https://ceds.ed.gov/elementComment.aspx?elementName=Personal Title or Prefix &amp;elementID=5212", "Click here to submit comment")</f>
        <v>Click here to submit comment</v>
      </c>
    </row>
    <row r="51" spans="1:14" ht="105">
      <c r="A51" s="3" t="s">
        <v>4507</v>
      </c>
      <c r="B51" s="3" t="s">
        <v>4508</v>
      </c>
      <c r="C51" s="3" t="s">
        <v>13</v>
      </c>
      <c r="D51" s="3" t="s">
        <v>6281</v>
      </c>
      <c r="E51" s="3" t="s">
        <v>5968</v>
      </c>
      <c r="F51" s="3" t="s">
        <v>3</v>
      </c>
      <c r="G51" s="3" t="s">
        <v>1249</v>
      </c>
      <c r="H51" s="3"/>
      <c r="I51" s="3"/>
      <c r="J51" s="3" t="s">
        <v>4509</v>
      </c>
      <c r="K51" s="3"/>
      <c r="L51" s="3" t="s">
        <v>4510</v>
      </c>
      <c r="M51" s="3" t="str">
        <f>HYPERLINK("https://ceds.ed.gov/cedselementdetails.aspx?termid=5213")</f>
        <v>https://ceds.ed.gov/cedselementdetails.aspx?termid=5213</v>
      </c>
      <c r="N51" s="3" t="str">
        <f>HYPERLINK("https://ceds.ed.gov/elementComment.aspx?elementName=Position Title &amp;elementID=5213", "Click here to submit comment")</f>
        <v>Click here to submit comment</v>
      </c>
    </row>
    <row r="52" spans="1:14" ht="210">
      <c r="A52" s="3" t="s">
        <v>4587</v>
      </c>
      <c r="B52" s="3" t="s">
        <v>4588</v>
      </c>
      <c r="C52" s="4" t="s">
        <v>6607</v>
      </c>
      <c r="D52" s="3" t="s">
        <v>6285</v>
      </c>
      <c r="E52" s="3" t="s">
        <v>6286</v>
      </c>
      <c r="F52" s="3" t="s">
        <v>3</v>
      </c>
      <c r="G52" s="3"/>
      <c r="H52" s="3"/>
      <c r="I52" s="3"/>
      <c r="J52" s="3" t="s">
        <v>4589</v>
      </c>
      <c r="K52" s="3"/>
      <c r="L52" s="3" t="s">
        <v>4590</v>
      </c>
      <c r="M52" s="3" t="str">
        <f>HYPERLINK("https://ceds.ed.gov/cedselementdetails.aspx?termid=5218")</f>
        <v>https://ceds.ed.gov/cedselementdetails.aspx?termid=5218</v>
      </c>
      <c r="N52" s="3" t="str">
        <f>HYPERLINK("https://ceds.ed.gov/elementComment.aspx?elementName=Primary Disability Type &amp;elementID=5218", "Click here to submit comment")</f>
        <v>Click here to submit comment</v>
      </c>
    </row>
    <row r="53" spans="1:14" ht="409.5">
      <c r="A53" s="3" t="s">
        <v>4591</v>
      </c>
      <c r="B53" s="3" t="s">
        <v>4592</v>
      </c>
      <c r="C53" s="3" t="s">
        <v>5963</v>
      </c>
      <c r="D53" s="3" t="s">
        <v>6287</v>
      </c>
      <c r="E53" s="3" t="s">
        <v>5968</v>
      </c>
      <c r="F53" s="3" t="s">
        <v>3</v>
      </c>
      <c r="G53" s="3"/>
      <c r="H53" s="3"/>
      <c r="I53" s="3"/>
      <c r="J53" s="3" t="s">
        <v>4593</v>
      </c>
      <c r="K53" s="3"/>
      <c r="L53" s="3" t="s">
        <v>4594</v>
      </c>
      <c r="M53" s="3" t="str">
        <f>HYPERLINK("https://ceds.ed.gov/cedselementdetails.aspx?termid=5219")</f>
        <v>https://ceds.ed.gov/cedselementdetails.aspx?termid=5219</v>
      </c>
      <c r="N53" s="3" t="str">
        <f>HYPERLINK("https://ceds.ed.gov/elementComment.aspx?elementName=Primary Telephone Number Indicator &amp;elementID=5219", "Click here to submit comment")</f>
        <v>Click here to submit comment</v>
      </c>
    </row>
    <row r="54" spans="1:14" ht="60">
      <c r="A54" s="3" t="s">
        <v>4797</v>
      </c>
      <c r="B54" s="3" t="s">
        <v>4798</v>
      </c>
      <c r="C54" s="3" t="s">
        <v>13</v>
      </c>
      <c r="D54" s="3" t="s">
        <v>6297</v>
      </c>
      <c r="E54" s="3"/>
      <c r="F54" s="3" t="s">
        <v>3</v>
      </c>
      <c r="G54" s="3" t="s">
        <v>100</v>
      </c>
      <c r="H54" s="3"/>
      <c r="I54" s="3"/>
      <c r="J54" s="3" t="s">
        <v>4799</v>
      </c>
      <c r="K54" s="3"/>
      <c r="L54" s="3" t="s">
        <v>4800</v>
      </c>
      <c r="M54" s="3" t="str">
        <f>HYPERLINK("https://ceds.ed.gov/cedselementdetails.aspx?termid=5618")</f>
        <v>https://ceds.ed.gov/cedselementdetails.aspx?termid=5618</v>
      </c>
      <c r="N54" s="3" t="str">
        <f>HYPERLINK("https://ceds.ed.gov/elementComment.aspx?elementName=Program Identifier &amp;elementID=5618", "Click here to submit comment")</f>
        <v>Click here to submit comment</v>
      </c>
    </row>
    <row r="55" spans="1:14" ht="75">
      <c r="A55" s="3" t="s">
        <v>4813</v>
      </c>
      <c r="B55" s="3" t="s">
        <v>4814</v>
      </c>
      <c r="C55" s="3" t="s">
        <v>13</v>
      </c>
      <c r="D55" s="3" t="s">
        <v>6298</v>
      </c>
      <c r="E55" s="3"/>
      <c r="F55" s="3" t="s">
        <v>3</v>
      </c>
      <c r="G55" s="3" t="s">
        <v>106</v>
      </c>
      <c r="H55" s="3"/>
      <c r="I55" s="3"/>
      <c r="J55" s="3" t="s">
        <v>4815</v>
      </c>
      <c r="K55" s="3"/>
      <c r="L55" s="3" t="s">
        <v>4816</v>
      </c>
      <c r="M55" s="3" t="str">
        <f>HYPERLINK("https://ceds.ed.gov/cedselementdetails.aspx?termid=5619")</f>
        <v>https://ceds.ed.gov/cedselementdetails.aspx?termid=5619</v>
      </c>
      <c r="N55" s="3" t="str">
        <f>HYPERLINK("https://ceds.ed.gov/elementComment.aspx?elementName=Program Name &amp;elementID=5619", "Click here to submit comment")</f>
        <v>Click here to submit comment</v>
      </c>
    </row>
    <row r="56" spans="1:14" ht="120">
      <c r="A56" s="3" t="s">
        <v>5049</v>
      </c>
      <c r="B56" s="3" t="s">
        <v>5050</v>
      </c>
      <c r="C56" s="4" t="s">
        <v>6641</v>
      </c>
      <c r="D56" s="3" t="s">
        <v>6304</v>
      </c>
      <c r="E56" s="3" t="s">
        <v>218</v>
      </c>
      <c r="F56" s="3" t="s">
        <v>3</v>
      </c>
      <c r="G56" s="3"/>
      <c r="H56" s="3"/>
      <c r="I56" s="3"/>
      <c r="J56" s="3" t="s">
        <v>5051</v>
      </c>
      <c r="K56" s="3"/>
      <c r="L56" s="3" t="s">
        <v>5052</v>
      </c>
      <c r="M56" s="3" t="str">
        <f>HYPERLINK("https://ceds.ed.gov/cedselementdetails.aspx?termid=5587")</f>
        <v>https://ceds.ed.gov/cedselementdetails.aspx?termid=5587</v>
      </c>
      <c r="N56" s="3" t="str">
        <f>HYPERLINK("https://ceds.ed.gov/elementComment.aspx?elementName=Responsible District Type &amp;elementID=5587", "Click here to submit comment")</f>
        <v>Click here to submit comment</v>
      </c>
    </row>
    <row r="57" spans="1:14" ht="60">
      <c r="A57" s="3" t="s">
        <v>5059</v>
      </c>
      <c r="B57" s="3" t="s">
        <v>5060</v>
      </c>
      <c r="C57" s="3" t="s">
        <v>13</v>
      </c>
      <c r="D57" s="3" t="s">
        <v>6305</v>
      </c>
      <c r="E57" s="3" t="s">
        <v>6104</v>
      </c>
      <c r="F57" s="3" t="s">
        <v>3</v>
      </c>
      <c r="G57" s="3" t="s">
        <v>106</v>
      </c>
      <c r="H57" s="3"/>
      <c r="I57" s="3"/>
      <c r="J57" s="3" t="s">
        <v>5061</v>
      </c>
      <c r="K57" s="3"/>
      <c r="L57" s="3" t="s">
        <v>5062</v>
      </c>
      <c r="M57" s="3" t="str">
        <f>HYPERLINK("https://ceds.ed.gov/cedselementdetails.aspx?termid=5624")</f>
        <v>https://ceds.ed.gov/cedselementdetails.aspx?termid=5624</v>
      </c>
      <c r="N57" s="3" t="str">
        <f>HYPERLINK("https://ceds.ed.gov/elementComment.aspx?elementName=Responsible Organization Name &amp;elementID=5624", "Click here to submit comment")</f>
        <v>Click here to submit comment</v>
      </c>
    </row>
    <row r="58" spans="1:14" ht="360">
      <c r="A58" s="3" t="s">
        <v>5353</v>
      </c>
      <c r="B58" s="3" t="s">
        <v>5354</v>
      </c>
      <c r="C58" s="4" t="s">
        <v>6656</v>
      </c>
      <c r="D58" s="3" t="s">
        <v>6311</v>
      </c>
      <c r="E58" s="3" t="s">
        <v>6312</v>
      </c>
      <c r="F58" s="3" t="s">
        <v>3</v>
      </c>
      <c r="G58" s="3"/>
      <c r="H58" s="3"/>
      <c r="I58" s="3" t="s">
        <v>5355</v>
      </c>
      <c r="J58" s="3" t="s">
        <v>5356</v>
      </c>
      <c r="K58" s="3"/>
      <c r="L58" s="3" t="s">
        <v>5353</v>
      </c>
      <c r="M58" s="3" t="str">
        <f>HYPERLINK("https://ceds.ed.gov/cedselementdetails.aspx?termid=5255")</f>
        <v>https://ceds.ed.gov/cedselementdetails.aspx?termid=5255</v>
      </c>
      <c r="N58" s="3" t="str">
        <f>HYPERLINK("https://ceds.ed.gov/elementComment.aspx?elementName=Sex &amp;elementID=5255", "Click here to submit comment")</f>
        <v>Click here to submit comment</v>
      </c>
    </row>
    <row r="59" spans="1:14" ht="135">
      <c r="A59" s="3" t="s">
        <v>5370</v>
      </c>
      <c r="B59" s="3" t="s">
        <v>5371</v>
      </c>
      <c r="C59" s="3" t="s">
        <v>5963</v>
      </c>
      <c r="D59" s="3" t="s">
        <v>6313</v>
      </c>
      <c r="E59" s="3" t="s">
        <v>6101</v>
      </c>
      <c r="F59" s="3" t="s">
        <v>3</v>
      </c>
      <c r="G59" s="3"/>
      <c r="H59" s="3"/>
      <c r="I59" s="3"/>
      <c r="J59" s="3" t="s">
        <v>5372</v>
      </c>
      <c r="K59" s="3"/>
      <c r="L59" s="3" t="s">
        <v>5373</v>
      </c>
      <c r="M59" s="3" t="str">
        <f>HYPERLINK("https://ceds.ed.gov/cedselementdetails.aspx?termid=5573")</f>
        <v>https://ceds.ed.gov/cedselementdetails.aspx?termid=5573</v>
      </c>
      <c r="N59" s="3" t="str">
        <f>HYPERLINK("https://ceds.ed.gov/elementComment.aspx?elementName=Single Parent Or Single Pregnant Woman Status &amp;elementID=5573", "Click here to submit comment")</f>
        <v>Click here to submit comment</v>
      </c>
    </row>
    <row r="60" spans="1:14" ht="409.5">
      <c r="A60" s="3" t="s">
        <v>5383</v>
      </c>
      <c r="B60" s="3" t="s">
        <v>5384</v>
      </c>
      <c r="C60" s="3" t="s">
        <v>13</v>
      </c>
      <c r="D60" s="3" t="s">
        <v>6314</v>
      </c>
      <c r="E60" s="3" t="s">
        <v>6315</v>
      </c>
      <c r="F60" s="3" t="s">
        <v>3</v>
      </c>
      <c r="G60" s="3" t="s">
        <v>5385</v>
      </c>
      <c r="H60" s="3"/>
      <c r="I60" s="3" t="s">
        <v>5386</v>
      </c>
      <c r="J60" s="3" t="s">
        <v>5387</v>
      </c>
      <c r="K60" s="3" t="s">
        <v>5388</v>
      </c>
      <c r="L60" s="3" t="s">
        <v>5389</v>
      </c>
      <c r="M60" s="3" t="str">
        <f>HYPERLINK("https://ceds.ed.gov/cedselementdetails.aspx?termid=5259")</f>
        <v>https://ceds.ed.gov/cedselementdetails.aspx?termid=5259</v>
      </c>
      <c r="N60" s="3" t="str">
        <f>HYPERLINK("https://ceds.ed.gov/elementComment.aspx?elementName=Social Security Number &amp;elementID=5259", "Click here to submit comment")</f>
        <v>Click here to submit comment</v>
      </c>
    </row>
    <row r="61" spans="1:14" ht="225">
      <c r="A61" s="3" t="s">
        <v>5447</v>
      </c>
      <c r="B61" s="3" t="s">
        <v>5448</v>
      </c>
      <c r="C61" s="3" t="s">
        <v>13</v>
      </c>
      <c r="D61" s="3" t="s">
        <v>6153</v>
      </c>
      <c r="E61" s="3" t="s">
        <v>1780</v>
      </c>
      <c r="F61" s="3" t="s">
        <v>3</v>
      </c>
      <c r="G61" s="3" t="s">
        <v>1461</v>
      </c>
      <c r="H61" s="3"/>
      <c r="I61" s="3" t="s">
        <v>5449</v>
      </c>
      <c r="J61" s="3" t="s">
        <v>5450</v>
      </c>
      <c r="K61" s="3"/>
      <c r="L61" s="3" t="s">
        <v>5451</v>
      </c>
      <c r="M61" s="3" t="str">
        <f>HYPERLINK("https://ceds.ed.gov/cedselementdetails.aspx?termid=5032")</f>
        <v>https://ceds.ed.gov/cedselementdetails.aspx?termid=5032</v>
      </c>
      <c r="N61" s="3" t="str">
        <f>HYPERLINK("https://ceds.ed.gov/elementComment.aspx?elementName=Staff Compensation Base Salary &amp;elementID=5032", "Click here to submit comment")</f>
        <v>Click here to submit comment</v>
      </c>
    </row>
    <row r="62" spans="1:14" ht="60">
      <c r="A62" s="3" t="s">
        <v>5496</v>
      </c>
      <c r="B62" s="3" t="s">
        <v>5497</v>
      </c>
      <c r="C62" s="3" t="s">
        <v>13</v>
      </c>
      <c r="D62" s="3" t="s">
        <v>6318</v>
      </c>
      <c r="E62" s="3" t="s">
        <v>6319</v>
      </c>
      <c r="F62" s="3" t="s">
        <v>3</v>
      </c>
      <c r="G62" s="3" t="s">
        <v>5498</v>
      </c>
      <c r="H62" s="3"/>
      <c r="I62" s="3"/>
      <c r="J62" s="3" t="s">
        <v>5499</v>
      </c>
      <c r="K62" s="3" t="s">
        <v>5500</v>
      </c>
      <c r="L62" s="3" t="s">
        <v>5501</v>
      </c>
      <c r="M62" s="3" t="str">
        <f>HYPERLINK("https://ceds.ed.gov/cedselementdetails.aspx?termid=5118")</f>
        <v>https://ceds.ed.gov/cedselementdetails.aspx?termid=5118</v>
      </c>
      <c r="N62" s="3" t="str">
        <f>HYPERLINK("https://ceds.ed.gov/elementComment.aspx?elementName=Staff Full Time Equivalency &amp;elementID=5118", "Click here to submit comment")</f>
        <v>Click here to submit comment</v>
      </c>
    </row>
    <row r="63" spans="1:14" ht="345">
      <c r="A63" s="3" t="s">
        <v>5502</v>
      </c>
      <c r="B63" s="3" t="s">
        <v>5503</v>
      </c>
      <c r="C63" s="4" t="s">
        <v>6662</v>
      </c>
      <c r="D63" s="3" t="s">
        <v>6320</v>
      </c>
      <c r="E63" s="3" t="s">
        <v>6321</v>
      </c>
      <c r="F63" s="3" t="s">
        <v>3</v>
      </c>
      <c r="G63" s="3"/>
      <c r="H63" s="3"/>
      <c r="I63" s="3"/>
      <c r="J63" s="3" t="s">
        <v>5504</v>
      </c>
      <c r="K63" s="3"/>
      <c r="L63" s="3" t="s">
        <v>5505</v>
      </c>
      <c r="M63" s="3" t="str">
        <f>HYPERLINK("https://ceds.ed.gov/cedselementdetails.aspx?termid=5162")</f>
        <v>https://ceds.ed.gov/cedselementdetails.aspx?termid=5162</v>
      </c>
      <c r="N63" s="3" t="str">
        <f>HYPERLINK("https://ceds.ed.gov/elementComment.aspx?elementName=Staff Member Identification System &amp;elementID=5162", "Click here to submit comment")</f>
        <v>Click here to submit comment</v>
      </c>
    </row>
    <row r="64" spans="1:14" ht="345">
      <c r="A64" s="3" t="s">
        <v>5506</v>
      </c>
      <c r="B64" s="3" t="s">
        <v>5507</v>
      </c>
      <c r="C64" s="3" t="s">
        <v>13</v>
      </c>
      <c r="D64" s="3" t="s">
        <v>6320</v>
      </c>
      <c r="E64" s="3" t="s">
        <v>6322</v>
      </c>
      <c r="F64" s="3" t="s">
        <v>3</v>
      </c>
      <c r="G64" s="3" t="s">
        <v>100</v>
      </c>
      <c r="H64" s="3"/>
      <c r="I64" s="3"/>
      <c r="J64" s="3" t="s">
        <v>5508</v>
      </c>
      <c r="K64" s="3"/>
      <c r="L64" s="3" t="s">
        <v>5509</v>
      </c>
      <c r="M64" s="3" t="str">
        <f>HYPERLINK("https://ceds.ed.gov/cedselementdetails.aspx?termid=5156")</f>
        <v>https://ceds.ed.gov/cedselementdetails.aspx?termid=5156</v>
      </c>
      <c r="N64" s="3" t="str">
        <f>HYPERLINK("https://ceds.ed.gov/elementComment.aspx?elementName=Staff Member Identifier &amp;elementID=5156", "Click here to submit comment")</f>
        <v>Click here to submit comment</v>
      </c>
    </row>
    <row r="65" spans="1:14" ht="409.5">
      <c r="A65" s="3" t="s">
        <v>5533</v>
      </c>
      <c r="B65" s="3" t="s">
        <v>5534</v>
      </c>
      <c r="C65" s="4" t="s">
        <v>6633</v>
      </c>
      <c r="D65" s="3" t="s">
        <v>5972</v>
      </c>
      <c r="E65" s="3" t="s">
        <v>6324</v>
      </c>
      <c r="F65" s="3" t="s">
        <v>3</v>
      </c>
      <c r="G65" s="3"/>
      <c r="H65" s="3"/>
      <c r="I65" s="3"/>
      <c r="J65" s="3" t="s">
        <v>5535</v>
      </c>
      <c r="K65" s="3"/>
      <c r="L65" s="3" t="s">
        <v>5536</v>
      </c>
      <c r="M65" s="3" t="str">
        <f>HYPERLINK("https://ceds.ed.gov/cedselementdetails.aspx?termid=5267")</f>
        <v>https://ceds.ed.gov/cedselementdetails.aspx?termid=5267</v>
      </c>
      <c r="N65" s="3" t="str">
        <f>HYPERLINK("https://ceds.ed.gov/elementComment.aspx?elementName=State Abbreviation &amp;elementID=5267", "Click here to submit comment")</f>
        <v>Click here to submit comment</v>
      </c>
    </row>
    <row r="66" spans="1:14" ht="409.5">
      <c r="A66" s="3" t="s">
        <v>5727</v>
      </c>
      <c r="B66" s="3" t="s">
        <v>5728</v>
      </c>
      <c r="C66" s="3" t="s">
        <v>13</v>
      </c>
      <c r="D66" s="3" t="s">
        <v>6336</v>
      </c>
      <c r="E66" s="3" t="s">
        <v>5968</v>
      </c>
      <c r="F66" s="3" t="s">
        <v>3</v>
      </c>
      <c r="G66" s="3" t="s">
        <v>5729</v>
      </c>
      <c r="H66" s="3"/>
      <c r="I66" s="3"/>
      <c r="J66" s="3" t="s">
        <v>5730</v>
      </c>
      <c r="K66" s="3"/>
      <c r="L66" s="3" t="s">
        <v>5731</v>
      </c>
      <c r="M66" s="3" t="str">
        <f>HYPERLINK("https://ceds.ed.gov/cedselementdetails.aspx?termid=5279")</f>
        <v>https://ceds.ed.gov/cedselementdetails.aspx?termid=5279</v>
      </c>
      <c r="N66" s="3" t="str">
        <f>HYPERLINK("https://ceds.ed.gov/elementComment.aspx?elementName=Telephone Number &amp;elementID=5279", "Click here to submit comment")</f>
        <v>Click here to submit comment</v>
      </c>
    </row>
    <row r="67" spans="1:14" ht="409.5">
      <c r="A67" s="3" t="s">
        <v>5732</v>
      </c>
      <c r="B67" s="3" t="s">
        <v>5733</v>
      </c>
      <c r="C67" s="4" t="s">
        <v>6675</v>
      </c>
      <c r="D67" s="3" t="s">
        <v>6337</v>
      </c>
      <c r="E67" s="3" t="s">
        <v>5968</v>
      </c>
      <c r="F67" s="3" t="s">
        <v>3</v>
      </c>
      <c r="G67" s="3" t="s">
        <v>2844</v>
      </c>
      <c r="H67" s="3"/>
      <c r="I67" s="3"/>
      <c r="J67" s="3" t="s">
        <v>5734</v>
      </c>
      <c r="K67" s="3"/>
      <c r="L67" s="3" t="s">
        <v>5735</v>
      </c>
      <c r="M67" s="3" t="str">
        <f>HYPERLINK("https://ceds.ed.gov/cedselementdetails.aspx?termid=5280")</f>
        <v>https://ceds.ed.gov/cedselementdetails.aspx?termid=5280</v>
      </c>
      <c r="N67" s="3" t="str">
        <f>HYPERLINK("https://ceds.ed.gov/elementComment.aspx?elementName=Telephone Number Type &amp;elementID=5280", "Click here to submit comment")</f>
        <v>Click here to submit comment</v>
      </c>
    </row>
    <row r="68" spans="1:14" ht="60">
      <c r="A68" s="3" t="s">
        <v>5883</v>
      </c>
      <c r="B68" s="3" t="s">
        <v>5884</v>
      </c>
      <c r="C68" s="3" t="s">
        <v>13</v>
      </c>
      <c r="D68" s="3" t="s">
        <v>6342</v>
      </c>
      <c r="E68" s="3"/>
      <c r="F68" s="3" t="s">
        <v>3</v>
      </c>
      <c r="G68" s="3" t="s">
        <v>73</v>
      </c>
      <c r="H68" s="3"/>
      <c r="I68" s="3"/>
      <c r="J68" s="3" t="s">
        <v>5885</v>
      </c>
      <c r="K68" s="3"/>
      <c r="L68" s="3" t="s">
        <v>5886</v>
      </c>
      <c r="M68" s="3" t="str">
        <f>HYPERLINK("https://ceds.ed.gov/cedselementdetails.aspx?termid=5680")</f>
        <v>https://ceds.ed.gov/cedselementdetails.aspx?termid=5680</v>
      </c>
      <c r="N68" s="3" t="str">
        <f>HYPERLINK("https://ceds.ed.gov/elementComment.aspx?elementName=Vision Screening Date &amp;elementID=5680", "Click here to submit comment")</f>
        <v>Click here to submit comment</v>
      </c>
    </row>
    <row r="69" spans="1:14" ht="60">
      <c r="A69" s="3" t="s">
        <v>5887</v>
      </c>
      <c r="B69" s="3" t="s">
        <v>5888</v>
      </c>
      <c r="C69" s="4" t="s">
        <v>6526</v>
      </c>
      <c r="D69" s="3" t="s">
        <v>6342</v>
      </c>
      <c r="E69" s="3" t="s">
        <v>2158</v>
      </c>
      <c r="F69" s="3" t="s">
        <v>3</v>
      </c>
      <c r="G69" s="3"/>
      <c r="H69" s="3"/>
      <c r="I69" s="3"/>
      <c r="J69" s="3" t="s">
        <v>5889</v>
      </c>
      <c r="K69" s="3"/>
      <c r="L69" s="3" t="s">
        <v>5890</v>
      </c>
      <c r="M69" s="3" t="str">
        <f>HYPERLINK("https://ceds.ed.gov/cedselementdetails.aspx?termid=5308")</f>
        <v>https://ceds.ed.gov/cedselementdetails.aspx?termid=5308</v>
      </c>
      <c r="N69" s="3" t="str">
        <f>HYPERLINK("https://ceds.ed.gov/elementComment.aspx?elementName=Vision Screening Status &amp;elementID=5308", "Click here to submit comment")</f>
        <v>Click here to submit comment</v>
      </c>
    </row>
    <row r="70" spans="1:14" ht="75">
      <c r="A70" s="3" t="s">
        <v>5908</v>
      </c>
      <c r="B70" s="3" t="s">
        <v>5909</v>
      </c>
      <c r="C70" s="3" t="s">
        <v>13</v>
      </c>
      <c r="D70" s="3" t="s">
        <v>6343</v>
      </c>
      <c r="E70" s="3" t="s">
        <v>218</v>
      </c>
      <c r="F70" s="3" t="s">
        <v>3</v>
      </c>
      <c r="G70" s="3" t="s">
        <v>93</v>
      </c>
      <c r="H70" s="3"/>
      <c r="I70" s="3"/>
      <c r="J70" s="3" t="s">
        <v>5910</v>
      </c>
      <c r="K70" s="3"/>
      <c r="L70" s="3" t="s">
        <v>5911</v>
      </c>
      <c r="M70" s="3" t="str">
        <f>HYPERLINK("https://ceds.ed.gov/cedselementdetails.aspx?termid=5300")</f>
        <v>https://ceds.ed.gov/cedselementdetails.aspx?termid=5300</v>
      </c>
      <c r="N70" s="3" t="str">
        <f>HYPERLINK("https://ceds.ed.gov/elementComment.aspx?elementName=Web Site Address &amp;elementID=5300", "Click here to submit comment")</f>
        <v>Click here to submit comment</v>
      </c>
    </row>
  </sheetData>
  <autoFilter ref="A1:O70"/>
  <hyperlinks>
    <hyperlink ref="C16" r:id="rId1" display="http://nces.ed.gov/ipeds/cipcode/browse.aspx?y=55"/>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
  <dimension ref="A1:N1349"/>
  <sheetViews>
    <sheetView showGridLines="0" workbookViewId="0">
      <pane ySplit="1" topLeftCell="A2" activePane="bottomLeft" state="frozen"/>
      <selection pane="bottomLeft" activeCell="A2" sqref="A2"/>
    </sheetView>
  </sheetViews>
  <sheetFormatPr defaultRowHeight="15"/>
  <cols>
    <col min="1" max="5" width="36.5703125" style="9" bestFit="1" customWidth="1"/>
    <col min="6" max="6" width="11.140625" style="9" bestFit="1" customWidth="1"/>
    <col min="7" max="9" width="36.5703125" style="9" bestFit="1" customWidth="1"/>
    <col min="10" max="10" width="9" style="9" bestFit="1" customWidth="1"/>
    <col min="11" max="12" width="36.5703125" style="9" bestFit="1" customWidth="1"/>
    <col min="13" max="13" width="57" style="9" customWidth="1"/>
    <col min="14" max="14" width="31.85546875" style="9" customWidth="1"/>
    <col min="15" max="16384" width="9.140625" style="9"/>
  </cols>
  <sheetData>
    <row r="1" spans="1:14" s="8" customFormat="1" ht="30">
      <c r="A1" s="1" t="s">
        <v>6697</v>
      </c>
      <c r="B1" s="1" t="s">
        <v>6698</v>
      </c>
      <c r="C1" s="1" t="s">
        <v>6699</v>
      </c>
      <c r="D1" s="1" t="s">
        <v>6700</v>
      </c>
      <c r="E1" s="1" t="s">
        <v>6710</v>
      </c>
      <c r="F1" s="1" t="s">
        <v>6701</v>
      </c>
      <c r="G1" s="1" t="s">
        <v>6702</v>
      </c>
      <c r="H1" s="1" t="s">
        <v>6703</v>
      </c>
      <c r="I1" s="1" t="s">
        <v>6704</v>
      </c>
      <c r="J1" s="2" t="s">
        <v>6705</v>
      </c>
      <c r="K1" s="1" t="s">
        <v>6706</v>
      </c>
      <c r="L1" s="1" t="s">
        <v>6707</v>
      </c>
      <c r="M1" s="1" t="s">
        <v>6708</v>
      </c>
      <c r="N1" s="1" t="s">
        <v>6709</v>
      </c>
    </row>
    <row r="2" spans="1:14" ht="90">
      <c r="A2" s="3" t="s">
        <v>0</v>
      </c>
      <c r="B2" s="3" t="s">
        <v>1</v>
      </c>
      <c r="C2" s="3" t="s">
        <v>5963</v>
      </c>
      <c r="D2" s="3" t="s">
        <v>5964</v>
      </c>
      <c r="E2" s="3" t="s">
        <v>2</v>
      </c>
      <c r="F2" s="3" t="s">
        <v>3</v>
      </c>
      <c r="G2" s="3"/>
      <c r="H2" s="3"/>
      <c r="I2" s="3"/>
      <c r="J2" s="3" t="s">
        <v>4</v>
      </c>
      <c r="K2" s="3"/>
      <c r="L2" s="3" t="s">
        <v>5</v>
      </c>
      <c r="M2" s="3" t="str">
        <f>HYPERLINK("https://ceds.ed.gov/cedselementdetails.aspx?termid=5000")</f>
        <v>https://ceds.ed.gov/cedselementdetails.aspx?termid=5000</v>
      </c>
      <c r="N2" s="3" t="str">
        <f>HYPERLINK("https://ceds.ed.gov/elementComment.aspx?elementName=Ability Grouping Status &amp;elementID=5000", "Click here to submit comment")</f>
        <v>Click here to submit comment</v>
      </c>
    </row>
    <row r="3" spans="1:14" ht="285">
      <c r="A3" s="3" t="s">
        <v>6</v>
      </c>
      <c r="B3" s="3" t="s">
        <v>7</v>
      </c>
      <c r="C3" s="4" t="s">
        <v>6345</v>
      </c>
      <c r="D3" s="3" t="s">
        <v>8</v>
      </c>
      <c r="E3" s="3"/>
      <c r="F3" s="3"/>
      <c r="G3" s="3"/>
      <c r="H3" s="3"/>
      <c r="I3" s="3"/>
      <c r="J3" s="3" t="s">
        <v>9</v>
      </c>
      <c r="K3" s="3"/>
      <c r="L3" s="3" t="s">
        <v>10</v>
      </c>
      <c r="M3" s="3" t="str">
        <f>HYPERLINK("https://ceds.ed.gov/cedselementdetails.aspx?termid=5592")</f>
        <v>https://ceds.ed.gov/cedselementdetails.aspx?termid=5592</v>
      </c>
      <c r="N3" s="3" t="str">
        <f>HYPERLINK("https://ceds.ed.gov/elementComment.aspx?elementName=Absent Attendance Category &amp;elementID=5592", "Click here to submit comment")</f>
        <v>Click here to submit comment</v>
      </c>
    </row>
    <row r="4" spans="1:14" ht="60">
      <c r="A4" s="3" t="s">
        <v>11</v>
      </c>
      <c r="B4" s="3" t="s">
        <v>12</v>
      </c>
      <c r="C4" s="3" t="s">
        <v>13</v>
      </c>
      <c r="D4" s="3" t="s">
        <v>14</v>
      </c>
      <c r="E4" s="3" t="s">
        <v>5965</v>
      </c>
      <c r="F4" s="3"/>
      <c r="G4" s="3" t="s">
        <v>15</v>
      </c>
      <c r="H4" s="3"/>
      <c r="I4" s="3"/>
      <c r="J4" s="3" t="s">
        <v>16</v>
      </c>
      <c r="K4" s="3"/>
      <c r="L4" s="3" t="s">
        <v>17</v>
      </c>
      <c r="M4" s="3" t="str">
        <f>HYPERLINK("https://ceds.ed.gov/cedselementdetails.aspx?termid=5001")</f>
        <v>https://ceds.ed.gov/cedselementdetails.aspx?termid=5001</v>
      </c>
      <c r="N4" s="3" t="str">
        <f>HYPERLINK("https://ceds.ed.gov/elementComment.aspx?elementName=Academic Award Date &amp;elementID=5001", "Click here to submit comment")</f>
        <v>Click here to submit comment</v>
      </c>
    </row>
    <row r="5" spans="1:14" ht="285">
      <c r="A5" s="3" t="s">
        <v>18</v>
      </c>
      <c r="B5" s="3" t="s">
        <v>19</v>
      </c>
      <c r="C5" s="4" t="s">
        <v>6346</v>
      </c>
      <c r="D5" s="3" t="s">
        <v>5966</v>
      </c>
      <c r="E5" s="3" t="s">
        <v>5967</v>
      </c>
      <c r="F5" s="3" t="s">
        <v>3</v>
      </c>
      <c r="G5" s="3"/>
      <c r="H5" s="3"/>
      <c r="I5" s="3"/>
      <c r="J5" s="3" t="s">
        <v>20</v>
      </c>
      <c r="K5" s="3"/>
      <c r="L5" s="3" t="s">
        <v>21</v>
      </c>
      <c r="M5" s="3" t="str">
        <f>HYPERLINK("https://ceds.ed.gov/cedselementdetails.aspx?termid=5002")</f>
        <v>https://ceds.ed.gov/cedselementdetails.aspx?termid=5002</v>
      </c>
      <c r="N5" s="3" t="str">
        <f>HYPERLINK("https://ceds.ed.gov/elementComment.aspx?elementName=Academic Award Level Conferred &amp;elementID=5002", "Click here to submit comment")</f>
        <v>Click here to submit comment</v>
      </c>
    </row>
    <row r="6" spans="1:14" ht="30">
      <c r="A6" s="3" t="s">
        <v>22</v>
      </c>
      <c r="B6" s="3" t="s">
        <v>23</v>
      </c>
      <c r="C6" s="3" t="s">
        <v>13</v>
      </c>
      <c r="D6" s="3" t="s">
        <v>14</v>
      </c>
      <c r="E6" s="3" t="s">
        <v>24</v>
      </c>
      <c r="F6" s="3"/>
      <c r="G6" s="3" t="s">
        <v>25</v>
      </c>
      <c r="H6" s="3"/>
      <c r="I6" s="3"/>
      <c r="J6" s="3" t="s">
        <v>26</v>
      </c>
      <c r="K6" s="3"/>
      <c r="L6" s="3" t="s">
        <v>27</v>
      </c>
      <c r="M6" s="3" t="str">
        <f>HYPERLINK("https://ceds.ed.gov/cedselementdetails.aspx?termid=5003")</f>
        <v>https://ceds.ed.gov/cedselementdetails.aspx?termid=5003</v>
      </c>
      <c r="N6" s="3" t="str">
        <f>HYPERLINK("https://ceds.ed.gov/elementComment.aspx?elementName=Academic Award Title &amp;elementID=5003", "Click here to submit comment")</f>
        <v>Click here to submit comment</v>
      </c>
    </row>
    <row r="7" spans="1:14" ht="345">
      <c r="A7" s="3" t="s">
        <v>28</v>
      </c>
      <c r="B7" s="3" t="s">
        <v>29</v>
      </c>
      <c r="C7" s="4" t="s">
        <v>6347</v>
      </c>
      <c r="D7" s="3" t="s">
        <v>30</v>
      </c>
      <c r="E7" s="3" t="s">
        <v>5968</v>
      </c>
      <c r="F7" s="3"/>
      <c r="G7" s="3"/>
      <c r="H7" s="3"/>
      <c r="I7" s="3"/>
      <c r="J7" s="3" t="s">
        <v>31</v>
      </c>
      <c r="K7" s="3"/>
      <c r="L7" s="3" t="s">
        <v>32</v>
      </c>
      <c r="M7" s="3" t="str">
        <f>HYPERLINK("https://ceds.ed.gov/cedselementdetails.aspx?termid=5004")</f>
        <v>https://ceds.ed.gov/cedselementdetails.aspx?termid=5004</v>
      </c>
      <c r="N7" s="3" t="str">
        <f>HYPERLINK("https://ceds.ed.gov/elementComment.aspx?elementName=Academic Honors Type &amp;elementID=5004", "Click here to submit comment")</f>
        <v>Click here to submit comment</v>
      </c>
    </row>
    <row r="8" spans="1:14" ht="135">
      <c r="A8" s="3" t="s">
        <v>33</v>
      </c>
      <c r="B8" s="3" t="s">
        <v>34</v>
      </c>
      <c r="C8" s="4" t="s">
        <v>6348</v>
      </c>
      <c r="D8" s="3" t="s">
        <v>35</v>
      </c>
      <c r="E8" s="3" t="s">
        <v>36</v>
      </c>
      <c r="F8" s="3"/>
      <c r="G8" s="3"/>
      <c r="H8" s="3"/>
      <c r="I8" s="3" t="s">
        <v>37</v>
      </c>
      <c r="J8" s="3" t="s">
        <v>38</v>
      </c>
      <c r="K8" s="3"/>
      <c r="L8" s="3" t="s">
        <v>39</v>
      </c>
      <c r="M8" s="3" t="str">
        <f>HYPERLINK("https://ceds.ed.gov/cedselementdetails.aspx?termid=5717")</f>
        <v>https://ceds.ed.gov/cedselementdetails.aspx?termid=5717</v>
      </c>
      <c r="N8" s="3" t="str">
        <f>HYPERLINK("https://ceds.ed.gov/elementComment.aspx?elementName=Academic Rank &amp;elementID=5717", "Click here to submit comment")</f>
        <v>Click here to submit comment</v>
      </c>
    </row>
    <row r="9" spans="1:14" ht="180">
      <c r="A9" s="3" t="s">
        <v>40</v>
      </c>
      <c r="B9" s="3" t="s">
        <v>41</v>
      </c>
      <c r="C9" s="4" t="s">
        <v>6349</v>
      </c>
      <c r="D9" s="3" t="s">
        <v>14</v>
      </c>
      <c r="E9" s="3" t="s">
        <v>42</v>
      </c>
      <c r="F9" s="3"/>
      <c r="G9" s="3"/>
      <c r="H9" s="3"/>
      <c r="I9" s="3" t="s">
        <v>43</v>
      </c>
      <c r="J9" s="3" t="s">
        <v>44</v>
      </c>
      <c r="K9" s="3"/>
      <c r="L9" s="3" t="s">
        <v>45</v>
      </c>
      <c r="M9" s="3" t="str">
        <f>HYPERLINK("https://ceds.ed.gov/cedselementdetails.aspx?termid=5703")</f>
        <v>https://ceds.ed.gov/cedselementdetails.aspx?termid=5703</v>
      </c>
      <c r="N9" s="3" t="str">
        <f>HYPERLINK("https://ceds.ed.gov/elementComment.aspx?elementName=Academic Term Designator &amp;elementID=5703", "Click here to submit comment")</f>
        <v>Click here to submit comment</v>
      </c>
    </row>
    <row r="10" spans="1:14" ht="30">
      <c r="A10" s="3" t="s">
        <v>46</v>
      </c>
      <c r="B10" s="3" t="s">
        <v>47</v>
      </c>
      <c r="C10" s="3" t="s">
        <v>13</v>
      </c>
      <c r="D10" s="3" t="s">
        <v>14</v>
      </c>
      <c r="E10" s="3" t="s">
        <v>42</v>
      </c>
      <c r="F10" s="3"/>
      <c r="G10" s="3" t="s">
        <v>48</v>
      </c>
      <c r="H10" s="3"/>
      <c r="I10" s="3"/>
      <c r="J10" s="3" t="s">
        <v>49</v>
      </c>
      <c r="K10" s="3"/>
      <c r="L10" s="3" t="s">
        <v>50</v>
      </c>
      <c r="M10" s="3" t="str">
        <f>HYPERLINK("https://ceds.ed.gov/cedselementdetails.aspx?termid=5702")</f>
        <v>https://ceds.ed.gov/cedselementdetails.aspx?termid=5702</v>
      </c>
      <c r="N10" s="3" t="str">
        <f>HYPERLINK("https://ceds.ed.gov/elementComment.aspx?elementName=Academic Year Designator &amp;elementID=5702", "Click here to submit comment")</f>
        <v>Click here to submit comment</v>
      </c>
    </row>
    <row r="11" spans="1:14" ht="375">
      <c r="A11" s="3" t="s">
        <v>51</v>
      </c>
      <c r="B11" s="3" t="s">
        <v>52</v>
      </c>
      <c r="C11" s="4" t="s">
        <v>6350</v>
      </c>
      <c r="D11" s="3" t="s">
        <v>53</v>
      </c>
      <c r="E11" s="3"/>
      <c r="F11" s="3" t="s">
        <v>54</v>
      </c>
      <c r="G11" s="3"/>
      <c r="H11" s="3"/>
      <c r="I11" s="3"/>
      <c r="J11" s="3" t="s">
        <v>55</v>
      </c>
      <c r="K11" s="3"/>
      <c r="L11" s="3" t="s">
        <v>56</v>
      </c>
      <c r="M11" s="3" t="str">
        <f>HYPERLINK("https://ceds.ed.gov/cedselementdetails.aspx?termid=6243")</f>
        <v>https://ceds.ed.gov/cedselementdetails.aspx?termid=6243</v>
      </c>
      <c r="N11" s="3" t="str">
        <f>HYPERLINK("https://ceds.ed.gov/elementComment.aspx?elementName=Accommodations Needed Type &amp;elementID=6243", "Click here to submit comment")</f>
        <v>Click here to submit comment</v>
      </c>
    </row>
    <row r="12" spans="1:14">
      <c r="A12" s="3" t="s">
        <v>57</v>
      </c>
      <c r="B12" s="3" t="s">
        <v>58</v>
      </c>
      <c r="C12" s="3" t="s">
        <v>13</v>
      </c>
      <c r="D12" s="3" t="s">
        <v>59</v>
      </c>
      <c r="E12" s="3"/>
      <c r="F12" s="3"/>
      <c r="G12" s="3" t="s">
        <v>25</v>
      </c>
      <c r="H12" s="3"/>
      <c r="I12" s="3"/>
      <c r="J12" s="3" t="s">
        <v>60</v>
      </c>
      <c r="K12" s="3"/>
      <c r="L12" s="3" t="s">
        <v>61</v>
      </c>
      <c r="M12" s="3" t="str">
        <f>HYPERLINK("https://ceds.ed.gov/cedselementdetails.aspx?termid=5005")</f>
        <v>https://ceds.ed.gov/cedselementdetails.aspx?termid=5005</v>
      </c>
      <c r="N12" s="3" t="str">
        <f>HYPERLINK("https://ceds.ed.gov/elementComment.aspx?elementName=Accountability Report Title &amp;elementID=5005", "Click here to submit comment")</f>
        <v>Click here to submit comment</v>
      </c>
    </row>
    <row r="13" spans="1:14" ht="210">
      <c r="A13" s="3" t="s">
        <v>62</v>
      </c>
      <c r="B13" s="3" t="s">
        <v>63</v>
      </c>
      <c r="C13" s="4" t="s">
        <v>6351</v>
      </c>
      <c r="D13" s="3" t="s">
        <v>64</v>
      </c>
      <c r="E13" s="3" t="s">
        <v>65</v>
      </c>
      <c r="F13" s="3" t="s">
        <v>66</v>
      </c>
      <c r="G13" s="3"/>
      <c r="H13" s="3" t="s">
        <v>67</v>
      </c>
      <c r="I13" s="3" t="s">
        <v>68</v>
      </c>
      <c r="J13" s="3" t="s">
        <v>69</v>
      </c>
      <c r="K13" s="3"/>
      <c r="L13" s="3" t="s">
        <v>70</v>
      </c>
      <c r="M13" s="3" t="str">
        <f>HYPERLINK("https://ceds.ed.gov/cedselementdetails.aspx?termid=5983")</f>
        <v>https://ceds.ed.gov/cedselementdetails.aspx?termid=5983</v>
      </c>
      <c r="N13" s="3" t="str">
        <f>HYPERLINK("https://ceds.ed.gov/elementComment.aspx?elementName=Accreditation Agency &amp;elementID=5983", "Click here to submit comment")</f>
        <v>Click here to submit comment</v>
      </c>
    </row>
    <row r="14" spans="1:14" ht="30">
      <c r="A14" s="3" t="s">
        <v>71</v>
      </c>
      <c r="B14" s="3" t="s">
        <v>72</v>
      </c>
      <c r="C14" s="3" t="s">
        <v>13</v>
      </c>
      <c r="D14" s="3" t="s">
        <v>64</v>
      </c>
      <c r="E14" s="3" t="s">
        <v>65</v>
      </c>
      <c r="F14" s="3"/>
      <c r="G14" s="3" t="s">
        <v>73</v>
      </c>
      <c r="H14" s="3"/>
      <c r="I14" s="3"/>
      <c r="J14" s="3" t="s">
        <v>74</v>
      </c>
      <c r="K14" s="3"/>
      <c r="L14" s="3" t="s">
        <v>75</v>
      </c>
      <c r="M14" s="3" t="str">
        <f>HYPERLINK("https://ceds.ed.gov/cedselementdetails.aspx?termid=5840")</f>
        <v>https://ceds.ed.gov/cedselementdetails.aspx?termid=5840</v>
      </c>
      <c r="N14" s="3" t="str">
        <f>HYPERLINK("https://ceds.ed.gov/elementComment.aspx?elementName=Accreditation Award Date &amp;elementID=5840", "Click here to submit comment")</f>
        <v>Click here to submit comment</v>
      </c>
    </row>
    <row r="15" spans="1:14" ht="30">
      <c r="A15" s="3" t="s">
        <v>76</v>
      </c>
      <c r="B15" s="3" t="s">
        <v>77</v>
      </c>
      <c r="C15" s="3" t="s">
        <v>13</v>
      </c>
      <c r="D15" s="3" t="s">
        <v>64</v>
      </c>
      <c r="E15" s="3" t="s">
        <v>65</v>
      </c>
      <c r="F15" s="3"/>
      <c r="G15" s="3" t="s">
        <v>73</v>
      </c>
      <c r="H15" s="3"/>
      <c r="I15" s="3"/>
      <c r="J15" s="3" t="s">
        <v>78</v>
      </c>
      <c r="K15" s="3"/>
      <c r="L15" s="3" t="s">
        <v>79</v>
      </c>
      <c r="M15" s="3" t="str">
        <f>HYPERLINK("https://ceds.ed.gov/cedselementdetails.aspx?termid=5841")</f>
        <v>https://ceds.ed.gov/cedselementdetails.aspx?termid=5841</v>
      </c>
      <c r="N15" s="3" t="str">
        <f>HYPERLINK("https://ceds.ed.gov/elementComment.aspx?elementName=Accreditation Expiration Date &amp;elementID=5841", "Click here to submit comment")</f>
        <v>Click here to submit comment</v>
      </c>
    </row>
    <row r="16" spans="1:14" ht="75">
      <c r="A16" s="3" t="s">
        <v>86</v>
      </c>
      <c r="B16" s="3" t="s">
        <v>87</v>
      </c>
      <c r="C16" s="3" t="s">
        <v>13</v>
      </c>
      <c r="D16" s="3" t="s">
        <v>5969</v>
      </c>
      <c r="E16" s="3"/>
      <c r="F16" s="3"/>
      <c r="G16" s="3" t="s">
        <v>88</v>
      </c>
      <c r="H16" s="3"/>
      <c r="I16" s="3"/>
      <c r="J16" s="3" t="s">
        <v>89</v>
      </c>
      <c r="K16" s="3"/>
      <c r="L16" s="3" t="s">
        <v>90</v>
      </c>
      <c r="M16" s="3" t="str">
        <f>HYPERLINK("https://ceds.ed.gov/cedselementdetails.aspx?termid=5898")</f>
        <v>https://ceds.ed.gov/cedselementdetails.aspx?termid=5898</v>
      </c>
      <c r="N16" s="3" t="str">
        <f>HYPERLINK("https://ceds.ed.gov/elementComment.aspx?elementName=Achievement Award Issuer Name &amp;elementID=5898", "Click here to submit comment")</f>
        <v>Click here to submit comment</v>
      </c>
    </row>
    <row r="17" spans="1:14" ht="75">
      <c r="A17" s="3" t="s">
        <v>91</v>
      </c>
      <c r="B17" s="3" t="s">
        <v>92</v>
      </c>
      <c r="C17" s="3" t="s">
        <v>13</v>
      </c>
      <c r="D17" s="3" t="s">
        <v>5969</v>
      </c>
      <c r="E17" s="3"/>
      <c r="F17" s="3" t="s">
        <v>66</v>
      </c>
      <c r="G17" s="3" t="s">
        <v>93</v>
      </c>
      <c r="H17" s="3" t="s">
        <v>94</v>
      </c>
      <c r="I17" s="3" t="s">
        <v>95</v>
      </c>
      <c r="J17" s="3" t="s">
        <v>96</v>
      </c>
      <c r="K17" s="3"/>
      <c r="L17" s="3" t="s">
        <v>97</v>
      </c>
      <c r="M17" s="3" t="str">
        <f>HYPERLINK("https://ceds.ed.gov/cedselementdetails.aspx?termid=5900")</f>
        <v>https://ceds.ed.gov/cedselementdetails.aspx?termid=5900</v>
      </c>
      <c r="N17" s="3" t="str">
        <f>HYPERLINK("https://ceds.ed.gov/elementComment.aspx?elementName=Achievement Award Issuer Origin URL &amp;elementID=5900", "Click here to submit comment")</f>
        <v>Click here to submit comment</v>
      </c>
    </row>
    <row r="18" spans="1:14" ht="75">
      <c r="A18" s="3" t="s">
        <v>98</v>
      </c>
      <c r="B18" s="3" t="s">
        <v>99</v>
      </c>
      <c r="C18" s="3" t="s">
        <v>13</v>
      </c>
      <c r="D18" s="3" t="s">
        <v>5969</v>
      </c>
      <c r="E18" s="3"/>
      <c r="F18" s="3"/>
      <c r="G18" s="3" t="s">
        <v>100</v>
      </c>
      <c r="H18" s="3"/>
      <c r="I18" s="3" t="s">
        <v>101</v>
      </c>
      <c r="J18" s="3" t="s">
        <v>102</v>
      </c>
      <c r="K18" s="3"/>
      <c r="L18" s="3" t="s">
        <v>103</v>
      </c>
      <c r="M18" s="3" t="str">
        <f>HYPERLINK("https://ceds.ed.gov/cedselementdetails.aspx?termid=6211")</f>
        <v>https://ceds.ed.gov/cedselementdetails.aspx?termid=6211</v>
      </c>
      <c r="N18" s="3" t="str">
        <f>HYPERLINK("https://ceds.ed.gov/elementComment.aspx?elementName=Achievement Category System &amp;elementID=6211", "Click here to submit comment")</f>
        <v>Click here to submit comment</v>
      </c>
    </row>
    <row r="19" spans="1:14" ht="270">
      <c r="A19" s="3" t="s">
        <v>104</v>
      </c>
      <c r="B19" s="3" t="s">
        <v>105</v>
      </c>
      <c r="C19" s="3" t="s">
        <v>13</v>
      </c>
      <c r="D19" s="3" t="s">
        <v>5969</v>
      </c>
      <c r="E19" s="3"/>
      <c r="F19" s="3"/>
      <c r="G19" s="3" t="s">
        <v>106</v>
      </c>
      <c r="H19" s="3"/>
      <c r="I19" s="3" t="s">
        <v>107</v>
      </c>
      <c r="J19" s="3" t="s">
        <v>108</v>
      </c>
      <c r="K19" s="3"/>
      <c r="L19" s="3" t="s">
        <v>109</v>
      </c>
      <c r="M19" s="3" t="str">
        <f>HYPERLINK("https://ceds.ed.gov/cedselementdetails.aspx?termid=5892")</f>
        <v>https://ceds.ed.gov/cedselementdetails.aspx?termid=5892</v>
      </c>
      <c r="N19" s="3" t="str">
        <f>HYPERLINK("https://ceds.ed.gov/elementComment.aspx?elementName=Achievement Category Type &amp;elementID=5892", "Click here to submit comment")</f>
        <v>Click here to submit comment</v>
      </c>
    </row>
    <row r="20" spans="1:14" ht="75">
      <c r="A20" s="3" t="s">
        <v>110</v>
      </c>
      <c r="B20" s="3" t="s">
        <v>111</v>
      </c>
      <c r="C20" s="3" t="s">
        <v>13</v>
      </c>
      <c r="D20" s="3" t="s">
        <v>5969</v>
      </c>
      <c r="E20" s="3"/>
      <c r="F20" s="3"/>
      <c r="G20" s="3" t="s">
        <v>93</v>
      </c>
      <c r="H20" s="3"/>
      <c r="I20" s="3"/>
      <c r="J20" s="3" t="s">
        <v>112</v>
      </c>
      <c r="K20" s="3"/>
      <c r="L20" s="3" t="s">
        <v>113</v>
      </c>
      <c r="M20" s="3" t="str">
        <f>HYPERLINK("https://ceds.ed.gov/cedselementdetails.aspx?termid=5896")</f>
        <v>https://ceds.ed.gov/cedselementdetails.aspx?termid=5896</v>
      </c>
      <c r="N20" s="3" t="str">
        <f>HYPERLINK("https://ceds.ed.gov/elementComment.aspx?elementName=Achievement Criteria &amp;elementID=5896", "Click here to submit comment")</f>
        <v>Click here to submit comment</v>
      </c>
    </row>
    <row r="21" spans="1:14" ht="75">
      <c r="A21" s="3" t="s">
        <v>114</v>
      </c>
      <c r="B21" s="3" t="s">
        <v>115</v>
      </c>
      <c r="C21" s="3" t="s">
        <v>13</v>
      </c>
      <c r="D21" s="3" t="s">
        <v>5969</v>
      </c>
      <c r="E21" s="3"/>
      <c r="F21" s="3"/>
      <c r="G21" s="3" t="s">
        <v>93</v>
      </c>
      <c r="H21" s="3"/>
      <c r="I21" s="3"/>
      <c r="J21" s="3" t="s">
        <v>116</v>
      </c>
      <c r="K21" s="3"/>
      <c r="L21" s="3" t="s">
        <v>117</v>
      </c>
      <c r="M21" s="3" t="str">
        <f>HYPERLINK("https://ceds.ed.gov/cedselementdetails.aspx?termid=6113")</f>
        <v>https://ceds.ed.gov/cedselementdetails.aspx?termid=6113</v>
      </c>
      <c r="N21" s="3" t="str">
        <f>HYPERLINK("https://ceds.ed.gov/elementComment.aspx?elementName=Achievement Criteria URL &amp;elementID=6113", "Click here to submit comment")</f>
        <v>Click here to submit comment</v>
      </c>
    </row>
    <row r="22" spans="1:14" ht="75">
      <c r="A22" s="3" t="s">
        <v>122</v>
      </c>
      <c r="B22" s="3" t="s">
        <v>123</v>
      </c>
      <c r="C22" s="3" t="s">
        <v>13</v>
      </c>
      <c r="D22" s="3" t="s">
        <v>5969</v>
      </c>
      <c r="E22" s="3"/>
      <c r="F22" s="3"/>
      <c r="G22" s="3" t="s">
        <v>93</v>
      </c>
      <c r="H22" s="3"/>
      <c r="I22" s="3"/>
      <c r="J22" s="3" t="s">
        <v>124</v>
      </c>
      <c r="K22" s="3"/>
      <c r="L22" s="3" t="s">
        <v>125</v>
      </c>
      <c r="M22" s="3" t="str">
        <f>HYPERLINK("https://ceds.ed.gov/cedselementdetails.aspx?termid=5895")</f>
        <v>https://ceds.ed.gov/cedselementdetails.aspx?termid=5895</v>
      </c>
      <c r="N22" s="3" t="str">
        <f>HYPERLINK("https://ceds.ed.gov/elementComment.aspx?elementName=Achievement Description &amp;elementID=5895", "Click here to submit comment")</f>
        <v>Click here to submit comment</v>
      </c>
    </row>
    <row r="23" spans="1:14" ht="75">
      <c r="A23" s="3" t="s">
        <v>126</v>
      </c>
      <c r="B23" s="3" t="s">
        <v>127</v>
      </c>
      <c r="C23" s="3" t="s">
        <v>13</v>
      </c>
      <c r="D23" s="3" t="s">
        <v>5969</v>
      </c>
      <c r="E23" s="3"/>
      <c r="F23" s="3"/>
      <c r="G23" s="3" t="s">
        <v>73</v>
      </c>
      <c r="H23" s="3"/>
      <c r="I23" s="3"/>
      <c r="J23" s="3" t="s">
        <v>128</v>
      </c>
      <c r="K23" s="3"/>
      <c r="L23" s="3" t="s">
        <v>129</v>
      </c>
      <c r="M23" s="3" t="str">
        <f>HYPERLINK("https://ceds.ed.gov/cedselementdetails.aspx?termid=6121")</f>
        <v>https://ceds.ed.gov/cedselementdetails.aspx?termid=6121</v>
      </c>
      <c r="N23" s="3" t="str">
        <f>HYPERLINK("https://ceds.ed.gov/elementComment.aspx?elementName=Achievement End Date &amp;elementID=6121", "Click here to submit comment")</f>
        <v>Click here to submit comment</v>
      </c>
    </row>
    <row r="24" spans="1:14" ht="75">
      <c r="A24" s="3" t="s">
        <v>130</v>
      </c>
      <c r="B24" s="3" t="s">
        <v>131</v>
      </c>
      <c r="C24" s="3" t="s">
        <v>13</v>
      </c>
      <c r="D24" s="3" t="s">
        <v>5969</v>
      </c>
      <c r="E24" s="3"/>
      <c r="F24" s="3"/>
      <c r="G24" s="3" t="s">
        <v>93</v>
      </c>
      <c r="H24" s="3"/>
      <c r="I24" s="3"/>
      <c r="J24" s="3" t="s">
        <v>132</v>
      </c>
      <c r="K24" s="3"/>
      <c r="L24" s="3" t="s">
        <v>133</v>
      </c>
      <c r="M24" s="3" t="str">
        <f>HYPERLINK("https://ceds.ed.gov/cedselementdetails.aspx?termid=5901")</f>
        <v>https://ceds.ed.gov/cedselementdetails.aspx?termid=5901</v>
      </c>
      <c r="N24" s="3" t="str">
        <f>HYPERLINK("https://ceds.ed.gov/elementComment.aspx?elementName=Achievement Evidence Statement &amp;elementID=5901", "Click here to submit comment")</f>
        <v>Click here to submit comment</v>
      </c>
    </row>
    <row r="25" spans="1:14" ht="75">
      <c r="A25" s="3" t="s">
        <v>134</v>
      </c>
      <c r="B25" s="3" t="s">
        <v>135</v>
      </c>
      <c r="C25" s="3" t="s">
        <v>13</v>
      </c>
      <c r="D25" s="3" t="s">
        <v>5969</v>
      </c>
      <c r="E25" s="3"/>
      <c r="F25" s="3"/>
      <c r="G25" s="3" t="s">
        <v>93</v>
      </c>
      <c r="H25" s="3"/>
      <c r="I25" s="3" t="s">
        <v>136</v>
      </c>
      <c r="J25" s="3" t="s">
        <v>137</v>
      </c>
      <c r="K25" s="3"/>
      <c r="L25" s="3" t="s">
        <v>138</v>
      </c>
      <c r="M25" s="3" t="str">
        <f>HYPERLINK("https://ceds.ed.gov/cedselementdetails.aspx?termid=5894")</f>
        <v>https://ceds.ed.gov/cedselementdetails.aspx?termid=5894</v>
      </c>
      <c r="N25" s="3" t="str">
        <f>HYPERLINK("https://ceds.ed.gov/elementComment.aspx?elementName=Achievement Image URL &amp;elementID=5894", "Click here to submit comment")</f>
        <v>Click here to submit comment</v>
      </c>
    </row>
    <row r="26" spans="1:14" ht="75">
      <c r="A26" s="3" t="s">
        <v>139</v>
      </c>
      <c r="B26" s="3" t="s">
        <v>140</v>
      </c>
      <c r="C26" s="3" t="s">
        <v>13</v>
      </c>
      <c r="D26" s="3" t="s">
        <v>5969</v>
      </c>
      <c r="E26" s="3"/>
      <c r="F26" s="3"/>
      <c r="G26" s="3" t="s">
        <v>73</v>
      </c>
      <c r="H26" s="3"/>
      <c r="I26" s="3"/>
      <c r="J26" s="3" t="s">
        <v>141</v>
      </c>
      <c r="K26" s="3"/>
      <c r="L26" s="3" t="s">
        <v>142</v>
      </c>
      <c r="M26" s="3" t="str">
        <f>HYPERLINK("https://ceds.ed.gov/cedselementdetails.aspx?termid=6120")</f>
        <v>https://ceds.ed.gov/cedselementdetails.aspx?termid=6120</v>
      </c>
      <c r="N26" s="3" t="str">
        <f>HYPERLINK("https://ceds.ed.gov/elementComment.aspx?elementName=Achievement Start Date &amp;elementID=6120", "Click here to submit comment")</f>
        <v>Click here to submit comment</v>
      </c>
    </row>
    <row r="27" spans="1:14" ht="75">
      <c r="A27" s="3" t="s">
        <v>143</v>
      </c>
      <c r="B27" s="3" t="s">
        <v>144</v>
      </c>
      <c r="C27" s="3" t="s">
        <v>13</v>
      </c>
      <c r="D27" s="3" t="s">
        <v>5969</v>
      </c>
      <c r="E27" s="3"/>
      <c r="F27" s="3"/>
      <c r="G27" s="3" t="s">
        <v>93</v>
      </c>
      <c r="H27" s="3"/>
      <c r="I27" s="3"/>
      <c r="J27" s="3" t="s">
        <v>145</v>
      </c>
      <c r="K27" s="3"/>
      <c r="L27" s="3" t="s">
        <v>146</v>
      </c>
      <c r="M27" s="3" t="str">
        <f>HYPERLINK("https://ceds.ed.gov/cedselementdetails.aspx?termid=5893")</f>
        <v>https://ceds.ed.gov/cedselementdetails.aspx?termid=5893</v>
      </c>
      <c r="N27" s="3" t="str">
        <f>HYPERLINK("https://ceds.ed.gov/elementComment.aspx?elementName=Achievement Title &amp;elementID=5893", "Click here to submit comment")</f>
        <v>Click here to submit comment</v>
      </c>
    </row>
    <row r="28" spans="1:14" ht="90">
      <c r="A28" s="3" t="s">
        <v>147</v>
      </c>
      <c r="B28" s="3" t="s">
        <v>148</v>
      </c>
      <c r="C28" s="3" t="s">
        <v>13</v>
      </c>
      <c r="D28" s="3" t="s">
        <v>5970</v>
      </c>
      <c r="E28" s="3" t="s">
        <v>5968</v>
      </c>
      <c r="F28" s="3"/>
      <c r="G28" s="3" t="s">
        <v>149</v>
      </c>
      <c r="H28" s="3"/>
      <c r="I28" s="3"/>
      <c r="J28" s="3" t="s">
        <v>150</v>
      </c>
      <c r="K28" s="3"/>
      <c r="L28" s="3" t="s">
        <v>151</v>
      </c>
      <c r="M28" s="3" t="str">
        <f>HYPERLINK("https://ceds.ed.gov/cedselementdetails.aspx?termid=5006")</f>
        <v>https://ceds.ed.gov/cedselementdetails.aspx?termid=5006</v>
      </c>
      <c r="N28" s="3" t="str">
        <f>HYPERLINK("https://ceds.ed.gov/elementComment.aspx?elementName=Activity Identifier &amp;elementID=5006", "Click here to submit comment")</f>
        <v>Click here to submit comment</v>
      </c>
    </row>
    <row r="29" spans="1:14" ht="90">
      <c r="A29" s="3" t="s">
        <v>152</v>
      </c>
      <c r="B29" s="3" t="s">
        <v>153</v>
      </c>
      <c r="C29" s="3" t="s">
        <v>13</v>
      </c>
      <c r="D29" s="3" t="s">
        <v>154</v>
      </c>
      <c r="E29" s="3" t="s">
        <v>5968</v>
      </c>
      <c r="F29" s="3"/>
      <c r="G29" s="3" t="s">
        <v>73</v>
      </c>
      <c r="H29" s="3"/>
      <c r="I29" s="3"/>
      <c r="J29" s="3" t="s">
        <v>155</v>
      </c>
      <c r="K29" s="3"/>
      <c r="L29" s="3" t="s">
        <v>156</v>
      </c>
      <c r="M29" s="3" t="str">
        <f>HYPERLINK("https://ceds.ed.gov/cedselementdetails.aspx?termid=5007")</f>
        <v>https://ceds.ed.gov/cedselementdetails.aspx?termid=5007</v>
      </c>
      <c r="N29" s="3" t="str">
        <f>HYPERLINK("https://ceds.ed.gov/elementComment.aspx?elementName=Activity Involvement Begin Date &amp;elementID=5007", "Click here to submit comment")</f>
        <v>Click here to submit comment</v>
      </c>
    </row>
    <row r="30" spans="1:14" ht="90">
      <c r="A30" s="3" t="s">
        <v>157</v>
      </c>
      <c r="B30" s="3" t="s">
        <v>158</v>
      </c>
      <c r="C30" s="3" t="s">
        <v>13</v>
      </c>
      <c r="D30" s="3" t="s">
        <v>154</v>
      </c>
      <c r="E30" s="3" t="s">
        <v>5968</v>
      </c>
      <c r="F30" s="3"/>
      <c r="G30" s="3" t="s">
        <v>73</v>
      </c>
      <c r="H30" s="3"/>
      <c r="I30" s="3"/>
      <c r="J30" s="3" t="s">
        <v>159</v>
      </c>
      <c r="K30" s="3"/>
      <c r="L30" s="3" t="s">
        <v>160</v>
      </c>
      <c r="M30" s="3" t="str">
        <f>HYPERLINK("https://ceds.ed.gov/cedselementdetails.aspx?termid=5008")</f>
        <v>https://ceds.ed.gov/cedselementdetails.aspx?termid=5008</v>
      </c>
      <c r="N30" s="3" t="str">
        <f>HYPERLINK("https://ceds.ed.gov/elementComment.aspx?elementName=Activity Involvement End Date &amp;elementID=5008", "Click here to submit comment")</f>
        <v>Click here to submit comment</v>
      </c>
    </row>
    <row r="31" spans="1:14" ht="90">
      <c r="A31" s="3" t="s">
        <v>161</v>
      </c>
      <c r="B31" s="3" t="s">
        <v>162</v>
      </c>
      <c r="C31" s="3" t="s">
        <v>13</v>
      </c>
      <c r="D31" s="3" t="s">
        <v>5970</v>
      </c>
      <c r="E31" s="3" t="s">
        <v>5968</v>
      </c>
      <c r="F31" s="3"/>
      <c r="G31" s="3" t="s">
        <v>106</v>
      </c>
      <c r="H31" s="3"/>
      <c r="I31" s="3"/>
      <c r="J31" s="3" t="s">
        <v>163</v>
      </c>
      <c r="K31" s="3"/>
      <c r="L31" s="3" t="s">
        <v>164</v>
      </c>
      <c r="M31" s="3" t="str">
        <f>HYPERLINK("https://ceds.ed.gov/cedselementdetails.aspx?termid=5009")</f>
        <v>https://ceds.ed.gov/cedselementdetails.aspx?termid=5009</v>
      </c>
      <c r="N31" s="3" t="str">
        <f>HYPERLINK("https://ceds.ed.gov/elementComment.aspx?elementName=Activity Title &amp;elementID=5009", "Click here to submit comment")</f>
        <v>Click here to submit comment</v>
      </c>
    </row>
    <row r="32" spans="1:14" ht="255">
      <c r="A32" s="3" t="s">
        <v>165</v>
      </c>
      <c r="B32" s="3" t="s">
        <v>166</v>
      </c>
      <c r="C32" s="4" t="s">
        <v>6352</v>
      </c>
      <c r="D32" s="3" t="s">
        <v>5971</v>
      </c>
      <c r="E32" s="3"/>
      <c r="F32" s="3" t="s">
        <v>66</v>
      </c>
      <c r="G32" s="3"/>
      <c r="H32" s="3" t="s">
        <v>167</v>
      </c>
      <c r="I32" s="3"/>
      <c r="J32" s="3" t="s">
        <v>168</v>
      </c>
      <c r="K32" s="3"/>
      <c r="L32" s="3" t="s">
        <v>169</v>
      </c>
      <c r="M32" s="3" t="str">
        <f>HYPERLINK("https://ceds.ed.gov/cedselementdetails.aspx?termid=5589")</f>
        <v>https://ceds.ed.gov/cedselementdetails.aspx?termid=5589</v>
      </c>
      <c r="N32" s="3" t="str">
        <f>HYPERLINK("https://ceds.ed.gov/elementComment.aspx?elementName=Additional Credit Type &amp;elementID=5589", "Click here to submit comment")</f>
        <v>Click here to submit comment</v>
      </c>
    </row>
    <row r="33" spans="1:14" ht="409.5">
      <c r="A33" s="3" t="s">
        <v>170</v>
      </c>
      <c r="B33" s="3" t="s">
        <v>171</v>
      </c>
      <c r="C33" s="3" t="s">
        <v>13</v>
      </c>
      <c r="D33" s="3" t="s">
        <v>5972</v>
      </c>
      <c r="E33" s="3" t="s">
        <v>5973</v>
      </c>
      <c r="F33" s="3" t="s">
        <v>3</v>
      </c>
      <c r="G33" s="3" t="s">
        <v>100</v>
      </c>
      <c r="H33" s="3"/>
      <c r="I33" s="3"/>
      <c r="J33" s="3" t="s">
        <v>172</v>
      </c>
      <c r="K33" s="3"/>
      <c r="L33" s="3" t="s">
        <v>173</v>
      </c>
      <c r="M33" s="3" t="str">
        <f>HYPERLINK("https://ceds.ed.gov/cedselementdetails.aspx?termid=5019")</f>
        <v>https://ceds.ed.gov/cedselementdetails.aspx?termid=5019</v>
      </c>
      <c r="N33" s="3" t="str">
        <f>HYPERLINK("https://ceds.ed.gov/elementComment.aspx?elementName=Address Apartment Room or Suite Number &amp;elementID=5019", "Click here to submit comment")</f>
        <v>Click here to submit comment</v>
      </c>
    </row>
    <row r="34" spans="1:14" ht="409.5">
      <c r="A34" s="3" t="s">
        <v>174</v>
      </c>
      <c r="B34" s="3" t="s">
        <v>175</v>
      </c>
      <c r="C34" s="3" t="s">
        <v>13</v>
      </c>
      <c r="D34" s="3" t="s">
        <v>5972</v>
      </c>
      <c r="E34" s="3" t="s">
        <v>5973</v>
      </c>
      <c r="F34" s="3" t="s">
        <v>3</v>
      </c>
      <c r="G34" s="3" t="s">
        <v>100</v>
      </c>
      <c r="H34" s="3"/>
      <c r="I34" s="3"/>
      <c r="J34" s="3" t="s">
        <v>176</v>
      </c>
      <c r="K34" s="3"/>
      <c r="L34" s="3" t="s">
        <v>177</v>
      </c>
      <c r="M34" s="3" t="str">
        <f>HYPERLINK("https://ceds.ed.gov/cedselementdetails.aspx?termid=5040")</f>
        <v>https://ceds.ed.gov/cedselementdetails.aspx?termid=5040</v>
      </c>
      <c r="N34" s="3" t="str">
        <f>HYPERLINK("https://ceds.ed.gov/elementComment.aspx?elementName=Address City &amp;elementID=5040", "Click here to submit comment")</f>
        <v>Click here to submit comment</v>
      </c>
    </row>
    <row r="35" spans="1:14" ht="409.5">
      <c r="A35" s="3" t="s">
        <v>178</v>
      </c>
      <c r="B35" s="3" t="s">
        <v>179</v>
      </c>
      <c r="C35" s="3" t="s">
        <v>13</v>
      </c>
      <c r="D35" s="3" t="s">
        <v>5974</v>
      </c>
      <c r="E35" s="3" t="s">
        <v>5973</v>
      </c>
      <c r="F35" s="3" t="s">
        <v>3</v>
      </c>
      <c r="G35" s="3" t="s">
        <v>100</v>
      </c>
      <c r="H35" s="3"/>
      <c r="I35" s="3"/>
      <c r="J35" s="3" t="s">
        <v>180</v>
      </c>
      <c r="K35" s="3"/>
      <c r="L35" s="3" t="s">
        <v>181</v>
      </c>
      <c r="M35" s="3" t="str">
        <f>HYPERLINK("https://ceds.ed.gov/cedselementdetails.aspx?termid=5190")</f>
        <v>https://ceds.ed.gov/cedselementdetails.aspx?termid=5190</v>
      </c>
      <c r="N35" s="3" t="str">
        <f>HYPERLINK("https://ceds.ed.gov/elementComment.aspx?elementName=Address County Name &amp;elementID=5190", "Click here to submit comment")</f>
        <v>Click here to submit comment</v>
      </c>
    </row>
    <row r="36" spans="1:14" ht="409.5">
      <c r="A36" s="3" t="s">
        <v>182</v>
      </c>
      <c r="B36" s="3" t="s">
        <v>183</v>
      </c>
      <c r="C36" s="3" t="s">
        <v>13</v>
      </c>
      <c r="D36" s="3" t="s">
        <v>5972</v>
      </c>
      <c r="E36" s="3" t="s">
        <v>5973</v>
      </c>
      <c r="F36" s="3" t="s">
        <v>3</v>
      </c>
      <c r="G36" s="3" t="s">
        <v>184</v>
      </c>
      <c r="H36" s="3"/>
      <c r="I36" s="3"/>
      <c r="J36" s="3" t="s">
        <v>185</v>
      </c>
      <c r="K36" s="3"/>
      <c r="L36" s="3" t="s">
        <v>186</v>
      </c>
      <c r="M36" s="3" t="str">
        <f>HYPERLINK("https://ceds.ed.gov/cedselementdetails.aspx?termid=5214")</f>
        <v>https://ceds.ed.gov/cedselementdetails.aspx?termid=5214</v>
      </c>
      <c r="N36" s="3" t="str">
        <f>HYPERLINK("https://ceds.ed.gov/elementComment.aspx?elementName=Address Postal Code &amp;elementID=5214", "Click here to submit comment")</f>
        <v>Click here to submit comment</v>
      </c>
    </row>
    <row r="37" spans="1:14" ht="409.5">
      <c r="A37" s="3" t="s">
        <v>187</v>
      </c>
      <c r="B37" s="3" t="s">
        <v>188</v>
      </c>
      <c r="C37" s="3" t="s">
        <v>13</v>
      </c>
      <c r="D37" s="3" t="s">
        <v>5972</v>
      </c>
      <c r="E37" s="3" t="s">
        <v>5973</v>
      </c>
      <c r="F37" s="3" t="s">
        <v>3</v>
      </c>
      <c r="G37" s="3" t="s">
        <v>149</v>
      </c>
      <c r="H37" s="3"/>
      <c r="I37" s="3"/>
      <c r="J37" s="3" t="s">
        <v>189</v>
      </c>
      <c r="K37" s="3"/>
      <c r="L37" s="3" t="s">
        <v>190</v>
      </c>
      <c r="M37" s="3" t="str">
        <f>HYPERLINK("https://ceds.ed.gov/cedselementdetails.aspx?termid=5269")</f>
        <v>https://ceds.ed.gov/cedselementdetails.aspx?termid=5269</v>
      </c>
      <c r="N37" s="3" t="str">
        <f>HYPERLINK("https://ceds.ed.gov/elementComment.aspx?elementName=Address Street Number and Name &amp;elementID=5269", "Click here to submit comment")</f>
        <v>Click here to submit comment</v>
      </c>
    </row>
    <row r="38" spans="1:14" ht="345">
      <c r="A38" s="3" t="s">
        <v>191</v>
      </c>
      <c r="B38" s="3" t="s">
        <v>192</v>
      </c>
      <c r="C38" s="4" t="s">
        <v>6353</v>
      </c>
      <c r="D38" s="3" t="s">
        <v>5975</v>
      </c>
      <c r="E38" s="3" t="s">
        <v>5976</v>
      </c>
      <c r="F38" s="3" t="s">
        <v>66</v>
      </c>
      <c r="G38" s="3" t="s">
        <v>100</v>
      </c>
      <c r="H38" s="3" t="s">
        <v>193</v>
      </c>
      <c r="I38" s="3"/>
      <c r="J38" s="3" t="s">
        <v>194</v>
      </c>
      <c r="K38" s="3"/>
      <c r="L38" s="3" t="s">
        <v>195</v>
      </c>
      <c r="M38" s="3" t="str">
        <f>HYPERLINK("https://ceds.ed.gov/cedselementdetails.aspx?termid=5358")</f>
        <v>https://ceds.ed.gov/cedselementdetails.aspx?termid=5358</v>
      </c>
      <c r="N38" s="3" t="str">
        <f>HYPERLINK("https://ceds.ed.gov/elementComment.aspx?elementName=Address Type for Learner or Family &amp;elementID=5358", "Click here to submit comment")</f>
        <v>Click here to submit comment</v>
      </c>
    </row>
    <row r="39" spans="1:14" ht="255">
      <c r="A39" s="3" t="s">
        <v>196</v>
      </c>
      <c r="B39" s="3" t="s">
        <v>197</v>
      </c>
      <c r="C39" s="4" t="s">
        <v>6354</v>
      </c>
      <c r="D39" s="3" t="s">
        <v>5977</v>
      </c>
      <c r="E39" s="3" t="s">
        <v>5968</v>
      </c>
      <c r="F39" s="3" t="s">
        <v>3</v>
      </c>
      <c r="G39" s="3" t="s">
        <v>100</v>
      </c>
      <c r="H39" s="3"/>
      <c r="I39" s="3"/>
      <c r="J39" s="3" t="s">
        <v>198</v>
      </c>
      <c r="K39" s="3"/>
      <c r="L39" s="3" t="s">
        <v>199</v>
      </c>
      <c r="M39" s="3" t="str">
        <f>HYPERLINK("https://ceds.ed.gov/cedselementdetails.aspx?termid=5644")</f>
        <v>https://ceds.ed.gov/cedselementdetails.aspx?termid=5644</v>
      </c>
      <c r="N39" s="3" t="str">
        <f>HYPERLINK("https://ceds.ed.gov/elementComment.aspx?elementName=Address Type for Organization &amp;elementID=5644", "Click here to submit comment")</f>
        <v>Click here to submit comment</v>
      </c>
    </row>
    <row r="40" spans="1:14" ht="300">
      <c r="A40" s="3" t="s">
        <v>200</v>
      </c>
      <c r="B40" s="3" t="s">
        <v>201</v>
      </c>
      <c r="C40" s="4" t="s">
        <v>6355</v>
      </c>
      <c r="D40" s="3" t="s">
        <v>5978</v>
      </c>
      <c r="E40" s="3" t="s">
        <v>202</v>
      </c>
      <c r="F40" s="3" t="s">
        <v>3</v>
      </c>
      <c r="G40" s="3" t="s">
        <v>100</v>
      </c>
      <c r="H40" s="3"/>
      <c r="I40" s="3"/>
      <c r="J40" s="3" t="s">
        <v>203</v>
      </c>
      <c r="K40" s="3"/>
      <c r="L40" s="3" t="s">
        <v>204</v>
      </c>
      <c r="M40" s="3" t="str">
        <f>HYPERLINK("https://ceds.ed.gov/cedselementdetails.aspx?termid=5698")</f>
        <v>https://ceds.ed.gov/cedselementdetails.aspx?termid=5698</v>
      </c>
      <c r="N40" s="3" t="str">
        <f>HYPERLINK("https://ceds.ed.gov/elementComment.aspx?elementName=Address Type for Staff &amp;elementID=5698", "Click here to submit comment")</f>
        <v>Click here to submit comment</v>
      </c>
    </row>
    <row r="41" spans="1:14" ht="45">
      <c r="A41" s="3" t="s">
        <v>205</v>
      </c>
      <c r="B41" s="3" t="s">
        <v>206</v>
      </c>
      <c r="C41" s="3" t="s">
        <v>5963</v>
      </c>
      <c r="D41" s="3" t="s">
        <v>5979</v>
      </c>
      <c r="E41" s="3" t="s">
        <v>207</v>
      </c>
      <c r="F41" s="3"/>
      <c r="G41" s="3"/>
      <c r="H41" s="3"/>
      <c r="I41" s="3"/>
      <c r="J41" s="3" t="s">
        <v>208</v>
      </c>
      <c r="K41" s="3" t="s">
        <v>209</v>
      </c>
      <c r="L41" s="3" t="s">
        <v>210</v>
      </c>
      <c r="M41" s="3" t="str">
        <f>HYPERLINK("https://ceds.ed.gov/cedselementdetails.aspx?termid=5433")</f>
        <v>https://ceds.ed.gov/cedselementdetails.aspx?termid=5433</v>
      </c>
      <c r="N41" s="3" t="str">
        <f>HYPERLINK("https://ceds.ed.gov/elementComment.aspx?elementName=Adequate Yearly Progress Appeal Changed Designation &amp;elementID=5433", "Click here to submit comment")</f>
        <v>Click here to submit comment</v>
      </c>
    </row>
    <row r="42" spans="1:14" ht="45">
      <c r="A42" s="3" t="s">
        <v>211</v>
      </c>
      <c r="B42" s="3" t="s">
        <v>212</v>
      </c>
      <c r="C42" s="3" t="s">
        <v>13</v>
      </c>
      <c r="D42" s="3" t="s">
        <v>5979</v>
      </c>
      <c r="E42" s="3" t="s">
        <v>207</v>
      </c>
      <c r="F42" s="3"/>
      <c r="G42" s="3" t="s">
        <v>73</v>
      </c>
      <c r="H42" s="3"/>
      <c r="I42" s="3"/>
      <c r="J42" s="3" t="s">
        <v>213</v>
      </c>
      <c r="K42" s="3" t="s">
        <v>214</v>
      </c>
      <c r="L42" s="3" t="s">
        <v>215</v>
      </c>
      <c r="M42" s="3" t="str">
        <f>HYPERLINK("https://ceds.ed.gov/cedselementdetails.aspx?termid=5434")</f>
        <v>https://ceds.ed.gov/cedselementdetails.aspx?termid=5434</v>
      </c>
      <c r="N42" s="3" t="str">
        <f>HYPERLINK("https://ceds.ed.gov/elementComment.aspx?elementName=Adequate Yearly Progress Appeal Process Date &amp;elementID=5434", "Click here to submit comment")</f>
        <v>Click here to submit comment</v>
      </c>
    </row>
    <row r="43" spans="1:14" ht="75">
      <c r="A43" s="3" t="s">
        <v>216</v>
      </c>
      <c r="B43" s="3" t="s">
        <v>217</v>
      </c>
      <c r="C43" s="4" t="s">
        <v>6356</v>
      </c>
      <c r="D43" s="3" t="s">
        <v>5980</v>
      </c>
      <c r="E43" s="3" t="s">
        <v>218</v>
      </c>
      <c r="F43" s="3"/>
      <c r="G43" s="3"/>
      <c r="H43" s="3"/>
      <c r="I43" s="3"/>
      <c r="J43" s="3" t="s">
        <v>219</v>
      </c>
      <c r="K43" s="3" t="s">
        <v>220</v>
      </c>
      <c r="L43" s="3" t="s">
        <v>221</v>
      </c>
      <c r="M43" s="3" t="str">
        <f>HYPERLINK("https://ceds.ed.gov/cedselementdetails.aspx?termid=5011")</f>
        <v>https://ceds.ed.gov/cedselementdetails.aspx?termid=5011</v>
      </c>
      <c r="N43" s="3" t="str">
        <f>HYPERLINK("https://ceds.ed.gov/elementComment.aspx?elementName=Adequate Yearly Progress Status &amp;elementID=5011", "Click here to submit comment")</f>
        <v>Click here to submit comment</v>
      </c>
    </row>
    <row r="44" spans="1:14" ht="60">
      <c r="A44" s="3" t="s">
        <v>222</v>
      </c>
      <c r="B44" s="3" t="s">
        <v>223</v>
      </c>
      <c r="C44" s="4" t="s">
        <v>6357</v>
      </c>
      <c r="D44" s="3" t="s">
        <v>224</v>
      </c>
      <c r="E44" s="3"/>
      <c r="F44" s="3"/>
      <c r="G44" s="3"/>
      <c r="H44" s="3"/>
      <c r="I44" s="3"/>
      <c r="J44" s="3" t="s">
        <v>225</v>
      </c>
      <c r="K44" s="3"/>
      <c r="L44" s="3" t="s">
        <v>226</v>
      </c>
      <c r="M44" s="3" t="str">
        <f>HYPERLINK("https://ceds.ed.gov/cedselementdetails.aspx?termid=5012")</f>
        <v>https://ceds.ed.gov/cedselementdetails.aspx?termid=5012</v>
      </c>
      <c r="N44" s="3" t="str">
        <f>HYPERLINK("https://ceds.ed.gov/elementComment.aspx?elementName=Administrative Funding Control &amp;elementID=5012", "Click here to submit comment")</f>
        <v>Click here to submit comment</v>
      </c>
    </row>
    <row r="45" spans="1:14" ht="120">
      <c r="A45" s="3" t="s">
        <v>227</v>
      </c>
      <c r="B45" s="3" t="s">
        <v>228</v>
      </c>
      <c r="C45" s="4" t="s">
        <v>6358</v>
      </c>
      <c r="D45" s="3" t="s">
        <v>229</v>
      </c>
      <c r="E45" s="3" t="s">
        <v>65</v>
      </c>
      <c r="F45" s="3" t="s">
        <v>66</v>
      </c>
      <c r="G45" s="3"/>
      <c r="H45" s="3" t="s">
        <v>230</v>
      </c>
      <c r="I45" s="3" t="s">
        <v>231</v>
      </c>
      <c r="J45" s="3" t="s">
        <v>232</v>
      </c>
      <c r="K45" s="3"/>
      <c r="L45" s="3" t="s">
        <v>233</v>
      </c>
      <c r="M45" s="3" t="str">
        <f>HYPERLINK("https://ceds.ed.gov/cedselementdetails.aspx?termid=5984")</f>
        <v>https://ceds.ed.gov/cedselementdetails.aspx?termid=5984</v>
      </c>
      <c r="N45" s="3" t="str">
        <f>HYPERLINK("https://ceds.ed.gov/elementComment.aspx?elementName=Administrative Policy Type &amp;elementID=5984", "Click here to submit comment")</f>
        <v>Click here to submit comment</v>
      </c>
    </row>
    <row r="46" spans="1:14" ht="135">
      <c r="A46" s="3" t="s">
        <v>234</v>
      </c>
      <c r="B46" s="3" t="s">
        <v>235</v>
      </c>
      <c r="C46" s="4" t="s">
        <v>6359</v>
      </c>
      <c r="D46" s="3" t="s">
        <v>236</v>
      </c>
      <c r="E46" s="3" t="s">
        <v>237</v>
      </c>
      <c r="F46" s="3"/>
      <c r="G46" s="3"/>
      <c r="H46" s="3"/>
      <c r="I46" s="3" t="s">
        <v>238</v>
      </c>
      <c r="J46" s="3" t="s">
        <v>239</v>
      </c>
      <c r="K46" s="3"/>
      <c r="L46" s="3" t="s">
        <v>240</v>
      </c>
      <c r="M46" s="3" t="str">
        <f>HYPERLINK("https://ceds.ed.gov/cedselementdetails.aspx?termid=5736")</f>
        <v>https://ceds.ed.gov/cedselementdetails.aspx?termid=5736</v>
      </c>
      <c r="N46" s="3" t="str">
        <f>HYPERLINK("https://ceds.ed.gov/elementComment.aspx?elementName=Admitted Student &amp;elementID=5736", "Click here to submit comment")</f>
        <v>Click here to submit comment</v>
      </c>
    </row>
    <row r="47" spans="1:14" ht="150">
      <c r="A47" s="3" t="s">
        <v>241</v>
      </c>
      <c r="B47" s="3" t="s">
        <v>242</v>
      </c>
      <c r="C47" s="4" t="s">
        <v>6360</v>
      </c>
      <c r="D47" s="3" t="s">
        <v>243</v>
      </c>
      <c r="E47" s="3"/>
      <c r="F47" s="3"/>
      <c r="G47" s="3"/>
      <c r="H47" s="3"/>
      <c r="I47" s="3"/>
      <c r="J47" s="3" t="s">
        <v>244</v>
      </c>
      <c r="K47" s="3"/>
      <c r="L47" s="3" t="s">
        <v>245</v>
      </c>
      <c r="M47" s="3" t="str">
        <f>HYPERLINK("https://ceds.ed.gov/cedselementdetails.aspx?termid=5775")</f>
        <v>https://ceds.ed.gov/cedselementdetails.aspx?termid=5775</v>
      </c>
      <c r="N47" s="3" t="str">
        <f>HYPERLINK("https://ceds.ed.gov/elementComment.aspx?elementName=Adult Education Certification Type &amp;elementID=5775", "Click here to submit comment")</f>
        <v>Click here to submit comment</v>
      </c>
    </row>
    <row r="48" spans="1:14" ht="75">
      <c r="A48" s="3" t="s">
        <v>246</v>
      </c>
      <c r="B48" s="3" t="s">
        <v>247</v>
      </c>
      <c r="C48" s="4" t="s">
        <v>6361</v>
      </c>
      <c r="D48" s="3" t="s">
        <v>248</v>
      </c>
      <c r="E48" s="3"/>
      <c r="F48" s="3" t="s">
        <v>66</v>
      </c>
      <c r="G48" s="3"/>
      <c r="H48" s="3" t="s">
        <v>193</v>
      </c>
      <c r="I48" s="3"/>
      <c r="J48" s="3" t="s">
        <v>249</v>
      </c>
      <c r="K48" s="3"/>
      <c r="L48" s="3" t="s">
        <v>250</v>
      </c>
      <c r="M48" s="3" t="str">
        <f>HYPERLINK("https://ceds.ed.gov/cedselementdetails.aspx?termid=5765")</f>
        <v>https://ceds.ed.gov/cedselementdetails.aspx?termid=5765</v>
      </c>
      <c r="N48" s="3" t="str">
        <f>HYPERLINK("https://ceds.ed.gov/elementComment.aspx?elementName=Adult Education Instructional Program Type &amp;elementID=5765", "Click here to submit comment")</f>
        <v>Click here to submit comment</v>
      </c>
    </row>
    <row r="49" spans="1:14" ht="120">
      <c r="A49" s="3" t="s">
        <v>251</v>
      </c>
      <c r="B49" s="3" t="s">
        <v>252</v>
      </c>
      <c r="C49" s="4" t="s">
        <v>6362</v>
      </c>
      <c r="D49" s="3" t="s">
        <v>248</v>
      </c>
      <c r="E49" s="3"/>
      <c r="F49" s="3"/>
      <c r="G49" s="3"/>
      <c r="H49" s="3"/>
      <c r="I49" s="3"/>
      <c r="J49" s="3" t="s">
        <v>253</v>
      </c>
      <c r="K49" s="3"/>
      <c r="L49" s="3" t="s">
        <v>254</v>
      </c>
      <c r="M49" s="3" t="str">
        <f>HYPERLINK("https://ceds.ed.gov/cedselementdetails.aspx?termid=5768")</f>
        <v>https://ceds.ed.gov/cedselementdetails.aspx?termid=5768</v>
      </c>
      <c r="N49" s="3" t="str">
        <f>HYPERLINK("https://ceds.ed.gov/elementComment.aspx?elementName=Adult Education Postsecondary Transition Action &amp;elementID=5768", "Click here to submit comment")</f>
        <v>Click here to submit comment</v>
      </c>
    </row>
    <row r="50" spans="1:14" ht="75">
      <c r="A50" s="3" t="s">
        <v>255</v>
      </c>
      <c r="B50" s="3" t="s">
        <v>256</v>
      </c>
      <c r="C50" s="3" t="s">
        <v>13</v>
      </c>
      <c r="D50" s="3" t="s">
        <v>248</v>
      </c>
      <c r="E50" s="3"/>
      <c r="F50" s="3"/>
      <c r="G50" s="3" t="s">
        <v>73</v>
      </c>
      <c r="H50" s="3"/>
      <c r="I50" s="3"/>
      <c r="J50" s="3" t="s">
        <v>257</v>
      </c>
      <c r="K50" s="3"/>
      <c r="L50" s="3" t="s">
        <v>258</v>
      </c>
      <c r="M50" s="3" t="str">
        <f>HYPERLINK("https://ceds.ed.gov/cedselementdetails.aspx?termid=5769")</f>
        <v>https://ceds.ed.gov/cedselementdetails.aspx?termid=5769</v>
      </c>
      <c r="N50" s="3" t="str">
        <f>HYPERLINK("https://ceds.ed.gov/elementComment.aspx?elementName=Adult Education Postsecondary Transition Date &amp;elementID=5769", "Click here to submit comment")</f>
        <v>Click here to submit comment</v>
      </c>
    </row>
    <row r="51" spans="1:14" ht="195">
      <c r="A51" s="3" t="s">
        <v>259</v>
      </c>
      <c r="B51" s="3" t="s">
        <v>260</v>
      </c>
      <c r="C51" s="4" t="s">
        <v>6363</v>
      </c>
      <c r="D51" s="3" t="s">
        <v>261</v>
      </c>
      <c r="E51" s="3"/>
      <c r="F51" s="3" t="s">
        <v>66</v>
      </c>
      <c r="G51" s="3"/>
      <c r="H51" s="3" t="s">
        <v>193</v>
      </c>
      <c r="I51" s="3"/>
      <c r="J51" s="3" t="s">
        <v>262</v>
      </c>
      <c r="K51" s="3"/>
      <c r="L51" s="3" t="s">
        <v>263</v>
      </c>
      <c r="M51" s="3" t="str">
        <f>HYPERLINK("https://ceds.ed.gov/cedselementdetails.aspx?termid=5779")</f>
        <v>https://ceds.ed.gov/cedselementdetails.aspx?termid=5779</v>
      </c>
      <c r="N51" s="3" t="str">
        <f>HYPERLINK("https://ceds.ed.gov/elementComment.aspx?elementName=Adult Education Provider Type &amp;elementID=5779", "Click here to submit comment")</f>
        <v>Click here to submit comment</v>
      </c>
    </row>
    <row r="52" spans="1:14" ht="240">
      <c r="A52" s="3" t="s">
        <v>264</v>
      </c>
      <c r="B52" s="3" t="s">
        <v>265</v>
      </c>
      <c r="C52" s="4" t="s">
        <v>6364</v>
      </c>
      <c r="D52" s="3" t="s">
        <v>5981</v>
      </c>
      <c r="E52" s="3"/>
      <c r="F52" s="3" t="s">
        <v>3</v>
      </c>
      <c r="G52" s="3"/>
      <c r="H52" s="3"/>
      <c r="I52" s="3"/>
      <c r="J52" s="3" t="s">
        <v>266</v>
      </c>
      <c r="K52" s="3"/>
      <c r="L52" s="3" t="s">
        <v>267</v>
      </c>
      <c r="M52" s="3" t="str">
        <f>HYPERLINK("https://ceds.ed.gov/cedselementdetails.aspx?termid=5778")</f>
        <v>https://ceds.ed.gov/cedselementdetails.aspx?termid=5778</v>
      </c>
      <c r="N52" s="3" t="str">
        <f>HYPERLINK("https://ceds.ed.gov/elementComment.aspx?elementName=Adult Education Service Provider Identification System &amp;elementID=5778", "Click here to submit comment")</f>
        <v>Click here to submit comment</v>
      </c>
    </row>
    <row r="53" spans="1:14" ht="60">
      <c r="A53" s="3" t="s">
        <v>268</v>
      </c>
      <c r="B53" s="3" t="s">
        <v>269</v>
      </c>
      <c r="C53" s="3" t="s">
        <v>13</v>
      </c>
      <c r="D53" s="3" t="s">
        <v>5981</v>
      </c>
      <c r="E53" s="3"/>
      <c r="F53" s="3" t="s">
        <v>3</v>
      </c>
      <c r="G53" s="3" t="s">
        <v>100</v>
      </c>
      <c r="H53" s="3"/>
      <c r="I53" s="3"/>
      <c r="J53" s="3" t="s">
        <v>270</v>
      </c>
      <c r="K53" s="3"/>
      <c r="L53" s="3" t="s">
        <v>271</v>
      </c>
      <c r="M53" s="3" t="str">
        <f>HYPERLINK("https://ceds.ed.gov/cedselementdetails.aspx?termid=5777")</f>
        <v>https://ceds.ed.gov/cedselementdetails.aspx?termid=5777</v>
      </c>
      <c r="N53" s="3" t="str">
        <f>HYPERLINK("https://ceds.ed.gov/elementComment.aspx?elementName=Adult Education Service Provider Identifier &amp;elementID=5777", "Click here to submit comment")</f>
        <v>Click here to submit comment</v>
      </c>
    </row>
    <row r="54" spans="1:14" ht="165">
      <c r="A54" s="3" t="s">
        <v>272</v>
      </c>
      <c r="B54" s="3" t="s">
        <v>273</v>
      </c>
      <c r="C54" s="4" t="s">
        <v>6365</v>
      </c>
      <c r="D54" s="3" t="s">
        <v>248</v>
      </c>
      <c r="E54" s="3"/>
      <c r="F54" s="3" t="s">
        <v>66</v>
      </c>
      <c r="G54" s="3"/>
      <c r="H54" s="3" t="s">
        <v>274</v>
      </c>
      <c r="I54" s="3" t="s">
        <v>275</v>
      </c>
      <c r="J54" s="3" t="s">
        <v>276</v>
      </c>
      <c r="K54" s="3"/>
      <c r="L54" s="3" t="s">
        <v>277</v>
      </c>
      <c r="M54" s="3" t="str">
        <f>HYPERLINK("https://ceds.ed.gov/cedselementdetails.aspx?termid=5766")</f>
        <v>https://ceds.ed.gov/cedselementdetails.aspx?termid=5766</v>
      </c>
      <c r="N54" s="3" t="str">
        <f>HYPERLINK("https://ceds.ed.gov/elementComment.aspx?elementName=Adult Education Special Program Type &amp;elementID=5766", "Click here to submit comment")</f>
        <v>Click here to submit comment</v>
      </c>
    </row>
    <row r="55" spans="1:14" ht="240">
      <c r="A55" s="3" t="s">
        <v>278</v>
      </c>
      <c r="B55" s="3" t="s">
        <v>279</v>
      </c>
      <c r="C55" s="4" t="s">
        <v>6366</v>
      </c>
      <c r="D55" s="3" t="s">
        <v>280</v>
      </c>
      <c r="E55" s="3"/>
      <c r="F55" s="3" t="s">
        <v>66</v>
      </c>
      <c r="G55" s="3"/>
      <c r="H55" s="3" t="s">
        <v>281</v>
      </c>
      <c r="I55" s="3"/>
      <c r="J55" s="3" t="s">
        <v>282</v>
      </c>
      <c r="K55" s="3"/>
      <c r="L55" s="3" t="s">
        <v>283</v>
      </c>
      <c r="M55" s="3" t="str">
        <f>HYPERLINK("https://ceds.ed.gov/cedselementdetails.aspx?termid=5770")</f>
        <v>https://ceds.ed.gov/cedselementdetails.aspx?termid=5770</v>
      </c>
      <c r="N55" s="3" t="str">
        <f>HYPERLINK("https://ceds.ed.gov/elementComment.aspx?elementName=Adult Education Staff Classification &amp;elementID=5770", "Click here to submit comment")</f>
        <v>Click here to submit comment</v>
      </c>
    </row>
    <row r="56" spans="1:14" ht="105">
      <c r="A56" s="3" t="s">
        <v>284</v>
      </c>
      <c r="B56" s="3" t="s">
        <v>285</v>
      </c>
      <c r="C56" s="4" t="s">
        <v>6367</v>
      </c>
      <c r="D56" s="3" t="s">
        <v>280</v>
      </c>
      <c r="E56" s="3"/>
      <c r="F56" s="3"/>
      <c r="G56" s="3"/>
      <c r="H56" s="3"/>
      <c r="I56" s="3"/>
      <c r="J56" s="3" t="s">
        <v>286</v>
      </c>
      <c r="K56" s="3"/>
      <c r="L56" s="3" t="s">
        <v>287</v>
      </c>
      <c r="M56" s="3" t="str">
        <f>HYPERLINK("https://ceds.ed.gov/cedselementdetails.aspx?termid=5771")</f>
        <v>https://ceds.ed.gov/cedselementdetails.aspx?termid=5771</v>
      </c>
      <c r="N56" s="3" t="str">
        <f>HYPERLINK("https://ceds.ed.gov/elementComment.aspx?elementName=Adult Education Staff Employment Status &amp;elementID=5771", "Click here to submit comment")</f>
        <v>Click here to submit comment</v>
      </c>
    </row>
    <row r="57" spans="1:14" ht="270">
      <c r="A57" s="3" t="s">
        <v>288</v>
      </c>
      <c r="B57" s="3" t="s">
        <v>289</v>
      </c>
      <c r="C57" s="4" t="s">
        <v>6368</v>
      </c>
      <c r="D57" s="3" t="s">
        <v>248</v>
      </c>
      <c r="E57" s="3"/>
      <c r="F57" s="3"/>
      <c r="G57" s="3"/>
      <c r="H57" s="3"/>
      <c r="I57" s="3"/>
      <c r="J57" s="3" t="s">
        <v>290</v>
      </c>
      <c r="K57" s="3"/>
      <c r="L57" s="3" t="s">
        <v>291</v>
      </c>
      <c r="M57" s="3" t="str">
        <f>HYPERLINK("https://ceds.ed.gov/cedselementdetails.aspx?termid=5763")</f>
        <v>https://ceds.ed.gov/cedselementdetails.aspx?termid=5763</v>
      </c>
      <c r="N57" s="3" t="str">
        <f>HYPERLINK("https://ceds.ed.gov/elementComment.aspx?elementName=Adult Educational Functioning Level at Intake &amp;elementID=5763", "Click here to submit comment")</f>
        <v>Click here to submit comment</v>
      </c>
    </row>
    <row r="58" spans="1:14" ht="270">
      <c r="A58" s="3" t="s">
        <v>292</v>
      </c>
      <c r="B58" s="3" t="s">
        <v>293</v>
      </c>
      <c r="C58" s="4" t="s">
        <v>6368</v>
      </c>
      <c r="D58" s="3" t="s">
        <v>248</v>
      </c>
      <c r="E58" s="3"/>
      <c r="F58" s="3"/>
      <c r="G58" s="3"/>
      <c r="H58" s="3"/>
      <c r="I58" s="3"/>
      <c r="J58" s="3" t="s">
        <v>294</v>
      </c>
      <c r="K58" s="3"/>
      <c r="L58" s="3" t="s">
        <v>295</v>
      </c>
      <c r="M58" s="3" t="str">
        <f>HYPERLINK("https://ceds.ed.gov/cedselementdetails.aspx?termid=5764")</f>
        <v>https://ceds.ed.gov/cedselementdetails.aspx?termid=5764</v>
      </c>
      <c r="N58" s="3" t="str">
        <f>HYPERLINK("https://ceds.ed.gov/elementComment.aspx?elementName=Adult Educational Functioning Level at Posttest &amp;elementID=5764", "Click here to submit comment")</f>
        <v>Click here to submit comment</v>
      </c>
    </row>
    <row r="59" spans="1:14" ht="409.5">
      <c r="A59" s="3" t="s">
        <v>296</v>
      </c>
      <c r="B59" s="3" t="s">
        <v>297</v>
      </c>
      <c r="C59" s="4" t="s">
        <v>6369</v>
      </c>
      <c r="D59" s="3" t="s">
        <v>5982</v>
      </c>
      <c r="E59" s="3"/>
      <c r="F59" s="3" t="s">
        <v>54</v>
      </c>
      <c r="G59" s="3" t="s">
        <v>106</v>
      </c>
      <c r="H59" s="3"/>
      <c r="I59" s="3"/>
      <c r="J59" s="3" t="s">
        <v>298</v>
      </c>
      <c r="K59" s="3" t="s">
        <v>299</v>
      </c>
      <c r="L59" s="3" t="s">
        <v>300</v>
      </c>
      <c r="M59" s="3" t="str">
        <f>HYPERLINK("https://ceds.ed.gov/cedselementdetails.aspx?termid=6244")</f>
        <v>https://ceds.ed.gov/cedselementdetails.aspx?termid=6244</v>
      </c>
      <c r="N59" s="3" t="str">
        <f>HYPERLINK("https://ceds.ed.gov/elementComment.aspx?elementName=Advanced Placement Course Code &amp;elementID=6244", "Click here to submit comment")</f>
        <v>Click here to submit comment</v>
      </c>
    </row>
    <row r="60" spans="1:14" ht="60">
      <c r="A60" s="3" t="s">
        <v>301</v>
      </c>
      <c r="B60" s="3" t="s">
        <v>302</v>
      </c>
      <c r="C60" s="3" t="s">
        <v>5963</v>
      </c>
      <c r="D60" s="3" t="s">
        <v>224</v>
      </c>
      <c r="E60" s="3" t="s">
        <v>2</v>
      </c>
      <c r="F60" s="3"/>
      <c r="G60" s="3"/>
      <c r="H60" s="3"/>
      <c r="I60" s="3"/>
      <c r="J60" s="3" t="s">
        <v>303</v>
      </c>
      <c r="K60" s="3" t="s">
        <v>304</v>
      </c>
      <c r="L60" s="3" t="s">
        <v>305</v>
      </c>
      <c r="M60" s="3" t="str">
        <f>HYPERLINK("https://ceds.ed.gov/cedselementdetails.aspx?termid=5017")</f>
        <v>https://ceds.ed.gov/cedselementdetails.aspx?termid=5017</v>
      </c>
      <c r="N60" s="3" t="str">
        <f>HYPERLINK("https://ceds.ed.gov/elementComment.aspx?elementName=Advanced Placement Course Self Selection &amp;elementID=5017", "Click here to submit comment")</f>
        <v>Click here to submit comment</v>
      </c>
    </row>
    <row r="61" spans="1:14" ht="90">
      <c r="A61" s="3" t="s">
        <v>306</v>
      </c>
      <c r="B61" s="3" t="s">
        <v>307</v>
      </c>
      <c r="C61" s="3" t="s">
        <v>13</v>
      </c>
      <c r="D61" s="3" t="s">
        <v>14</v>
      </c>
      <c r="E61" s="3" t="s">
        <v>24</v>
      </c>
      <c r="F61" s="3"/>
      <c r="G61" s="3" t="s">
        <v>308</v>
      </c>
      <c r="H61" s="3"/>
      <c r="I61" s="3"/>
      <c r="J61" s="3" t="s">
        <v>309</v>
      </c>
      <c r="K61" s="3" t="s">
        <v>310</v>
      </c>
      <c r="L61" s="3" t="s">
        <v>311</v>
      </c>
      <c r="M61" s="3" t="str">
        <f>HYPERLINK("https://ceds.ed.gov/cedselementdetails.aspx?termid=5018")</f>
        <v>https://ceds.ed.gov/cedselementdetails.aspx?termid=5018</v>
      </c>
      <c r="N61" s="3" t="str">
        <f>HYPERLINK("https://ceds.ed.gov/elementComment.aspx?elementName=Advanced Placement Credits Awarded &amp;elementID=5018", "Click here to submit comment")</f>
        <v>Click here to submit comment</v>
      </c>
    </row>
    <row r="62" spans="1:14" ht="60">
      <c r="A62" s="3" t="s">
        <v>312</v>
      </c>
      <c r="B62" s="3" t="s">
        <v>313</v>
      </c>
      <c r="C62" s="3" t="s">
        <v>13</v>
      </c>
      <c r="D62" s="3" t="s">
        <v>314</v>
      </c>
      <c r="E62" s="3"/>
      <c r="F62" s="3" t="s">
        <v>54</v>
      </c>
      <c r="G62" s="3" t="s">
        <v>100</v>
      </c>
      <c r="H62" s="3"/>
      <c r="I62" s="3"/>
      <c r="J62" s="3" t="s">
        <v>315</v>
      </c>
      <c r="K62" s="3"/>
      <c r="L62" s="3" t="s">
        <v>316</v>
      </c>
      <c r="M62" s="3" t="str">
        <f>HYPERLINK("https://ceds.ed.gov/cedselementdetails.aspx?termid=6246")</f>
        <v>https://ceds.ed.gov/cedselementdetails.aspx?termid=6246</v>
      </c>
      <c r="N62" s="3" t="str">
        <f>HYPERLINK("https://ceds.ed.gov/elementComment.aspx?elementName=Agency Course Identifier &amp;elementID=6246", "Click here to submit comment")</f>
        <v>Click here to submit comment</v>
      </c>
    </row>
    <row r="63" spans="1:14" ht="60">
      <c r="A63" s="3" t="s">
        <v>317</v>
      </c>
      <c r="B63" s="3" t="s">
        <v>318</v>
      </c>
      <c r="C63" s="3" t="s">
        <v>13</v>
      </c>
      <c r="D63" s="3" t="s">
        <v>5983</v>
      </c>
      <c r="E63" s="3"/>
      <c r="F63" s="3" t="s">
        <v>54</v>
      </c>
      <c r="G63" s="3" t="s">
        <v>319</v>
      </c>
      <c r="H63" s="3"/>
      <c r="I63" s="3"/>
      <c r="J63" s="3" t="s">
        <v>320</v>
      </c>
      <c r="K63" s="3"/>
      <c r="L63" s="3" t="s">
        <v>321</v>
      </c>
      <c r="M63" s="3" t="str">
        <f>HYPERLINK("https://ceds.ed.gov/cedselementdetails.aspx?termid=6247")</f>
        <v>https://ceds.ed.gov/cedselementdetails.aspx?termid=6247</v>
      </c>
      <c r="N63" s="3" t="str">
        <f>HYPERLINK("https://ceds.ed.gov/elementComment.aspx?elementName=Allergy Reaction Description &amp;elementID=6247", "Click here to submit comment")</f>
        <v>Click here to submit comment</v>
      </c>
    </row>
    <row r="64" spans="1:14" ht="60">
      <c r="A64" s="3" t="s">
        <v>322</v>
      </c>
      <c r="B64" s="3" t="s">
        <v>323</v>
      </c>
      <c r="C64" s="3" t="s">
        <v>5984</v>
      </c>
      <c r="D64" s="3" t="s">
        <v>5983</v>
      </c>
      <c r="E64" s="3"/>
      <c r="F64" s="3" t="s">
        <v>54</v>
      </c>
      <c r="G64" s="3"/>
      <c r="H64" s="3"/>
      <c r="I64" s="3"/>
      <c r="J64" s="3" t="s">
        <v>324</v>
      </c>
      <c r="K64" s="3"/>
      <c r="L64" s="3" t="s">
        <v>325</v>
      </c>
      <c r="M64" s="3" t="str">
        <f>HYPERLINK("https://ceds.ed.gov/cedselementdetails.aspx?termid=6248")</f>
        <v>https://ceds.ed.gov/cedselementdetails.aspx?termid=6248</v>
      </c>
      <c r="N64" s="3" t="str">
        <f>HYPERLINK("https://ceds.ed.gov/elementComment.aspx?elementName=Allergy Severity &amp;elementID=6248", "Click here to submit comment")</f>
        <v>Click here to submit comment</v>
      </c>
    </row>
    <row r="65" spans="1:14" ht="409.5">
      <c r="A65" s="3" t="s">
        <v>326</v>
      </c>
      <c r="B65" s="3" t="s">
        <v>327</v>
      </c>
      <c r="C65" s="4" t="s">
        <v>6370</v>
      </c>
      <c r="D65" s="3" t="s">
        <v>5983</v>
      </c>
      <c r="E65" s="3"/>
      <c r="F65" s="3" t="s">
        <v>54</v>
      </c>
      <c r="G65" s="3"/>
      <c r="H65" s="3"/>
      <c r="I65" s="3" t="s">
        <v>328</v>
      </c>
      <c r="J65" s="3" t="s">
        <v>329</v>
      </c>
      <c r="K65" s="3"/>
      <c r="L65" s="3" t="s">
        <v>330</v>
      </c>
      <c r="M65" s="3" t="str">
        <f>HYPERLINK("https://ceds.ed.gov/cedselementdetails.aspx?termid=6249")</f>
        <v>https://ceds.ed.gov/cedselementdetails.aspx?termid=6249</v>
      </c>
      <c r="N65" s="3" t="str">
        <f>HYPERLINK("https://ceds.ed.gov/elementComment.aspx?elementName=Allergy Type &amp;elementID=6249", "Click here to submit comment")</f>
        <v>Click here to submit comment</v>
      </c>
    </row>
    <row r="66" spans="1:14" ht="60">
      <c r="A66" s="3" t="s">
        <v>331</v>
      </c>
      <c r="B66" s="3" t="s">
        <v>332</v>
      </c>
      <c r="C66" s="3" t="s">
        <v>5963</v>
      </c>
      <c r="D66" s="3" t="s">
        <v>5979</v>
      </c>
      <c r="E66" s="3" t="s">
        <v>218</v>
      </c>
      <c r="F66" s="3"/>
      <c r="G66" s="3"/>
      <c r="H66" s="3"/>
      <c r="I66" s="3"/>
      <c r="J66" s="3" t="s">
        <v>333</v>
      </c>
      <c r="K66" s="3" t="s">
        <v>334</v>
      </c>
      <c r="L66" s="3" t="s">
        <v>335</v>
      </c>
      <c r="M66" s="3" t="str">
        <f>HYPERLINK("https://ceds.ed.gov/cedselementdetails.aspx?termid=5014")</f>
        <v>https://ceds.ed.gov/cedselementdetails.aspx?termid=5014</v>
      </c>
      <c r="N66" s="3" t="str">
        <f>HYPERLINK("https://ceds.ed.gov/elementComment.aspx?elementName=Alternate Adequate Yearly Progress Approach Indicator &amp;elementID=5014", "Click here to submit comment")</f>
        <v>Click here to submit comment</v>
      </c>
    </row>
    <row r="67" spans="1:14" ht="45">
      <c r="A67" s="3" t="s">
        <v>336</v>
      </c>
      <c r="B67" s="3" t="s">
        <v>337</v>
      </c>
      <c r="C67" s="3" t="s">
        <v>13</v>
      </c>
      <c r="D67" s="3" t="s">
        <v>338</v>
      </c>
      <c r="E67" s="3"/>
      <c r="F67" s="3"/>
      <c r="G67" s="3" t="s">
        <v>100</v>
      </c>
      <c r="H67" s="3"/>
      <c r="I67" s="3"/>
      <c r="J67" s="3" t="s">
        <v>339</v>
      </c>
      <c r="K67" s="3"/>
      <c r="L67" s="3" t="s">
        <v>340</v>
      </c>
      <c r="M67" s="3" t="str">
        <f>HYPERLINK("https://ceds.ed.gov/cedselementdetails.aspx?termid=5591")</f>
        <v>https://ceds.ed.gov/cedselementdetails.aspx?termid=5591</v>
      </c>
      <c r="N67" s="3" t="str">
        <f>HYPERLINK("https://ceds.ed.gov/elementComment.aspx?elementName=Alternate Day Name &amp;elementID=5591", "Click here to submit comment")</f>
        <v>Click here to submit comment</v>
      </c>
    </row>
    <row r="68" spans="1:14" ht="60">
      <c r="A68" s="3" t="s">
        <v>341</v>
      </c>
      <c r="B68" s="3" t="s">
        <v>342</v>
      </c>
      <c r="C68" s="4" t="s">
        <v>6371</v>
      </c>
      <c r="D68" s="3" t="s">
        <v>343</v>
      </c>
      <c r="E68" s="3" t="s">
        <v>344</v>
      </c>
      <c r="F68" s="3"/>
      <c r="G68" s="3"/>
      <c r="H68" s="3"/>
      <c r="I68" s="3"/>
      <c r="J68" s="3" t="s">
        <v>345</v>
      </c>
      <c r="K68" s="3"/>
      <c r="L68" s="3" t="s">
        <v>346</v>
      </c>
      <c r="M68" s="3" t="str">
        <f>HYPERLINK("https://ceds.ed.gov/cedselementdetails.aspx?termid=5751")</f>
        <v>https://ceds.ed.gov/cedselementdetails.aspx?termid=5751</v>
      </c>
      <c r="N68" s="3" t="str">
        <f>HYPERLINK("https://ceds.ed.gov/elementComment.aspx?elementName=Alternative Route to Certification or Licensure &amp;elementID=5751", "Click here to submit comment")</f>
        <v>Click here to submit comment</v>
      </c>
    </row>
    <row r="69" spans="1:14" ht="120">
      <c r="A69" s="3" t="s">
        <v>347</v>
      </c>
      <c r="B69" s="3" t="s">
        <v>348</v>
      </c>
      <c r="C69" s="4" t="s">
        <v>6372</v>
      </c>
      <c r="D69" s="3" t="s">
        <v>224</v>
      </c>
      <c r="E69" s="3" t="s">
        <v>2</v>
      </c>
      <c r="F69" s="3"/>
      <c r="G69" s="3"/>
      <c r="H69" s="3"/>
      <c r="I69" s="3"/>
      <c r="J69" s="3" t="s">
        <v>349</v>
      </c>
      <c r="K69" s="3"/>
      <c r="L69" s="3" t="s">
        <v>350</v>
      </c>
      <c r="M69" s="3" t="str">
        <f>HYPERLINK("https://ceds.ed.gov/cedselementdetails.aspx?termid=5015")</f>
        <v>https://ceds.ed.gov/cedselementdetails.aspx?termid=5015</v>
      </c>
      <c r="N69" s="3" t="str">
        <f>HYPERLINK("https://ceds.ed.gov/elementComment.aspx?elementName=Alternative School Focus Type &amp;elementID=5015", "Click here to submit comment")</f>
        <v>Click here to submit comment</v>
      </c>
    </row>
    <row r="70" spans="1:14" ht="315">
      <c r="A70" s="3" t="s">
        <v>351</v>
      </c>
      <c r="B70" s="3" t="s">
        <v>352</v>
      </c>
      <c r="C70" s="4" t="s">
        <v>6373</v>
      </c>
      <c r="D70" s="3" t="s">
        <v>5985</v>
      </c>
      <c r="E70" s="3" t="s">
        <v>5986</v>
      </c>
      <c r="F70" s="3"/>
      <c r="G70" s="3"/>
      <c r="H70" s="3"/>
      <c r="I70" s="3" t="s">
        <v>353</v>
      </c>
      <c r="J70" s="3" t="s">
        <v>354</v>
      </c>
      <c r="K70" s="3"/>
      <c r="L70" s="3" t="s">
        <v>355</v>
      </c>
      <c r="M70" s="3" t="str">
        <f>HYPERLINK("https://ceds.ed.gov/cedselementdetails.aspx?termid=5655")</f>
        <v>https://ceds.ed.gov/cedselementdetails.aspx?termid=5655</v>
      </c>
      <c r="N70" s="3" t="str">
        <f>HYPERLINK("https://ceds.ed.gov/elementComment.aspx?elementName=American Indian or Alaska Native &amp;elementID=5655", "Click here to submit comment")</f>
        <v>Click here to submit comment</v>
      </c>
    </row>
    <row r="71" spans="1:14" ht="30">
      <c r="A71" s="3" t="s">
        <v>356</v>
      </c>
      <c r="B71" s="3" t="s">
        <v>357</v>
      </c>
      <c r="C71" s="3" t="s">
        <v>13</v>
      </c>
      <c r="D71" s="3" t="s">
        <v>35</v>
      </c>
      <c r="E71" s="3" t="s">
        <v>36</v>
      </c>
      <c r="F71" s="3"/>
      <c r="G71" s="3" t="s">
        <v>308</v>
      </c>
      <c r="H71" s="3"/>
      <c r="I71" s="3" t="s">
        <v>358</v>
      </c>
      <c r="J71" s="3" t="s">
        <v>359</v>
      </c>
      <c r="K71" s="3"/>
      <c r="L71" s="3" t="s">
        <v>360</v>
      </c>
      <c r="M71" s="3" t="str">
        <f>HYPERLINK("https://ceds.ed.gov/cedselementdetails.aspx?termid=5722")</f>
        <v>https://ceds.ed.gov/cedselementdetails.aspx?termid=5722</v>
      </c>
      <c r="N71" s="3" t="str">
        <f>HYPERLINK("https://ceds.ed.gov/elementComment.aspx?elementName=Annual Base Contractual Salary &amp;elementID=5722", "Click here to submit comment")</f>
        <v>Click here to submit comment</v>
      </c>
    </row>
    <row r="72" spans="1:14" ht="90">
      <c r="A72" s="3" t="s">
        <v>361</v>
      </c>
      <c r="B72" s="3" t="s">
        <v>362</v>
      </c>
      <c r="C72" s="4" t="s">
        <v>6374</v>
      </c>
      <c r="D72" s="3" t="s">
        <v>5987</v>
      </c>
      <c r="E72" s="3" t="s">
        <v>218</v>
      </c>
      <c r="F72" s="3"/>
      <c r="G72" s="3"/>
      <c r="H72" s="3"/>
      <c r="I72" s="3"/>
      <c r="J72" s="3" t="s">
        <v>363</v>
      </c>
      <c r="K72" s="3" t="s">
        <v>364</v>
      </c>
      <c r="L72" s="3" t="s">
        <v>365</v>
      </c>
      <c r="M72" s="3" t="str">
        <f>HYPERLINK("https://ceds.ed.gov/cedselementdetails.aspx?termid=5572")</f>
        <v>https://ceds.ed.gov/cedselementdetails.aspx?termid=5572</v>
      </c>
      <c r="N72" s="3" t="str">
        <f>HYPERLINK("https://ceds.ed.gov/elementComment.aspx?elementName=Annual Measurable Achievement Objective AYP Progress Attainment Status for LEP Students &amp;elementID=5572", "Click here to submit comment")</f>
        <v>Click here to submit comment</v>
      </c>
    </row>
    <row r="73" spans="1:14" ht="105">
      <c r="A73" s="3" t="s">
        <v>366</v>
      </c>
      <c r="B73" s="3" t="s">
        <v>367</v>
      </c>
      <c r="C73" s="4" t="s">
        <v>6374</v>
      </c>
      <c r="D73" s="3" t="s">
        <v>5980</v>
      </c>
      <c r="E73" s="3" t="s">
        <v>218</v>
      </c>
      <c r="F73" s="3"/>
      <c r="G73" s="3"/>
      <c r="H73" s="3"/>
      <c r="I73" s="3"/>
      <c r="J73" s="3" t="s">
        <v>368</v>
      </c>
      <c r="K73" s="3" t="s">
        <v>369</v>
      </c>
      <c r="L73" s="3" t="s">
        <v>370</v>
      </c>
      <c r="M73" s="3" t="str">
        <f>HYPERLINK("https://ceds.ed.gov/cedselementdetails.aspx?termid=5535")</f>
        <v>https://ceds.ed.gov/cedselementdetails.aspx?termid=5535</v>
      </c>
      <c r="N73" s="3" t="str">
        <f>HYPERLINK("https://ceds.ed.gov/elementComment.aspx?elementName=Annual Measurable Achievement Objective Proficiency Attainment Status for LEP Students &amp;elementID=5535", "Click here to submit comment")</f>
        <v>Click here to submit comment</v>
      </c>
    </row>
    <row r="74" spans="1:14" ht="105">
      <c r="A74" s="3" t="s">
        <v>371</v>
      </c>
      <c r="B74" s="3" t="s">
        <v>372</v>
      </c>
      <c r="C74" s="4" t="s">
        <v>6374</v>
      </c>
      <c r="D74" s="3" t="s">
        <v>5980</v>
      </c>
      <c r="E74" s="3" t="s">
        <v>218</v>
      </c>
      <c r="F74" s="3"/>
      <c r="G74" s="3"/>
      <c r="H74" s="3"/>
      <c r="I74" s="3"/>
      <c r="J74" s="3" t="s">
        <v>373</v>
      </c>
      <c r="K74" s="3" t="s">
        <v>374</v>
      </c>
      <c r="L74" s="3" t="s">
        <v>375</v>
      </c>
      <c r="M74" s="3" t="str">
        <f>HYPERLINK("https://ceds.ed.gov/cedselementdetails.aspx?termid=5545")</f>
        <v>https://ceds.ed.gov/cedselementdetails.aspx?termid=5545</v>
      </c>
      <c r="N74" s="3" t="str">
        <f>HYPERLINK("https://ceds.ed.gov/elementComment.aspx?elementName=Annual Measurable Achievement Objective Progress Attainment Status for LEP Students &amp;elementID=5545", "Click here to submit comment")</f>
        <v>Click here to submit comment</v>
      </c>
    </row>
    <row r="75" spans="1:14" ht="45">
      <c r="A75" s="3" t="s">
        <v>376</v>
      </c>
      <c r="B75" s="3" t="s">
        <v>377</v>
      </c>
      <c r="C75" s="3" t="s">
        <v>5963</v>
      </c>
      <c r="D75" s="3" t="s">
        <v>5979</v>
      </c>
      <c r="E75" s="3" t="s">
        <v>207</v>
      </c>
      <c r="F75" s="3"/>
      <c r="G75" s="3"/>
      <c r="H75" s="3"/>
      <c r="I75" s="3"/>
      <c r="J75" s="3" t="s">
        <v>378</v>
      </c>
      <c r="K75" s="3" t="s">
        <v>379</v>
      </c>
      <c r="L75" s="3" t="s">
        <v>380</v>
      </c>
      <c r="M75" s="3" t="str">
        <f>HYPERLINK("https://ceds.ed.gov/cedselementdetails.aspx?termid=5432")</f>
        <v>https://ceds.ed.gov/cedselementdetails.aspx?termid=5432</v>
      </c>
      <c r="N75" s="3" t="str">
        <f>HYPERLINK("https://ceds.ed.gov/elementComment.aspx?elementName=Appealed Adequate Yearly Progress Designation &amp;elementID=5432", "Click here to submit comment")</f>
        <v>Click here to submit comment</v>
      </c>
    </row>
    <row r="76" spans="1:14" ht="45">
      <c r="A76" s="3" t="s">
        <v>381</v>
      </c>
      <c r="B76" s="3" t="s">
        <v>382</v>
      </c>
      <c r="C76" s="3" t="s">
        <v>13</v>
      </c>
      <c r="D76" s="3" t="s">
        <v>383</v>
      </c>
      <c r="E76" s="3" t="s">
        <v>5988</v>
      </c>
      <c r="F76" s="3"/>
      <c r="G76" s="3" t="s">
        <v>73</v>
      </c>
      <c r="H76" s="3"/>
      <c r="I76" s="3"/>
      <c r="J76" s="3" t="s">
        <v>384</v>
      </c>
      <c r="K76" s="3"/>
      <c r="L76" s="3" t="s">
        <v>385</v>
      </c>
      <c r="M76" s="3" t="str">
        <f>HYPERLINK("https://ceds.ed.gov/cedselementdetails.aspx?termid=5323")</f>
        <v>https://ceds.ed.gov/cedselementdetails.aspx?termid=5323</v>
      </c>
      <c r="N76" s="3" t="str">
        <f>HYPERLINK("https://ceds.ed.gov/elementComment.aspx?elementName=Application Date &amp;elementID=5323", "Click here to submit comment")</f>
        <v>Click here to submit comment</v>
      </c>
    </row>
    <row r="77" spans="1:14" ht="45">
      <c r="A77" s="3" t="s">
        <v>386</v>
      </c>
      <c r="B77" s="3" t="s">
        <v>387</v>
      </c>
      <c r="C77" s="3" t="s">
        <v>13</v>
      </c>
      <c r="D77" s="3" t="s">
        <v>388</v>
      </c>
      <c r="E77" s="3" t="s">
        <v>202</v>
      </c>
      <c r="F77" s="3"/>
      <c r="G77" s="3" t="s">
        <v>389</v>
      </c>
      <c r="H77" s="3"/>
      <c r="I77" s="3"/>
      <c r="J77" s="3" t="s">
        <v>390</v>
      </c>
      <c r="K77" s="3"/>
      <c r="L77" s="3" t="s">
        <v>391</v>
      </c>
      <c r="M77" s="3" t="str">
        <f>HYPERLINK("https://ceds.ed.gov/cedselementdetails.aspx?termid=5790")</f>
        <v>https://ceds.ed.gov/cedselementdetails.aspx?termid=5790</v>
      </c>
      <c r="N77" s="3" t="str">
        <f>HYPERLINK("https://ceds.ed.gov/elementComment.aspx?elementName=Approved Early Childhood Credits Earned By a Non-ECE Degree Holder &amp;elementID=5790", "Click here to submit comment")</f>
        <v>Click here to submit comment</v>
      </c>
    </row>
    <row r="78" spans="1:14" ht="315">
      <c r="A78" s="3" t="s">
        <v>392</v>
      </c>
      <c r="B78" s="3" t="s">
        <v>393</v>
      </c>
      <c r="C78" s="4" t="s">
        <v>6373</v>
      </c>
      <c r="D78" s="3" t="s">
        <v>5985</v>
      </c>
      <c r="E78" s="3" t="s">
        <v>5986</v>
      </c>
      <c r="F78" s="3"/>
      <c r="G78" s="3"/>
      <c r="H78" s="3"/>
      <c r="I78" s="3" t="s">
        <v>353</v>
      </c>
      <c r="J78" s="3" t="s">
        <v>394</v>
      </c>
      <c r="K78" s="3"/>
      <c r="L78" s="3" t="s">
        <v>392</v>
      </c>
      <c r="M78" s="3" t="str">
        <f>HYPERLINK("https://ceds.ed.gov/cedselementdetails.aspx?termid=5656")</f>
        <v>https://ceds.ed.gov/cedselementdetails.aspx?termid=5656</v>
      </c>
      <c r="N78" s="3" t="str">
        <f>HYPERLINK("https://ceds.ed.gov/elementComment.aspx?elementName=Asian &amp;elementID=5656", "Click here to submit comment")</f>
        <v>Click here to submit comment</v>
      </c>
    </row>
    <row r="79" spans="1:14" ht="409.5">
      <c r="A79" s="3" t="s">
        <v>395</v>
      </c>
      <c r="B79" s="3" t="s">
        <v>396</v>
      </c>
      <c r="C79" s="4" t="s">
        <v>6375</v>
      </c>
      <c r="D79" s="3" t="s">
        <v>5989</v>
      </c>
      <c r="E79" s="3" t="s">
        <v>5990</v>
      </c>
      <c r="F79" s="3"/>
      <c r="G79" s="3"/>
      <c r="H79" s="3"/>
      <c r="I79" s="3"/>
      <c r="J79" s="3" t="s">
        <v>397</v>
      </c>
      <c r="K79" s="3"/>
      <c r="L79" s="3" t="s">
        <v>398</v>
      </c>
      <c r="M79" s="3" t="str">
        <f>HYPERLINK("https://ceds.ed.gov/cedselementdetails.aspx?termid=5021")</f>
        <v>https://ceds.ed.gov/cedselementdetails.aspx?termid=5021</v>
      </c>
      <c r="N79" s="3" t="str">
        <f>HYPERLINK("https://ceds.ed.gov/elementComment.aspx?elementName=Assessment Academic Subject &amp;elementID=5021", "Click here to submit comment")</f>
        <v>Click here to submit comment</v>
      </c>
    </row>
    <row r="80" spans="1:14" ht="300">
      <c r="A80" s="3" t="s">
        <v>399</v>
      </c>
      <c r="B80" s="3" t="s">
        <v>400</v>
      </c>
      <c r="C80" s="4" t="s">
        <v>6376</v>
      </c>
      <c r="D80" s="3" t="s">
        <v>5991</v>
      </c>
      <c r="E80" s="3" t="s">
        <v>5992</v>
      </c>
      <c r="F80" s="3" t="s">
        <v>3</v>
      </c>
      <c r="G80" s="3"/>
      <c r="H80" s="3"/>
      <c r="I80" s="3"/>
      <c r="J80" s="3" t="s">
        <v>401</v>
      </c>
      <c r="K80" s="3"/>
      <c r="L80" s="3" t="s">
        <v>402</v>
      </c>
      <c r="M80" s="3" t="str">
        <f>HYPERLINK("https://ceds.ed.gov/cedselementdetails.aspx?termid=5374")</f>
        <v>https://ceds.ed.gov/cedselementdetails.aspx?termid=5374</v>
      </c>
      <c r="N80" s="3" t="str">
        <f>HYPERLINK("https://ceds.ed.gov/elementComment.aspx?elementName=Assessment Accommodation Category &amp;elementID=5374", "Click here to submit comment")</f>
        <v>Click here to submit comment</v>
      </c>
    </row>
    <row r="81" spans="1:14" ht="165">
      <c r="A81" s="3" t="s">
        <v>403</v>
      </c>
      <c r="B81" s="3" t="s">
        <v>404</v>
      </c>
      <c r="C81" s="3" t="s">
        <v>13</v>
      </c>
      <c r="D81" s="3" t="s">
        <v>5993</v>
      </c>
      <c r="E81" s="3"/>
      <c r="F81" s="3"/>
      <c r="G81" s="3" t="s">
        <v>100</v>
      </c>
      <c r="H81" s="3"/>
      <c r="I81" s="3"/>
      <c r="J81" s="3" t="s">
        <v>405</v>
      </c>
      <c r="K81" s="3"/>
      <c r="L81" s="3" t="s">
        <v>406</v>
      </c>
      <c r="M81" s="3" t="str">
        <f>HYPERLINK("https://ceds.ed.gov/cedselementdetails.aspx?termid=6116")</f>
        <v>https://ceds.ed.gov/cedselementdetails.aspx?termid=6116</v>
      </c>
      <c r="N81" s="3" t="str">
        <f>HYPERLINK("https://ceds.ed.gov/elementComment.aspx?elementName=Assessment Accommodation Other Description &amp;elementID=6116", "Click here to submit comment")</f>
        <v>Click here to submit comment</v>
      </c>
    </row>
    <row r="82" spans="1:14" ht="409.5">
      <c r="A82" s="3" t="s">
        <v>407</v>
      </c>
      <c r="B82" s="3" t="s">
        <v>408</v>
      </c>
      <c r="C82" s="4" t="s">
        <v>6377</v>
      </c>
      <c r="D82" s="3" t="s">
        <v>5994</v>
      </c>
      <c r="E82" s="3" t="s">
        <v>5992</v>
      </c>
      <c r="F82" s="3"/>
      <c r="G82" s="3"/>
      <c r="H82" s="3"/>
      <c r="I82" s="3"/>
      <c r="J82" s="3" t="s">
        <v>409</v>
      </c>
      <c r="K82" s="3"/>
      <c r="L82" s="3" t="s">
        <v>410</v>
      </c>
      <c r="M82" s="3" t="str">
        <f>HYPERLINK("https://ceds.ed.gov/cedselementdetails.aspx?termid=5376")</f>
        <v>https://ceds.ed.gov/cedselementdetails.aspx?termid=5376</v>
      </c>
      <c r="N82" s="3" t="str">
        <f>HYPERLINK("https://ceds.ed.gov/elementComment.aspx?elementName=Assessment Accommodation Type &amp;elementID=5376", "Click here to submit comment")</f>
        <v>Click here to submit comment</v>
      </c>
    </row>
    <row r="83" spans="1:14" ht="75">
      <c r="A83" s="3" t="s">
        <v>411</v>
      </c>
      <c r="B83" s="3" t="s">
        <v>412</v>
      </c>
      <c r="C83" s="3" t="s">
        <v>13</v>
      </c>
      <c r="D83" s="3" t="s">
        <v>5995</v>
      </c>
      <c r="E83" s="3"/>
      <c r="F83" s="3"/>
      <c r="G83" s="3" t="s">
        <v>106</v>
      </c>
      <c r="H83" s="3"/>
      <c r="I83" s="3" t="s">
        <v>413</v>
      </c>
      <c r="J83" s="3" t="s">
        <v>414</v>
      </c>
      <c r="K83" s="3"/>
      <c r="L83" s="3" t="s">
        <v>415</v>
      </c>
      <c r="M83" s="3" t="str">
        <f>HYPERLINK("https://ceds.ed.gov/cedselementdetails.aspx?termid=5968")</f>
        <v>https://ceds.ed.gov/cedselementdetails.aspx?termid=5968</v>
      </c>
      <c r="N83" s="3" t="str">
        <f>HYPERLINK("https://ceds.ed.gov/elementComment.aspx?elementName=Assessment Administration Assessment Family &amp;elementID=5968", "Click here to submit comment")</f>
        <v>Click here to submit comment</v>
      </c>
    </row>
    <row r="84" spans="1:14" ht="75">
      <c r="A84" s="3" t="s">
        <v>416</v>
      </c>
      <c r="B84" s="3" t="s">
        <v>417</v>
      </c>
      <c r="C84" s="3" t="s">
        <v>13</v>
      </c>
      <c r="D84" s="3" t="s">
        <v>5995</v>
      </c>
      <c r="E84" s="3"/>
      <c r="F84" s="3"/>
      <c r="G84" s="3" t="s">
        <v>100</v>
      </c>
      <c r="H84" s="3"/>
      <c r="I84" s="3"/>
      <c r="J84" s="3" t="s">
        <v>418</v>
      </c>
      <c r="K84" s="3"/>
      <c r="L84" s="3" t="s">
        <v>419</v>
      </c>
      <c r="M84" s="3" t="str">
        <f>HYPERLINK("https://ceds.ed.gov/cedselementdetails.aspx?termid=5962")</f>
        <v>https://ceds.ed.gov/cedselementdetails.aspx?termid=5962</v>
      </c>
      <c r="N84" s="3" t="str">
        <f>HYPERLINK("https://ceds.ed.gov/elementComment.aspx?elementName=Assessment Administration Code &amp;elementID=5962", "Click here to submit comment")</f>
        <v>Click here to submit comment</v>
      </c>
    </row>
    <row r="85" spans="1:14" ht="120">
      <c r="A85" s="3" t="s">
        <v>420</v>
      </c>
      <c r="B85" s="3" t="s">
        <v>421</v>
      </c>
      <c r="C85" s="3" t="s">
        <v>13</v>
      </c>
      <c r="D85" s="3" t="s">
        <v>5996</v>
      </c>
      <c r="E85" s="3"/>
      <c r="F85" s="3"/>
      <c r="G85" s="3" t="s">
        <v>73</v>
      </c>
      <c r="H85" s="3"/>
      <c r="I85" s="3"/>
      <c r="J85" s="3" t="s">
        <v>422</v>
      </c>
      <c r="K85" s="3"/>
      <c r="L85" s="3" t="s">
        <v>423</v>
      </c>
      <c r="M85" s="3" t="str">
        <f>HYPERLINK("https://ceds.ed.gov/cedselementdetails.aspx?termid=5965")</f>
        <v>https://ceds.ed.gov/cedselementdetails.aspx?termid=5965</v>
      </c>
      <c r="N85" s="3" t="str">
        <f>HYPERLINK("https://ceds.ed.gov/elementComment.aspx?elementName=Assessment Administration Finish Date &amp;elementID=5965", "Click here to submit comment")</f>
        <v>Click here to submit comment</v>
      </c>
    </row>
    <row r="86" spans="1:14" ht="165">
      <c r="A86" s="3" t="s">
        <v>424</v>
      </c>
      <c r="B86" s="3" t="s">
        <v>425</v>
      </c>
      <c r="C86" s="3" t="s">
        <v>13</v>
      </c>
      <c r="D86" s="3" t="s">
        <v>5997</v>
      </c>
      <c r="E86" s="3"/>
      <c r="F86" s="3"/>
      <c r="G86" s="3" t="s">
        <v>426</v>
      </c>
      <c r="H86" s="3"/>
      <c r="I86" s="3"/>
      <c r="J86" s="3" t="s">
        <v>427</v>
      </c>
      <c r="K86" s="3"/>
      <c r="L86" s="3" t="s">
        <v>428</v>
      </c>
      <c r="M86" s="3" t="str">
        <f>HYPERLINK("https://ceds.ed.gov/cedselementdetails.aspx?termid=5966")</f>
        <v>https://ceds.ed.gov/cedselementdetails.aspx?termid=5966</v>
      </c>
      <c r="N86" s="3" t="str">
        <f>HYPERLINK("https://ceds.ed.gov/elementComment.aspx?elementName=Assessment Administration Finish Time &amp;elementID=5966", "Click here to submit comment")</f>
        <v>Click here to submit comment</v>
      </c>
    </row>
    <row r="87" spans="1:14" ht="75">
      <c r="A87" s="3" t="s">
        <v>429</v>
      </c>
      <c r="B87" s="3" t="s">
        <v>430</v>
      </c>
      <c r="C87" s="3" t="s">
        <v>13</v>
      </c>
      <c r="D87" s="3" t="s">
        <v>5995</v>
      </c>
      <c r="E87" s="3"/>
      <c r="F87" s="3"/>
      <c r="G87" s="3" t="s">
        <v>100</v>
      </c>
      <c r="H87" s="3"/>
      <c r="I87" s="3"/>
      <c r="J87" s="3" t="s">
        <v>431</v>
      </c>
      <c r="K87" s="3"/>
      <c r="L87" s="3" t="s">
        <v>432</v>
      </c>
      <c r="M87" s="3" t="str">
        <f>HYPERLINK("https://ceds.ed.gov/cedselementdetails.aspx?termid=5978")</f>
        <v>https://ceds.ed.gov/cedselementdetails.aspx?termid=5978</v>
      </c>
      <c r="N87" s="3" t="str">
        <f>HYPERLINK("https://ceds.ed.gov/elementComment.aspx?elementName=Assessment Administration Name &amp;elementID=5978", "Click here to submit comment")</f>
        <v>Click here to submit comment</v>
      </c>
    </row>
    <row r="88" spans="1:14" ht="75">
      <c r="A88" s="3" t="s">
        <v>433</v>
      </c>
      <c r="B88" s="3" t="s">
        <v>434</v>
      </c>
      <c r="C88" s="3" t="s">
        <v>13</v>
      </c>
      <c r="D88" s="3" t="s">
        <v>5995</v>
      </c>
      <c r="E88" s="3"/>
      <c r="F88" s="3"/>
      <c r="G88" s="3" t="s">
        <v>106</v>
      </c>
      <c r="H88" s="3"/>
      <c r="I88" s="3"/>
      <c r="J88" s="3" t="s">
        <v>435</v>
      </c>
      <c r="K88" s="3"/>
      <c r="L88" s="3" t="s">
        <v>436</v>
      </c>
      <c r="M88" s="3" t="str">
        <f>HYPERLINK("https://ceds.ed.gov/cedselementdetails.aspx?termid=5967")</f>
        <v>https://ceds.ed.gov/cedselementdetails.aspx?termid=5967</v>
      </c>
      <c r="N88" s="3" t="str">
        <f>HYPERLINK("https://ceds.ed.gov/elementComment.aspx?elementName=Assessment Administration Organization Name &amp;elementID=5967", "Click here to submit comment")</f>
        <v>Click here to submit comment</v>
      </c>
    </row>
    <row r="89" spans="1:14" ht="120">
      <c r="A89" s="3" t="s">
        <v>437</v>
      </c>
      <c r="B89" s="3" t="s">
        <v>438</v>
      </c>
      <c r="C89" s="3" t="s">
        <v>13</v>
      </c>
      <c r="D89" s="3" t="s">
        <v>5996</v>
      </c>
      <c r="E89" s="3"/>
      <c r="F89" s="3"/>
      <c r="G89" s="3" t="s">
        <v>73</v>
      </c>
      <c r="H89" s="3"/>
      <c r="I89" s="3"/>
      <c r="J89" s="3" t="s">
        <v>439</v>
      </c>
      <c r="K89" s="3"/>
      <c r="L89" s="3" t="s">
        <v>440</v>
      </c>
      <c r="M89" s="3" t="str">
        <f>HYPERLINK("https://ceds.ed.gov/cedselementdetails.aspx?termid=5963")</f>
        <v>https://ceds.ed.gov/cedselementdetails.aspx?termid=5963</v>
      </c>
      <c r="N89" s="3" t="str">
        <f>HYPERLINK("https://ceds.ed.gov/elementComment.aspx?elementName=Assessment Administration Start Date &amp;elementID=5963", "Click here to submit comment")</f>
        <v>Click here to submit comment</v>
      </c>
    </row>
    <row r="90" spans="1:14" ht="165">
      <c r="A90" s="3" t="s">
        <v>441</v>
      </c>
      <c r="B90" s="3" t="s">
        <v>442</v>
      </c>
      <c r="C90" s="3" t="s">
        <v>13</v>
      </c>
      <c r="D90" s="3" t="s">
        <v>5997</v>
      </c>
      <c r="E90" s="3"/>
      <c r="F90" s="3"/>
      <c r="G90" s="3" t="s">
        <v>426</v>
      </c>
      <c r="H90" s="3"/>
      <c r="I90" s="3"/>
      <c r="J90" s="3" t="s">
        <v>443</v>
      </c>
      <c r="K90" s="3"/>
      <c r="L90" s="3" t="s">
        <v>444</v>
      </c>
      <c r="M90" s="3" t="str">
        <f>HYPERLINK("https://ceds.ed.gov/cedselementdetails.aspx?termid=5964")</f>
        <v>https://ceds.ed.gov/cedselementdetails.aspx?termid=5964</v>
      </c>
      <c r="N90" s="3" t="str">
        <f>HYPERLINK("https://ceds.ed.gov/elementComment.aspx?elementName=Assessment Administration Start Time &amp;elementID=5964", "Click here to submit comment")</f>
        <v>Click here to submit comment</v>
      </c>
    </row>
    <row r="91" spans="1:14" ht="60">
      <c r="A91" s="3" t="s">
        <v>445</v>
      </c>
      <c r="B91" s="3" t="s">
        <v>446</v>
      </c>
      <c r="C91" s="3" t="s">
        <v>13</v>
      </c>
      <c r="D91" s="3" t="s">
        <v>5998</v>
      </c>
      <c r="E91" s="3"/>
      <c r="F91" s="3"/>
      <c r="G91" s="3" t="s">
        <v>319</v>
      </c>
      <c r="H91" s="3"/>
      <c r="I91" s="3"/>
      <c r="J91" s="3" t="s">
        <v>447</v>
      </c>
      <c r="K91" s="3"/>
      <c r="L91" s="3" t="s">
        <v>448</v>
      </c>
      <c r="M91" s="3" t="str">
        <f>HYPERLINK("https://ceds.ed.gov/cedselementdetails.aspx?termid=6154")</f>
        <v>https://ceds.ed.gov/cedselementdetails.aspx?termid=6154</v>
      </c>
      <c r="N91" s="3" t="str">
        <f>HYPERLINK("https://ceds.ed.gov/elementComment.aspx?elementName=Assessment Asset Content Mime Type &amp;elementID=6154", "Click here to submit comment")</f>
        <v>Click here to submit comment</v>
      </c>
    </row>
    <row r="92" spans="1:14" ht="60">
      <c r="A92" s="3" t="s">
        <v>449</v>
      </c>
      <c r="B92" s="3" t="s">
        <v>450</v>
      </c>
      <c r="C92" s="3" t="s">
        <v>13</v>
      </c>
      <c r="D92" s="3" t="s">
        <v>5998</v>
      </c>
      <c r="E92" s="3"/>
      <c r="F92" s="3"/>
      <c r="G92" s="3" t="s">
        <v>93</v>
      </c>
      <c r="H92" s="3"/>
      <c r="I92" s="3"/>
      <c r="J92" s="3" t="s">
        <v>451</v>
      </c>
      <c r="K92" s="3"/>
      <c r="L92" s="3" t="s">
        <v>452</v>
      </c>
      <c r="M92" s="3" t="str">
        <f>HYPERLINK("https://ceds.ed.gov/cedselementdetails.aspx?termid=6155")</f>
        <v>https://ceds.ed.gov/cedselementdetails.aspx?termid=6155</v>
      </c>
      <c r="N92" s="3" t="str">
        <f>HYPERLINK("https://ceds.ed.gov/elementComment.aspx?elementName=Assessment Asset Content URL &amp;elementID=6155", "Click here to submit comment")</f>
        <v>Click here to submit comment</v>
      </c>
    </row>
    <row r="93" spans="1:14" ht="60">
      <c r="A93" s="3" t="s">
        <v>453</v>
      </c>
      <c r="B93" s="3" t="s">
        <v>454</v>
      </c>
      <c r="C93" s="3" t="s">
        <v>13</v>
      </c>
      <c r="D93" s="3" t="s">
        <v>5998</v>
      </c>
      <c r="E93" s="3"/>
      <c r="F93" s="3"/>
      <c r="G93" s="3" t="s">
        <v>319</v>
      </c>
      <c r="H93" s="3"/>
      <c r="I93" s="3"/>
      <c r="J93" s="3" t="s">
        <v>455</v>
      </c>
      <c r="K93" s="3"/>
      <c r="L93" s="3" t="s">
        <v>456</v>
      </c>
      <c r="M93" s="3" t="str">
        <f>HYPERLINK("https://ceds.ed.gov/cedselementdetails.aspx?termid=6153")</f>
        <v>https://ceds.ed.gov/cedselementdetails.aspx?termid=6153</v>
      </c>
      <c r="N93" s="3" t="str">
        <f>HYPERLINK("https://ceds.ed.gov/elementComment.aspx?elementName=Assessment Asset Content XML &amp;elementID=6153", "Click here to submit comment")</f>
        <v>Click here to submit comment</v>
      </c>
    </row>
    <row r="94" spans="1:14" ht="60">
      <c r="A94" s="3" t="s">
        <v>457</v>
      </c>
      <c r="B94" s="3" t="s">
        <v>458</v>
      </c>
      <c r="C94" s="3" t="s">
        <v>13</v>
      </c>
      <c r="D94" s="3" t="s">
        <v>5998</v>
      </c>
      <c r="E94" s="3"/>
      <c r="F94" s="3"/>
      <c r="G94" s="3" t="s">
        <v>100</v>
      </c>
      <c r="H94" s="3"/>
      <c r="I94" s="3"/>
      <c r="J94" s="3" t="s">
        <v>459</v>
      </c>
      <c r="K94" s="3"/>
      <c r="L94" s="3" t="s">
        <v>460</v>
      </c>
      <c r="M94" s="3" t="str">
        <f>HYPERLINK("https://ceds.ed.gov/cedselementdetails.aspx?termid=6149")</f>
        <v>https://ceds.ed.gov/cedselementdetails.aspx?termid=6149</v>
      </c>
      <c r="N94" s="3" t="str">
        <f>HYPERLINK("https://ceds.ed.gov/elementComment.aspx?elementName=Assessment Asset Identifier &amp;elementID=6149", "Click here to submit comment")</f>
        <v>Click here to submit comment</v>
      </c>
    </row>
    <row r="95" spans="1:14" ht="105">
      <c r="A95" s="3" t="s">
        <v>461</v>
      </c>
      <c r="B95" s="3" t="s">
        <v>462</v>
      </c>
      <c r="C95" s="4" t="s">
        <v>6378</v>
      </c>
      <c r="D95" s="3" t="s">
        <v>5998</v>
      </c>
      <c r="E95" s="3"/>
      <c r="F95" s="3"/>
      <c r="G95" s="3"/>
      <c r="H95" s="3"/>
      <c r="I95" s="3"/>
      <c r="J95" s="3" t="s">
        <v>463</v>
      </c>
      <c r="K95" s="3"/>
      <c r="L95" s="3" t="s">
        <v>464</v>
      </c>
      <c r="M95" s="3" t="str">
        <f>HYPERLINK("https://ceds.ed.gov/cedselementdetails.aspx?termid=6150")</f>
        <v>https://ceds.ed.gov/cedselementdetails.aspx?termid=6150</v>
      </c>
      <c r="N95" s="3" t="str">
        <f>HYPERLINK("https://ceds.ed.gov/elementComment.aspx?elementName=Assessment Asset Identifier Type &amp;elementID=6150", "Click here to submit comment")</f>
        <v>Click here to submit comment</v>
      </c>
    </row>
    <row r="96" spans="1:14" ht="60">
      <c r="A96" s="3" t="s">
        <v>465</v>
      </c>
      <c r="B96" s="3" t="s">
        <v>466</v>
      </c>
      <c r="C96" s="3" t="s">
        <v>13</v>
      </c>
      <c r="D96" s="3" t="s">
        <v>5998</v>
      </c>
      <c r="E96" s="3"/>
      <c r="F96" s="3"/>
      <c r="G96" s="3" t="s">
        <v>106</v>
      </c>
      <c r="H96" s="3"/>
      <c r="I96" s="3"/>
      <c r="J96" s="3" t="s">
        <v>467</v>
      </c>
      <c r="K96" s="3"/>
      <c r="L96" s="3" t="s">
        <v>468</v>
      </c>
      <c r="M96" s="3" t="str">
        <f>HYPERLINK("https://ceds.ed.gov/cedselementdetails.aspx?termid=6151")</f>
        <v>https://ceds.ed.gov/cedselementdetails.aspx?termid=6151</v>
      </c>
      <c r="N96" s="3" t="str">
        <f>HYPERLINK("https://ceds.ed.gov/elementComment.aspx?elementName=Assessment Asset Name &amp;elementID=6151", "Click here to submit comment")</f>
        <v>Click here to submit comment</v>
      </c>
    </row>
    <row r="97" spans="1:14" ht="60">
      <c r="A97" s="3" t="s">
        <v>469</v>
      </c>
      <c r="B97" s="3" t="s">
        <v>470</v>
      </c>
      <c r="C97" s="3" t="s">
        <v>13</v>
      </c>
      <c r="D97" s="3" t="s">
        <v>5998</v>
      </c>
      <c r="E97" s="3"/>
      <c r="F97" s="3"/>
      <c r="G97" s="3" t="s">
        <v>106</v>
      </c>
      <c r="H97" s="3"/>
      <c r="I97" s="3"/>
      <c r="J97" s="3" t="s">
        <v>471</v>
      </c>
      <c r="K97" s="3"/>
      <c r="L97" s="3" t="s">
        <v>472</v>
      </c>
      <c r="M97" s="3" t="str">
        <f>HYPERLINK("https://ceds.ed.gov/cedselementdetails.aspx?termid=6152")</f>
        <v>https://ceds.ed.gov/cedselementdetails.aspx?termid=6152</v>
      </c>
      <c r="N97" s="3" t="str">
        <f>HYPERLINK("https://ceds.ed.gov/elementComment.aspx?elementName=Assessment Asset Owner &amp;elementID=6152", "Click here to submit comment")</f>
        <v>Click here to submit comment</v>
      </c>
    </row>
    <row r="98" spans="1:14" ht="60">
      <c r="A98" s="3" t="s">
        <v>473</v>
      </c>
      <c r="B98" s="3" t="s">
        <v>474</v>
      </c>
      <c r="C98" s="3" t="s">
        <v>13</v>
      </c>
      <c r="D98" s="3" t="s">
        <v>5998</v>
      </c>
      <c r="E98" s="3"/>
      <c r="F98" s="3"/>
      <c r="G98" s="3" t="s">
        <v>73</v>
      </c>
      <c r="H98" s="3"/>
      <c r="I98" s="3"/>
      <c r="J98" s="3" t="s">
        <v>475</v>
      </c>
      <c r="K98" s="3"/>
      <c r="L98" s="3" t="s">
        <v>476</v>
      </c>
      <c r="M98" s="3" t="str">
        <f>HYPERLINK("https://ceds.ed.gov/cedselementdetails.aspx?termid=6148")</f>
        <v>https://ceds.ed.gov/cedselementdetails.aspx?termid=6148</v>
      </c>
      <c r="N98" s="3" t="str">
        <f>HYPERLINK("https://ceds.ed.gov/elementComment.aspx?elementName=Assessment Asset Published Date &amp;elementID=6148", "Click here to submit comment")</f>
        <v>Click here to submit comment</v>
      </c>
    </row>
    <row r="99" spans="1:14" ht="409.5">
      <c r="A99" s="3" t="s">
        <v>477</v>
      </c>
      <c r="B99" s="3" t="s">
        <v>478</v>
      </c>
      <c r="C99" s="4" t="s">
        <v>6379</v>
      </c>
      <c r="D99" s="3" t="s">
        <v>5998</v>
      </c>
      <c r="E99" s="3"/>
      <c r="F99" s="3"/>
      <c r="G99" s="3"/>
      <c r="H99" s="3"/>
      <c r="I99" s="3" t="s">
        <v>479</v>
      </c>
      <c r="J99" s="3" t="s">
        <v>480</v>
      </c>
      <c r="K99" s="3"/>
      <c r="L99" s="3" t="s">
        <v>481</v>
      </c>
      <c r="M99" s="3" t="str">
        <f>HYPERLINK("https://ceds.ed.gov/cedselementdetails.aspx?termid=6147")</f>
        <v>https://ceds.ed.gov/cedselementdetails.aspx?termid=6147</v>
      </c>
      <c r="N99" s="3" t="str">
        <f>HYPERLINK("https://ceds.ed.gov/elementComment.aspx?elementName=Assessment Asset Type &amp;elementID=6147", "Click here to submit comment")</f>
        <v>Click here to submit comment</v>
      </c>
    </row>
    <row r="100" spans="1:14" ht="150">
      <c r="A100" s="3" t="s">
        <v>482</v>
      </c>
      <c r="B100" s="3" t="s">
        <v>483</v>
      </c>
      <c r="C100" s="3" t="s">
        <v>13</v>
      </c>
      <c r="D100" s="3" t="s">
        <v>5998</v>
      </c>
      <c r="E100" s="3"/>
      <c r="F100" s="3"/>
      <c r="G100" s="3" t="s">
        <v>100</v>
      </c>
      <c r="H100" s="3"/>
      <c r="I100" s="3" t="s">
        <v>484</v>
      </c>
      <c r="J100" s="3" t="s">
        <v>485</v>
      </c>
      <c r="K100" s="3"/>
      <c r="L100" s="3" t="s">
        <v>486</v>
      </c>
      <c r="M100" s="3" t="str">
        <f>HYPERLINK("https://ceds.ed.gov/cedselementdetails.aspx?termid=6146")</f>
        <v>https://ceds.ed.gov/cedselementdetails.aspx?termid=6146</v>
      </c>
      <c r="N100" s="3" t="str">
        <f>HYPERLINK("https://ceds.ed.gov/elementComment.aspx?elementName=Assessment Asset Version &amp;elementID=6146", "Click here to submit comment")</f>
        <v>Click here to submit comment</v>
      </c>
    </row>
    <row r="101" spans="1:14" ht="165">
      <c r="A101" s="3" t="s">
        <v>487</v>
      </c>
      <c r="B101" s="3" t="s">
        <v>488</v>
      </c>
      <c r="C101" s="4" t="s">
        <v>6380</v>
      </c>
      <c r="D101" s="3" t="s">
        <v>5999</v>
      </c>
      <c r="E101" s="3" t="s">
        <v>6000</v>
      </c>
      <c r="F101" s="3"/>
      <c r="G101" s="3"/>
      <c r="H101" s="3"/>
      <c r="I101" s="3"/>
      <c r="J101" s="3" t="s">
        <v>489</v>
      </c>
      <c r="K101" s="3"/>
      <c r="L101" s="3" t="s">
        <v>490</v>
      </c>
      <c r="M101" s="3" t="str">
        <f>HYPERLINK("https://ceds.ed.gov/cedselementdetails.aspx?termid=5598")</f>
        <v>https://ceds.ed.gov/cedselementdetails.aspx?termid=5598</v>
      </c>
      <c r="N101" s="3" t="str">
        <f>HYPERLINK("https://ceds.ed.gov/elementComment.aspx?elementName=Assessment Content Standard Type &amp;elementID=5598", "Click here to submit comment")</f>
        <v>Click here to submit comment</v>
      </c>
    </row>
    <row r="102" spans="1:14" ht="165">
      <c r="A102" s="3" t="s">
        <v>491</v>
      </c>
      <c r="B102" s="3" t="s">
        <v>492</v>
      </c>
      <c r="C102" s="4" t="s">
        <v>6381</v>
      </c>
      <c r="D102" s="3" t="s">
        <v>6001</v>
      </c>
      <c r="E102" s="3" t="s">
        <v>493</v>
      </c>
      <c r="F102" s="3"/>
      <c r="G102" s="3"/>
      <c r="H102" s="3"/>
      <c r="I102" s="3"/>
      <c r="J102" s="3" t="s">
        <v>494</v>
      </c>
      <c r="K102" s="3"/>
      <c r="L102" s="3" t="s">
        <v>495</v>
      </c>
      <c r="M102" s="3" t="str">
        <f>HYPERLINK("https://ceds.ed.gov/cedselementdetails.aspx?termid=6003")</f>
        <v>https://ceds.ed.gov/cedselementdetails.aspx?termid=6003</v>
      </c>
      <c r="N102" s="3" t="str">
        <f>HYPERLINK("https://ceds.ed.gov/elementComment.aspx?elementName=Assessment Early Learning Developmental Domain &amp;elementID=6003", "Click here to submit comment")</f>
        <v>Click here to submit comment</v>
      </c>
    </row>
    <row r="103" spans="1:14" ht="60">
      <c r="A103" s="3" t="s">
        <v>496</v>
      </c>
      <c r="B103" s="3" t="s">
        <v>497</v>
      </c>
      <c r="C103" s="3" t="s">
        <v>13</v>
      </c>
      <c r="D103" s="3" t="s">
        <v>6002</v>
      </c>
      <c r="E103" s="3"/>
      <c r="F103" s="3"/>
      <c r="G103" s="3" t="s">
        <v>100</v>
      </c>
      <c r="H103" s="3"/>
      <c r="I103" s="3" t="s">
        <v>498</v>
      </c>
      <c r="J103" s="3" t="s">
        <v>499</v>
      </c>
      <c r="K103" s="3"/>
      <c r="L103" s="3" t="s">
        <v>500</v>
      </c>
      <c r="M103" s="3" t="str">
        <f>HYPERLINK("https://ceds.ed.gov/cedselementdetails.aspx?termid=5934")</f>
        <v>https://ceds.ed.gov/cedselementdetails.aspx?termid=5934</v>
      </c>
      <c r="N103" s="3" t="str">
        <f>HYPERLINK("https://ceds.ed.gov/elementComment.aspx?elementName=Assessment Family Short Name &amp;elementID=5934", "Click here to submit comment")</f>
        <v>Click here to submit comment</v>
      </c>
    </row>
    <row r="104" spans="1:14" ht="90">
      <c r="A104" s="3" t="s">
        <v>501</v>
      </c>
      <c r="B104" s="3" t="s">
        <v>502</v>
      </c>
      <c r="C104" s="3" t="s">
        <v>13</v>
      </c>
      <c r="D104" s="3" t="s">
        <v>6002</v>
      </c>
      <c r="E104" s="3"/>
      <c r="F104" s="3"/>
      <c r="G104" s="3" t="s">
        <v>106</v>
      </c>
      <c r="H104" s="3"/>
      <c r="I104" s="3"/>
      <c r="J104" s="3" t="s">
        <v>503</v>
      </c>
      <c r="K104" s="3"/>
      <c r="L104" s="3" t="s">
        <v>504</v>
      </c>
      <c r="M104" s="3" t="str">
        <f>HYPERLINK("https://ceds.ed.gov/cedselementdetails.aspx?termid=5933")</f>
        <v>https://ceds.ed.gov/cedselementdetails.aspx?termid=5933</v>
      </c>
      <c r="N104" s="3" t="str">
        <f>HYPERLINK("https://ceds.ed.gov/elementComment.aspx?elementName=Assessment Family Title &amp;elementID=5933", "Click here to submit comment")</f>
        <v>Click here to submit comment</v>
      </c>
    </row>
    <row r="105" spans="1:14" ht="105">
      <c r="A105" s="3" t="s">
        <v>505</v>
      </c>
      <c r="B105" s="3" t="s">
        <v>506</v>
      </c>
      <c r="C105" s="3" t="s">
        <v>13</v>
      </c>
      <c r="D105" s="3" t="s">
        <v>6003</v>
      </c>
      <c r="E105" s="3"/>
      <c r="F105" s="3"/>
      <c r="G105" s="3" t="s">
        <v>319</v>
      </c>
      <c r="H105" s="3"/>
      <c r="I105" s="3"/>
      <c r="J105" s="3" t="s">
        <v>507</v>
      </c>
      <c r="K105" s="3"/>
      <c r="L105" s="3" t="s">
        <v>508</v>
      </c>
      <c r="M105" s="3" t="str">
        <f>HYPERLINK("https://ceds.ed.gov/cedselementdetails.aspx?termid=6136")</f>
        <v>https://ceds.ed.gov/cedselementdetails.aspx?termid=6136</v>
      </c>
      <c r="N105" s="3" t="str">
        <f>HYPERLINK("https://ceds.ed.gov/elementComment.aspx?elementName=Assessment Form Accommodation List &amp;elementID=6136", "Click here to submit comment")</f>
        <v>Click here to submit comment</v>
      </c>
    </row>
    <row r="106" spans="1:14" ht="75">
      <c r="A106" s="3" t="s">
        <v>509</v>
      </c>
      <c r="B106" s="3" t="s">
        <v>510</v>
      </c>
      <c r="C106" s="3" t="s">
        <v>13</v>
      </c>
      <c r="D106" s="3" t="s">
        <v>6004</v>
      </c>
      <c r="E106" s="3"/>
      <c r="F106" s="3" t="s">
        <v>66</v>
      </c>
      <c r="G106" s="3" t="s">
        <v>73</v>
      </c>
      <c r="H106" s="3" t="s">
        <v>511</v>
      </c>
      <c r="I106" s="3"/>
      <c r="J106" s="3" t="s">
        <v>512</v>
      </c>
      <c r="K106" s="3"/>
      <c r="L106" s="3" t="s">
        <v>513</v>
      </c>
      <c r="M106" s="3" t="str">
        <f>HYPERLINK("https://ceds.ed.gov/cedselementdetails.aspx?termid=6138")</f>
        <v>https://ceds.ed.gov/cedselementdetails.aspx?termid=6138</v>
      </c>
      <c r="N106" s="3" t="str">
        <f>HYPERLINK("https://ceds.ed.gov/elementComment.aspx?elementName=Assessment Form Intended Administration End Date &amp;elementID=6138", "Click here to submit comment")</f>
        <v>Click here to submit comment</v>
      </c>
    </row>
    <row r="107" spans="1:14" ht="150">
      <c r="A107" s="3" t="s">
        <v>514</v>
      </c>
      <c r="B107" s="3" t="s">
        <v>515</v>
      </c>
      <c r="C107" s="3" t="s">
        <v>13</v>
      </c>
      <c r="D107" s="3" t="s">
        <v>6005</v>
      </c>
      <c r="E107" s="3" t="s">
        <v>6006</v>
      </c>
      <c r="F107" s="3"/>
      <c r="G107" s="3" t="s">
        <v>149</v>
      </c>
      <c r="H107" s="3"/>
      <c r="I107" s="3"/>
      <c r="J107" s="3" t="s">
        <v>516</v>
      </c>
      <c r="K107" s="3"/>
      <c r="L107" s="3" t="s">
        <v>517</v>
      </c>
      <c r="M107" s="3" t="str">
        <f>HYPERLINK("https://ceds.ed.gov/cedselementdetails.aspx?termid=5024")</f>
        <v>https://ceds.ed.gov/cedselementdetails.aspx?termid=5024</v>
      </c>
      <c r="N107" s="3" t="str">
        <f>HYPERLINK("https://ceds.ed.gov/elementComment.aspx?elementName=Assessment Form Name &amp;elementID=5024", "Click here to submit comment")</f>
        <v>Click here to submit comment</v>
      </c>
    </row>
    <row r="108" spans="1:14" ht="105">
      <c r="A108" s="3" t="s">
        <v>518</v>
      </c>
      <c r="B108" s="3" t="s">
        <v>519</v>
      </c>
      <c r="C108" s="3" t="s">
        <v>13</v>
      </c>
      <c r="D108" s="3" t="s">
        <v>6003</v>
      </c>
      <c r="E108" s="3" t="s">
        <v>5992</v>
      </c>
      <c r="F108" s="3"/>
      <c r="G108" s="3" t="s">
        <v>100</v>
      </c>
      <c r="H108" s="3"/>
      <c r="I108" s="3"/>
      <c r="J108" s="3" t="s">
        <v>520</v>
      </c>
      <c r="K108" s="3"/>
      <c r="L108" s="3" t="s">
        <v>521</v>
      </c>
      <c r="M108" s="3" t="str">
        <f>HYPERLINK("https://ceds.ed.gov/cedselementdetails.aspx?termid=5365")</f>
        <v>https://ceds.ed.gov/cedselementdetails.aspx?termid=5365</v>
      </c>
      <c r="N108" s="3" t="str">
        <f>HYPERLINK("https://ceds.ed.gov/elementComment.aspx?elementName=Assessment Form Number &amp;elementID=5365", "Click here to submit comment")</f>
        <v>Click here to submit comment</v>
      </c>
    </row>
    <row r="109" spans="1:14" ht="150">
      <c r="A109" s="3" t="s">
        <v>522</v>
      </c>
      <c r="B109" s="3" t="s">
        <v>523</v>
      </c>
      <c r="C109" s="3" t="s">
        <v>13</v>
      </c>
      <c r="D109" s="3" t="s">
        <v>6007</v>
      </c>
      <c r="E109" s="3"/>
      <c r="F109" s="3"/>
      <c r="G109" s="3" t="s">
        <v>319</v>
      </c>
      <c r="H109" s="3"/>
      <c r="I109" s="3"/>
      <c r="J109" s="3" t="s">
        <v>524</v>
      </c>
      <c r="K109" s="3"/>
      <c r="L109" s="3" t="s">
        <v>525</v>
      </c>
      <c r="M109" s="3" t="str">
        <f>HYPERLINK("https://ceds.ed.gov/cedselementdetails.aspx?termid=6139")</f>
        <v>https://ceds.ed.gov/cedselementdetails.aspx?termid=6139</v>
      </c>
      <c r="N109" s="3" t="str">
        <f>HYPERLINK("https://ceds.ed.gov/elementComment.aspx?elementName=Assessment Form Platforms Supported &amp;elementID=6139", "Click here to submit comment")</f>
        <v>Click here to submit comment</v>
      </c>
    </row>
    <row r="110" spans="1:14" ht="75">
      <c r="A110" s="3" t="s">
        <v>526</v>
      </c>
      <c r="B110" s="3" t="s">
        <v>527</v>
      </c>
      <c r="C110" s="3" t="s">
        <v>13</v>
      </c>
      <c r="D110" s="3" t="s">
        <v>6008</v>
      </c>
      <c r="E110" s="3"/>
      <c r="F110" s="3"/>
      <c r="G110" s="3" t="s">
        <v>528</v>
      </c>
      <c r="H110" s="3"/>
      <c r="I110" s="3"/>
      <c r="J110" s="3" t="s">
        <v>529</v>
      </c>
      <c r="K110" s="3"/>
      <c r="L110" s="3" t="s">
        <v>530</v>
      </c>
      <c r="M110" s="3" t="str">
        <f>HYPERLINK("https://ceds.ed.gov/cedselementdetails.aspx?termid=5981")</f>
        <v>https://ceds.ed.gov/cedselementdetails.aspx?termid=5981</v>
      </c>
      <c r="N110" s="3" t="str">
        <f>HYPERLINK("https://ceds.ed.gov/elementComment.aspx?elementName=Assessment Form Section GUID &amp;elementID=5981", "Click here to submit comment")</f>
        <v>Click here to submit comment</v>
      </c>
    </row>
    <row r="111" spans="1:14" ht="75">
      <c r="A111" s="3" t="s">
        <v>531</v>
      </c>
      <c r="B111" s="3" t="s">
        <v>532</v>
      </c>
      <c r="C111" s="3" t="s">
        <v>13</v>
      </c>
      <c r="D111" s="3" t="s">
        <v>6008</v>
      </c>
      <c r="E111" s="3"/>
      <c r="F111" s="3"/>
      <c r="G111" s="3" t="s">
        <v>100</v>
      </c>
      <c r="H111" s="3"/>
      <c r="I111" s="3"/>
      <c r="J111" s="3" t="s">
        <v>533</v>
      </c>
      <c r="K111" s="3"/>
      <c r="L111" s="3" t="s">
        <v>534</v>
      </c>
      <c r="M111" s="3" t="str">
        <f>HYPERLINK("https://ceds.ed.gov/cedselementdetails.aspx?termid=6142")</f>
        <v>https://ceds.ed.gov/cedselementdetails.aspx?termid=6142</v>
      </c>
      <c r="N111" s="3" t="str">
        <f>HYPERLINK("https://ceds.ed.gov/elementComment.aspx?elementName=Assessment Form Section Identifier &amp;elementID=6142", "Click here to submit comment")</f>
        <v>Click here to submit comment</v>
      </c>
    </row>
    <row r="112" spans="1:14" ht="150">
      <c r="A112" s="3" t="s">
        <v>535</v>
      </c>
      <c r="B112" s="3" t="s">
        <v>536</v>
      </c>
      <c r="C112" s="3" t="s">
        <v>5963</v>
      </c>
      <c r="D112" s="3" t="s">
        <v>6008</v>
      </c>
      <c r="E112" s="3"/>
      <c r="F112" s="3"/>
      <c r="G112" s="3"/>
      <c r="H112" s="3"/>
      <c r="I112" s="3"/>
      <c r="J112" s="3" t="s">
        <v>537</v>
      </c>
      <c r="K112" s="3"/>
      <c r="L112" s="3" t="s">
        <v>538</v>
      </c>
      <c r="M112" s="3" t="str">
        <f>HYPERLINK("https://ceds.ed.gov/cedselementdetails.aspx?termid=6145")</f>
        <v>https://ceds.ed.gov/cedselementdetails.aspx?termid=6145</v>
      </c>
      <c r="N112" s="3" t="str">
        <f>HYPERLINK("https://ceds.ed.gov/elementComment.aspx?elementName=Assessment Form Section Reentry &amp;elementID=6145", "Click here to submit comment")</f>
        <v>Click here to submit comment</v>
      </c>
    </row>
    <row r="113" spans="1:14" ht="75">
      <c r="A113" s="3" t="s">
        <v>539</v>
      </c>
      <c r="B113" s="3" t="s">
        <v>540</v>
      </c>
      <c r="C113" s="3" t="s">
        <v>5963</v>
      </c>
      <c r="D113" s="3" t="s">
        <v>6008</v>
      </c>
      <c r="E113" s="3"/>
      <c r="F113" s="3"/>
      <c r="G113" s="3"/>
      <c r="H113" s="3"/>
      <c r="I113" s="3"/>
      <c r="J113" s="3" t="s">
        <v>541</v>
      </c>
      <c r="K113" s="3"/>
      <c r="L113" s="3" t="s">
        <v>542</v>
      </c>
      <c r="M113" s="3" t="str">
        <f>HYPERLINK("https://ceds.ed.gov/cedselementdetails.aspx?termid=6144")</f>
        <v>https://ceds.ed.gov/cedselementdetails.aspx?termid=6144</v>
      </c>
      <c r="N113" s="3" t="str">
        <f>HYPERLINK("https://ceds.ed.gov/elementComment.aspx?elementName=Assessment Form Section Sealed &amp;elementID=6144", "Click here to submit comment")</f>
        <v>Click here to submit comment</v>
      </c>
    </row>
    <row r="114" spans="1:14" ht="75">
      <c r="A114" s="3" t="s">
        <v>543</v>
      </c>
      <c r="B114" s="3" t="s">
        <v>544</v>
      </c>
      <c r="C114" s="3" t="s">
        <v>13</v>
      </c>
      <c r="D114" s="3" t="s">
        <v>6008</v>
      </c>
      <c r="E114" s="3"/>
      <c r="F114" s="3"/>
      <c r="G114" s="3" t="s">
        <v>545</v>
      </c>
      <c r="H114" s="3"/>
      <c r="I114" s="3"/>
      <c r="J114" s="3" t="s">
        <v>546</v>
      </c>
      <c r="K114" s="3"/>
      <c r="L114" s="3" t="s">
        <v>547</v>
      </c>
      <c r="M114" s="3" t="str">
        <f>HYPERLINK("https://ceds.ed.gov/cedselementdetails.aspx?termid=5980")</f>
        <v>https://ceds.ed.gov/cedselementdetails.aspx?termid=5980</v>
      </c>
      <c r="N114" s="3" t="str">
        <f>HYPERLINK("https://ceds.ed.gov/elementComment.aspx?elementName=Assessment Form Section Sequence Number &amp;elementID=5980", "Click here to submit comment")</f>
        <v>Click here to submit comment</v>
      </c>
    </row>
    <row r="115" spans="1:14" ht="75">
      <c r="A115" s="3" t="s">
        <v>548</v>
      </c>
      <c r="B115" s="3" t="s">
        <v>549</v>
      </c>
      <c r="C115" s="3" t="s">
        <v>13</v>
      </c>
      <c r="D115" s="3" t="s">
        <v>6008</v>
      </c>
      <c r="E115" s="3"/>
      <c r="F115" s="3"/>
      <c r="G115" s="3" t="s">
        <v>426</v>
      </c>
      <c r="H115" s="3"/>
      <c r="I115" s="3"/>
      <c r="J115" s="3" t="s">
        <v>550</v>
      </c>
      <c r="K115" s="3"/>
      <c r="L115" s="3" t="s">
        <v>551</v>
      </c>
      <c r="M115" s="3" t="str">
        <f>HYPERLINK("https://ceds.ed.gov/cedselementdetails.aspx?termid=6143")</f>
        <v>https://ceds.ed.gov/cedselementdetails.aspx?termid=6143</v>
      </c>
      <c r="N115" s="3" t="str">
        <f>HYPERLINK("https://ceds.ed.gov/elementComment.aspx?elementName=Assessment Form Section Time Limit &amp;elementID=6143", "Click here to submit comment")</f>
        <v>Click here to submit comment</v>
      </c>
    </row>
    <row r="116" spans="1:14" ht="75">
      <c r="A116" s="3" t="s">
        <v>552</v>
      </c>
      <c r="B116" s="3" t="s">
        <v>553</v>
      </c>
      <c r="C116" s="3" t="s">
        <v>13</v>
      </c>
      <c r="D116" s="3" t="s">
        <v>6008</v>
      </c>
      <c r="E116" s="3"/>
      <c r="F116" s="3"/>
      <c r="G116" s="3" t="s">
        <v>100</v>
      </c>
      <c r="H116" s="3"/>
      <c r="I116" s="3"/>
      <c r="J116" s="3" t="s">
        <v>554</v>
      </c>
      <c r="K116" s="3"/>
      <c r="L116" s="3" t="s">
        <v>555</v>
      </c>
      <c r="M116" s="3" t="str">
        <f>HYPERLINK("https://ceds.ed.gov/cedselementdetails.aspx?termid=6140")</f>
        <v>https://ceds.ed.gov/cedselementdetails.aspx?termid=6140</v>
      </c>
      <c r="N116" s="3" t="str">
        <f>HYPERLINK("https://ceds.ed.gov/elementComment.aspx?elementName=Assessment Form Section Version &amp;elementID=6140", "Click here to submit comment")</f>
        <v>Click here to submit comment</v>
      </c>
    </row>
    <row r="117" spans="1:14" ht="60">
      <c r="A117" s="3" t="s">
        <v>556</v>
      </c>
      <c r="B117" s="3" t="s">
        <v>557</v>
      </c>
      <c r="C117" s="3" t="s">
        <v>5963</v>
      </c>
      <c r="D117" s="3" t="s">
        <v>6009</v>
      </c>
      <c r="E117" s="3"/>
      <c r="F117" s="3" t="s">
        <v>66</v>
      </c>
      <c r="G117" s="3"/>
      <c r="H117" s="3" t="s">
        <v>558</v>
      </c>
      <c r="I117" s="3"/>
      <c r="J117" s="3" t="s">
        <v>559</v>
      </c>
      <c r="K117" s="3"/>
      <c r="L117" s="3" t="s">
        <v>560</v>
      </c>
      <c r="M117" s="3" t="str">
        <f>HYPERLINK("https://ceds.ed.gov/cedselementdetails.aspx?termid=6181")</f>
        <v>https://ceds.ed.gov/cedselementdetails.aspx?termid=6181</v>
      </c>
      <c r="N117" s="3" t="str">
        <f>HYPERLINK("https://ceds.ed.gov/elementComment.aspx?elementName=Assessment Form Subtest Container Only &amp;elementID=6181", "Click here to submit comment")</f>
        <v>Click here to submit comment</v>
      </c>
    </row>
    <row r="118" spans="1:14" ht="150">
      <c r="A118" s="3" t="s">
        <v>561</v>
      </c>
      <c r="B118" s="3" t="s">
        <v>562</v>
      </c>
      <c r="C118" s="3" t="s">
        <v>13</v>
      </c>
      <c r="D118" s="3" t="s">
        <v>6010</v>
      </c>
      <c r="E118" s="3"/>
      <c r="F118" s="3"/>
      <c r="G118" s="3" t="s">
        <v>545</v>
      </c>
      <c r="H118" s="3"/>
      <c r="I118" s="3"/>
      <c r="J118" s="3" t="s">
        <v>563</v>
      </c>
      <c r="K118" s="3"/>
      <c r="L118" s="3" t="s">
        <v>564</v>
      </c>
      <c r="M118" s="3" t="str">
        <f>HYPERLINK("https://ceds.ed.gov/cedselementdetails.aspx?termid=6013")</f>
        <v>https://ceds.ed.gov/cedselementdetails.aspx?termid=6013</v>
      </c>
      <c r="N118" s="3" t="str">
        <f>HYPERLINK("https://ceds.ed.gov/elementComment.aspx?elementName=Assessment Form Subtest Item Weight Correct &amp;elementID=6013", "Click here to submit comment")</f>
        <v>Click here to submit comment</v>
      </c>
    </row>
    <row r="119" spans="1:14" ht="105">
      <c r="A119" s="3" t="s">
        <v>565</v>
      </c>
      <c r="B119" s="3" t="s">
        <v>566</v>
      </c>
      <c r="C119" s="3" t="s">
        <v>13</v>
      </c>
      <c r="D119" s="3" t="s">
        <v>6010</v>
      </c>
      <c r="E119" s="3"/>
      <c r="F119" s="3"/>
      <c r="G119" s="3" t="s">
        <v>545</v>
      </c>
      <c r="H119" s="3"/>
      <c r="I119" s="3"/>
      <c r="J119" s="3" t="s">
        <v>567</v>
      </c>
      <c r="K119" s="3"/>
      <c r="L119" s="3" t="s">
        <v>568</v>
      </c>
      <c r="M119" s="3" t="str">
        <f>HYPERLINK("https://ceds.ed.gov/cedselementdetails.aspx?termid=6014")</f>
        <v>https://ceds.ed.gov/cedselementdetails.aspx?termid=6014</v>
      </c>
      <c r="N119" s="3" t="str">
        <f>HYPERLINK("https://ceds.ed.gov/elementComment.aspx?elementName=Assessment Form Subtest Item Weight Incorrect &amp;elementID=6014", "Click here to submit comment")</f>
        <v>Click here to submit comment</v>
      </c>
    </row>
    <row r="120" spans="1:14" ht="105">
      <c r="A120" s="3" t="s">
        <v>569</v>
      </c>
      <c r="B120" s="3" t="s">
        <v>570</v>
      </c>
      <c r="C120" s="3" t="s">
        <v>13</v>
      </c>
      <c r="D120" s="3" t="s">
        <v>6010</v>
      </c>
      <c r="E120" s="3"/>
      <c r="F120" s="3"/>
      <c r="G120" s="3" t="s">
        <v>545</v>
      </c>
      <c r="H120" s="3"/>
      <c r="I120" s="3"/>
      <c r="J120" s="3" t="s">
        <v>571</v>
      </c>
      <c r="K120" s="3"/>
      <c r="L120" s="3" t="s">
        <v>572</v>
      </c>
      <c r="M120" s="3" t="str">
        <f>HYPERLINK("https://ceds.ed.gov/cedselementdetails.aspx?termid=6015")</f>
        <v>https://ceds.ed.gov/cedselementdetails.aspx?termid=6015</v>
      </c>
      <c r="N120" s="3" t="str">
        <f>HYPERLINK("https://ceds.ed.gov/elementComment.aspx?elementName=Assessment Form Subtest Item Weight Not Attempted &amp;elementID=6015", "Click here to submit comment")</f>
        <v>Click here to submit comment</v>
      </c>
    </row>
    <row r="121" spans="1:14" ht="60">
      <c r="A121" s="3" t="s">
        <v>573</v>
      </c>
      <c r="B121" s="3" t="s">
        <v>574</v>
      </c>
      <c r="C121" s="3" t="s">
        <v>13</v>
      </c>
      <c r="D121" s="3" t="s">
        <v>6009</v>
      </c>
      <c r="E121" s="3"/>
      <c r="F121" s="3"/>
      <c r="G121" s="3" t="s">
        <v>575</v>
      </c>
      <c r="H121" s="3"/>
      <c r="I121" s="3"/>
      <c r="J121" s="3" t="s">
        <v>576</v>
      </c>
      <c r="K121" s="3"/>
      <c r="L121" s="3" t="s">
        <v>577</v>
      </c>
      <c r="M121" s="3" t="str">
        <f>HYPERLINK("https://ceds.ed.gov/cedselementdetails.aspx?termid=6180")</f>
        <v>https://ceds.ed.gov/cedselementdetails.aspx?termid=6180</v>
      </c>
      <c r="N121" s="3" t="str">
        <f>HYPERLINK("https://ceds.ed.gov/elementComment.aspx?elementName=Assessment Form Subtest Tier &amp;elementID=6180", "Click here to submit comment")</f>
        <v>Click here to submit comment</v>
      </c>
    </row>
    <row r="122" spans="1:14" ht="60">
      <c r="A122" s="3" t="s">
        <v>578</v>
      </c>
      <c r="B122" s="3" t="s">
        <v>579</v>
      </c>
      <c r="C122" s="3" t="s">
        <v>13</v>
      </c>
      <c r="D122" s="3" t="s">
        <v>6004</v>
      </c>
      <c r="E122" s="3"/>
      <c r="F122" s="3"/>
      <c r="G122" s="3" t="s">
        <v>100</v>
      </c>
      <c r="H122" s="3"/>
      <c r="I122" s="3"/>
      <c r="J122" s="3" t="s">
        <v>580</v>
      </c>
      <c r="K122" s="3"/>
      <c r="L122" s="3" t="s">
        <v>581</v>
      </c>
      <c r="M122" s="3" t="str">
        <f>HYPERLINK("https://ceds.ed.gov/cedselementdetails.aspx?termid=6134")</f>
        <v>https://ceds.ed.gov/cedselementdetails.aspx?termid=6134</v>
      </c>
      <c r="N122" s="3" t="str">
        <f>HYPERLINK("https://ceds.ed.gov/elementComment.aspx?elementName=Assessment Form Version &amp;elementID=6134", "Click here to submit comment")</f>
        <v>Click here to submit comment</v>
      </c>
    </row>
    <row r="123" spans="1:14" ht="75">
      <c r="A123" s="3" t="s">
        <v>582</v>
      </c>
      <c r="B123" s="3" t="s">
        <v>583</v>
      </c>
      <c r="C123" s="3" t="s">
        <v>13</v>
      </c>
      <c r="D123" s="3" t="s">
        <v>6011</v>
      </c>
      <c r="E123" s="3"/>
      <c r="F123" s="3"/>
      <c r="G123" s="3" t="s">
        <v>528</v>
      </c>
      <c r="H123" s="3"/>
      <c r="I123" s="3"/>
      <c r="J123" s="3" t="s">
        <v>584</v>
      </c>
      <c r="K123" s="3"/>
      <c r="L123" s="3" t="s">
        <v>585</v>
      </c>
      <c r="M123" s="3" t="str">
        <f>HYPERLINK("https://ceds.ed.gov/cedselementdetails.aspx?termid=5982")</f>
        <v>https://ceds.ed.gov/cedselementdetails.aspx?termid=5982</v>
      </c>
      <c r="N123" s="3" t="str">
        <f>HYPERLINK("https://ceds.ed.gov/elementComment.aspx?elementName=Assessment GUID &amp;elementID=5982", "Click here to submit comment")</f>
        <v>Click here to submit comment</v>
      </c>
    </row>
    <row r="124" spans="1:14" ht="165">
      <c r="A124" s="3" t="s">
        <v>586</v>
      </c>
      <c r="B124" s="3" t="s">
        <v>587</v>
      </c>
      <c r="C124" s="4" t="s">
        <v>6382</v>
      </c>
      <c r="D124" s="3" t="s">
        <v>6012</v>
      </c>
      <c r="E124" s="3" t="s">
        <v>6013</v>
      </c>
      <c r="F124" s="3"/>
      <c r="G124" s="3"/>
      <c r="H124" s="3"/>
      <c r="I124" s="3"/>
      <c r="J124" s="3" t="s">
        <v>588</v>
      </c>
      <c r="K124" s="3"/>
      <c r="L124" s="3" t="s">
        <v>589</v>
      </c>
      <c r="M124" s="3" t="str">
        <f>HYPERLINK("https://ceds.ed.gov/cedselementdetails.aspx?termid=5158")</f>
        <v>https://ceds.ed.gov/cedselementdetails.aspx?termid=5158</v>
      </c>
      <c r="N124" s="3" t="str">
        <f>HYPERLINK("https://ceds.ed.gov/elementComment.aspx?elementName=Assessment Identification System &amp;elementID=5158", "Click here to submit comment")</f>
        <v>Click here to submit comment</v>
      </c>
    </row>
    <row r="125" spans="1:14" ht="165">
      <c r="A125" s="3" t="s">
        <v>590</v>
      </c>
      <c r="B125" s="3" t="s">
        <v>591</v>
      </c>
      <c r="C125" s="3" t="s">
        <v>13</v>
      </c>
      <c r="D125" s="3" t="s">
        <v>6014</v>
      </c>
      <c r="E125" s="3" t="s">
        <v>6015</v>
      </c>
      <c r="F125" s="3"/>
      <c r="G125" s="3" t="s">
        <v>100</v>
      </c>
      <c r="H125" s="3"/>
      <c r="I125" s="3"/>
      <c r="J125" s="3" t="s">
        <v>592</v>
      </c>
      <c r="K125" s="3"/>
      <c r="L125" s="3" t="s">
        <v>593</v>
      </c>
      <c r="M125" s="3" t="str">
        <f>HYPERLINK("https://ceds.ed.gov/cedselementdetails.aspx?termid=5152")</f>
        <v>https://ceds.ed.gov/cedselementdetails.aspx?termid=5152</v>
      </c>
      <c r="N125" s="3" t="str">
        <f>HYPERLINK("https://ceds.ed.gov/elementComment.aspx?elementName=Assessment Identifier &amp;elementID=5152", "Click here to submit comment")</f>
        <v>Click here to submit comment</v>
      </c>
    </row>
    <row r="126" spans="1:14" ht="75">
      <c r="A126" s="3" t="s">
        <v>594</v>
      </c>
      <c r="B126" s="3" t="s">
        <v>595</v>
      </c>
      <c r="C126" s="3" t="s">
        <v>5963</v>
      </c>
      <c r="D126" s="3" t="s">
        <v>6016</v>
      </c>
      <c r="E126" s="3"/>
      <c r="F126" s="3"/>
      <c r="G126" s="3"/>
      <c r="H126" s="3"/>
      <c r="I126" s="3"/>
      <c r="J126" s="3" t="s">
        <v>596</v>
      </c>
      <c r="K126" s="3"/>
      <c r="L126" s="3" t="s">
        <v>597</v>
      </c>
      <c r="M126" s="3" t="str">
        <f>HYPERLINK("https://ceds.ed.gov/cedselementdetails.aspx?termid=6111")</f>
        <v>https://ceds.ed.gov/cedselementdetails.aspx?termid=6111</v>
      </c>
      <c r="N126" s="3" t="str">
        <f>HYPERLINK("https://ceds.ed.gov/elementComment.aspx?elementName=Assessment Item Adaptive Indicator &amp;elementID=6111", "Click here to submit comment")</f>
        <v>Click here to submit comment</v>
      </c>
    </row>
    <row r="127" spans="1:14" ht="105">
      <c r="A127" s="3" t="s">
        <v>598</v>
      </c>
      <c r="B127" s="3" t="s">
        <v>599</v>
      </c>
      <c r="C127" s="3" t="s">
        <v>13</v>
      </c>
      <c r="D127" s="3" t="s">
        <v>6017</v>
      </c>
      <c r="E127" s="3" t="s">
        <v>6018</v>
      </c>
      <c r="F127" s="3"/>
      <c r="G127" s="3" t="s">
        <v>426</v>
      </c>
      <c r="H127" s="3"/>
      <c r="I127" s="3"/>
      <c r="J127" s="3" t="s">
        <v>600</v>
      </c>
      <c r="K127" s="3"/>
      <c r="L127" s="3" t="s">
        <v>601</v>
      </c>
      <c r="M127" s="3" t="str">
        <f>HYPERLINK("https://ceds.ed.gov/cedselementdetails.aspx?termid=5395")</f>
        <v>https://ceds.ed.gov/cedselementdetails.aspx?termid=5395</v>
      </c>
      <c r="N127" s="3" t="str">
        <f>HYPERLINK("https://ceds.ed.gov/elementComment.aspx?elementName=Assessment Item Allotted Time &amp;elementID=5395", "Click here to submit comment")</f>
        <v>Click here to submit comment</v>
      </c>
    </row>
    <row r="128" spans="1:14" ht="195">
      <c r="A128" s="3" t="s">
        <v>602</v>
      </c>
      <c r="B128" s="3" t="s">
        <v>603</v>
      </c>
      <c r="C128" s="3" t="s">
        <v>13</v>
      </c>
      <c r="D128" s="3" t="s">
        <v>6016</v>
      </c>
      <c r="E128" s="3"/>
      <c r="F128" s="3"/>
      <c r="G128" s="3" t="s">
        <v>319</v>
      </c>
      <c r="H128" s="3"/>
      <c r="I128" s="3"/>
      <c r="J128" s="3" t="s">
        <v>604</v>
      </c>
      <c r="K128" s="3"/>
      <c r="L128" s="3" t="s">
        <v>605</v>
      </c>
      <c r="M128" s="3" t="str">
        <f>HYPERLINK("https://ceds.ed.gov/cedselementdetails.aspx?termid=6110")</f>
        <v>https://ceds.ed.gov/cedselementdetails.aspx?termid=6110</v>
      </c>
      <c r="N128" s="3" t="str">
        <f>HYPERLINK("https://ceds.ed.gov/elementComment.aspx?elementName=Assessment Item APIP Item Body XML &amp;elementID=6110", "Click here to submit comment")</f>
        <v>Click here to submit comment</v>
      </c>
    </row>
    <row r="129" spans="1:14" ht="150">
      <c r="A129" s="3" t="s">
        <v>606</v>
      </c>
      <c r="B129" s="3" t="s">
        <v>607</v>
      </c>
      <c r="C129" s="3" t="s">
        <v>13</v>
      </c>
      <c r="D129" s="3" t="s">
        <v>6016</v>
      </c>
      <c r="E129" s="3"/>
      <c r="F129" s="3"/>
      <c r="G129" s="3" t="s">
        <v>319</v>
      </c>
      <c r="H129" s="3"/>
      <c r="I129" s="3"/>
      <c r="J129" s="3" t="s">
        <v>608</v>
      </c>
      <c r="K129" s="3"/>
      <c r="L129" s="3" t="s">
        <v>609</v>
      </c>
      <c r="M129" s="3" t="str">
        <f>HYPERLINK("https://ceds.ed.gov/cedselementdetails.aspx?termid=6109")</f>
        <v>https://ceds.ed.gov/cedselementdetails.aspx?termid=6109</v>
      </c>
      <c r="N129" s="3" t="str">
        <f>HYPERLINK("https://ceds.ed.gov/elementComment.aspx?elementName=Assessment Item APIP Modal Feedback XML &amp;elementID=6109", "Click here to submit comment")</f>
        <v>Click here to submit comment</v>
      </c>
    </row>
    <row r="130" spans="1:14" ht="105">
      <c r="A130" s="3" t="s">
        <v>610</v>
      </c>
      <c r="B130" s="3" t="s">
        <v>611</v>
      </c>
      <c r="C130" s="3" t="s">
        <v>13</v>
      </c>
      <c r="D130" s="3" t="s">
        <v>6016</v>
      </c>
      <c r="E130" s="3"/>
      <c r="F130" s="3"/>
      <c r="G130" s="3" t="s">
        <v>319</v>
      </c>
      <c r="H130" s="3"/>
      <c r="I130" s="3"/>
      <c r="J130" s="3" t="s">
        <v>612</v>
      </c>
      <c r="K130" s="3"/>
      <c r="L130" s="3" t="s">
        <v>613</v>
      </c>
      <c r="M130" s="3" t="str">
        <f>HYPERLINK("https://ceds.ed.gov/cedselementdetails.aspx?termid=6106")</f>
        <v>https://ceds.ed.gov/cedselementdetails.aspx?termid=6106</v>
      </c>
      <c r="N130" s="3" t="str">
        <f>HYPERLINK("https://ceds.ed.gov/elementComment.aspx?elementName=Assessment Item APIP Outcome Declaration XML &amp;elementID=6106", "Click here to submit comment")</f>
        <v>Click here to submit comment</v>
      </c>
    </row>
    <row r="131" spans="1:14" ht="90">
      <c r="A131" s="3" t="s">
        <v>614</v>
      </c>
      <c r="B131" s="3" t="s">
        <v>615</v>
      </c>
      <c r="C131" s="3" t="s">
        <v>13</v>
      </c>
      <c r="D131" s="3" t="s">
        <v>6016</v>
      </c>
      <c r="E131" s="3"/>
      <c r="F131" s="3"/>
      <c r="G131" s="3" t="s">
        <v>319</v>
      </c>
      <c r="H131" s="3"/>
      <c r="I131" s="3"/>
      <c r="J131" s="3" t="s">
        <v>616</v>
      </c>
      <c r="K131" s="3"/>
      <c r="L131" s="3" t="s">
        <v>617</v>
      </c>
      <c r="M131" s="3" t="str">
        <f>HYPERLINK("https://ceds.ed.gov/cedselementdetails.aspx?termid=6105")</f>
        <v>https://ceds.ed.gov/cedselementdetails.aspx?termid=6105</v>
      </c>
      <c r="N131" s="3" t="str">
        <f>HYPERLINK("https://ceds.ed.gov/elementComment.aspx?elementName=Assessment Item APIP Response Declaration XML &amp;elementID=6105", "Click here to submit comment")</f>
        <v>Click here to submit comment</v>
      </c>
    </row>
    <row r="132" spans="1:14" ht="180">
      <c r="A132" s="3" t="s">
        <v>618</v>
      </c>
      <c r="B132" s="3" t="s">
        <v>619</v>
      </c>
      <c r="C132" s="3" t="s">
        <v>13</v>
      </c>
      <c r="D132" s="3" t="s">
        <v>6016</v>
      </c>
      <c r="E132" s="3"/>
      <c r="F132" s="3"/>
      <c r="G132" s="3" t="s">
        <v>319</v>
      </c>
      <c r="H132" s="3"/>
      <c r="I132" s="3"/>
      <c r="J132" s="3" t="s">
        <v>620</v>
      </c>
      <c r="K132" s="3"/>
      <c r="L132" s="3" t="s">
        <v>621</v>
      </c>
      <c r="M132" s="3" t="str">
        <f>HYPERLINK("https://ceds.ed.gov/cedselementdetails.aspx?termid=6103")</f>
        <v>https://ceds.ed.gov/cedselementdetails.aspx?termid=6103</v>
      </c>
      <c r="N132" s="3" t="str">
        <f>HYPERLINK("https://ceds.ed.gov/elementComment.aspx?elementName=Assessment Item APIP Response Processing Template URL &amp;elementID=6103", "Click here to submit comment")</f>
        <v>Click here to submit comment</v>
      </c>
    </row>
    <row r="133" spans="1:14" ht="180">
      <c r="A133" s="3" t="s">
        <v>622</v>
      </c>
      <c r="B133" s="3" t="s">
        <v>623</v>
      </c>
      <c r="C133" s="3" t="s">
        <v>13</v>
      </c>
      <c r="D133" s="3" t="s">
        <v>6016</v>
      </c>
      <c r="E133" s="3"/>
      <c r="F133" s="3"/>
      <c r="G133" s="3" t="s">
        <v>319</v>
      </c>
      <c r="H133" s="3"/>
      <c r="I133" s="3"/>
      <c r="J133" s="3" t="s">
        <v>624</v>
      </c>
      <c r="K133" s="3"/>
      <c r="L133" s="3" t="s">
        <v>625</v>
      </c>
      <c r="M133" s="3" t="str">
        <f>HYPERLINK("https://ceds.ed.gov/cedselementdetails.aspx?termid=6104")</f>
        <v>https://ceds.ed.gov/cedselementdetails.aspx?termid=6104</v>
      </c>
      <c r="N133" s="3" t="str">
        <f>HYPERLINK("https://ceds.ed.gov/elementComment.aspx?elementName=Assessment Item APIP Response Processing XML &amp;elementID=6104", "Click here to submit comment")</f>
        <v>Click here to submit comment</v>
      </c>
    </row>
    <row r="134" spans="1:14" ht="180">
      <c r="A134" s="3" t="s">
        <v>626</v>
      </c>
      <c r="B134" s="3" t="s">
        <v>627</v>
      </c>
      <c r="C134" s="3" t="s">
        <v>13</v>
      </c>
      <c r="D134" s="3" t="s">
        <v>6016</v>
      </c>
      <c r="E134" s="3"/>
      <c r="F134" s="3"/>
      <c r="G134" s="3" t="s">
        <v>319</v>
      </c>
      <c r="H134" s="3"/>
      <c r="I134" s="3"/>
      <c r="J134" s="3" t="s">
        <v>628</v>
      </c>
      <c r="K134" s="3"/>
      <c r="L134" s="3" t="s">
        <v>629</v>
      </c>
      <c r="M134" s="3" t="str">
        <f>HYPERLINK("https://ceds.ed.gov/cedselementdetails.aspx?termid=6107")</f>
        <v>https://ceds.ed.gov/cedselementdetails.aspx?termid=6107</v>
      </c>
      <c r="N134" s="3" t="str">
        <f>HYPERLINK("https://ceds.ed.gov/elementComment.aspx?elementName=Assessment Item APIP Template Declaration XML &amp;elementID=6107", "Click here to submit comment")</f>
        <v>Click here to submit comment</v>
      </c>
    </row>
    <row r="135" spans="1:14" ht="165">
      <c r="A135" s="3" t="s">
        <v>630</v>
      </c>
      <c r="B135" s="3" t="s">
        <v>631</v>
      </c>
      <c r="C135" s="3" t="s">
        <v>13</v>
      </c>
      <c r="D135" s="3" t="s">
        <v>6016</v>
      </c>
      <c r="E135" s="3"/>
      <c r="F135" s="3"/>
      <c r="G135" s="3" t="s">
        <v>319</v>
      </c>
      <c r="H135" s="3"/>
      <c r="I135" s="3"/>
      <c r="J135" s="3" t="s">
        <v>632</v>
      </c>
      <c r="K135" s="3"/>
      <c r="L135" s="3" t="s">
        <v>633</v>
      </c>
      <c r="M135" s="3" t="str">
        <f>HYPERLINK("https://ceds.ed.gov/cedselementdetails.aspx?termid=6108")</f>
        <v>https://ceds.ed.gov/cedselementdetails.aspx?termid=6108</v>
      </c>
      <c r="N135" s="3" t="str">
        <f>HYPERLINK("https://ceds.ed.gov/elementComment.aspx?elementName=Assessment Item APIP Template Processing XML &amp;elementID=6108", "Click here to submit comment")</f>
        <v>Click here to submit comment</v>
      </c>
    </row>
    <row r="136" spans="1:14" ht="60">
      <c r="A136" s="3" t="s">
        <v>634</v>
      </c>
      <c r="B136" s="3" t="s">
        <v>635</v>
      </c>
      <c r="C136" s="3" t="s">
        <v>13</v>
      </c>
      <c r="D136" s="3" t="s">
        <v>6019</v>
      </c>
      <c r="E136" s="3"/>
      <c r="F136" s="3"/>
      <c r="G136" s="3" t="s">
        <v>100</v>
      </c>
      <c r="H136" s="3"/>
      <c r="I136" s="3"/>
      <c r="J136" s="3" t="s">
        <v>636</v>
      </c>
      <c r="K136" s="3"/>
      <c r="L136" s="3" t="s">
        <v>637</v>
      </c>
      <c r="M136" s="3" t="str">
        <f>HYPERLINK("https://ceds.ed.gov/cedselementdetails.aspx?termid=6132")</f>
        <v>https://ceds.ed.gov/cedselementdetails.aspx?termid=6132</v>
      </c>
      <c r="N136" s="3" t="str">
        <f>HYPERLINK("https://ceds.ed.gov/elementComment.aspx?elementName=Assessment Item Bank Identifier &amp;elementID=6132", "Click here to submit comment")</f>
        <v>Click here to submit comment</v>
      </c>
    </row>
    <row r="137" spans="1:14" ht="60">
      <c r="A137" s="3" t="s">
        <v>638</v>
      </c>
      <c r="B137" s="3" t="s">
        <v>639</v>
      </c>
      <c r="C137" s="3" t="s">
        <v>13</v>
      </c>
      <c r="D137" s="3" t="s">
        <v>6019</v>
      </c>
      <c r="E137" s="3"/>
      <c r="F137" s="3"/>
      <c r="G137" s="3" t="s">
        <v>106</v>
      </c>
      <c r="H137" s="3"/>
      <c r="I137" s="3"/>
      <c r="J137" s="3" t="s">
        <v>640</v>
      </c>
      <c r="K137" s="3"/>
      <c r="L137" s="3" t="s">
        <v>641</v>
      </c>
      <c r="M137" s="3" t="str">
        <f>HYPERLINK("https://ceds.ed.gov/cedselementdetails.aspx?termid=6133")</f>
        <v>https://ceds.ed.gov/cedselementdetails.aspx?termid=6133</v>
      </c>
      <c r="N137" s="3" t="str">
        <f>HYPERLINK("https://ceds.ed.gov/elementComment.aspx?elementName=Assessment Item Bank Name &amp;elementID=6133", "Click here to submit comment")</f>
        <v>Click here to submit comment</v>
      </c>
    </row>
    <row r="138" spans="1:14" ht="90">
      <c r="A138" s="3" t="s">
        <v>642</v>
      </c>
      <c r="B138" s="3" t="s">
        <v>643</v>
      </c>
      <c r="C138" s="3" t="s">
        <v>13</v>
      </c>
      <c r="D138" s="3" t="s">
        <v>6020</v>
      </c>
      <c r="E138" s="3"/>
      <c r="F138" s="3"/>
      <c r="G138" s="3" t="s">
        <v>319</v>
      </c>
      <c r="H138" s="3"/>
      <c r="I138" s="3"/>
      <c r="J138" s="3" t="s">
        <v>644</v>
      </c>
      <c r="K138" s="3"/>
      <c r="L138" s="3" t="s">
        <v>645</v>
      </c>
      <c r="M138" s="3" t="str">
        <f>HYPERLINK("https://ceds.ed.gov/cedselementdetails.aspx?termid=6100")</f>
        <v>https://ceds.ed.gov/cedselementdetails.aspx?termid=6100</v>
      </c>
      <c r="N138" s="3" t="str">
        <f>HYPERLINK("https://ceds.ed.gov/elementComment.aspx?elementName=Assessment Item Body Associate Interaction XML &amp;elementID=6100", "Click here to submit comment")</f>
        <v>Click here to submit comment</v>
      </c>
    </row>
    <row r="139" spans="1:14" ht="120">
      <c r="A139" s="3" t="s">
        <v>646</v>
      </c>
      <c r="B139" s="3" t="s">
        <v>647</v>
      </c>
      <c r="C139" s="3" t="s">
        <v>13</v>
      </c>
      <c r="D139" s="3" t="s">
        <v>6020</v>
      </c>
      <c r="E139" s="3"/>
      <c r="F139" s="3"/>
      <c r="G139" s="3" t="s">
        <v>319</v>
      </c>
      <c r="H139" s="3"/>
      <c r="I139" s="3"/>
      <c r="J139" s="3" t="s">
        <v>648</v>
      </c>
      <c r="K139" s="3"/>
      <c r="L139" s="3" t="s">
        <v>649</v>
      </c>
      <c r="M139" s="3" t="str">
        <f>HYPERLINK("https://ceds.ed.gov/cedselementdetails.aspx?termid=6090")</f>
        <v>https://ceds.ed.gov/cedselementdetails.aspx?termid=6090</v>
      </c>
      <c r="N139" s="3" t="str">
        <f>HYPERLINK("https://ceds.ed.gov/elementComment.aspx?elementName=Assessment Item Body Choice Interaction XML &amp;elementID=6090", "Click here to submit comment")</f>
        <v>Click here to submit comment</v>
      </c>
    </row>
    <row r="140" spans="1:14" ht="105">
      <c r="A140" s="3" t="s">
        <v>650</v>
      </c>
      <c r="B140" s="3" t="s">
        <v>651</v>
      </c>
      <c r="C140" s="3" t="s">
        <v>13</v>
      </c>
      <c r="D140" s="3" t="s">
        <v>6021</v>
      </c>
      <c r="E140" s="3"/>
      <c r="F140" s="3"/>
      <c r="G140" s="3" t="s">
        <v>319</v>
      </c>
      <c r="H140" s="3"/>
      <c r="I140" s="3"/>
      <c r="J140" s="3" t="s">
        <v>652</v>
      </c>
      <c r="K140" s="3"/>
      <c r="L140" s="3" t="s">
        <v>653</v>
      </c>
      <c r="M140" s="3" t="str">
        <f>HYPERLINK("https://ceds.ed.gov/cedselementdetails.aspx?termid=6079")</f>
        <v>https://ceds.ed.gov/cedselementdetails.aspx?termid=6079</v>
      </c>
      <c r="N140" s="3" t="str">
        <f>HYPERLINK("https://ceds.ed.gov/elementComment.aspx?elementName=Assessment Item Body Custom Interaction XML &amp;elementID=6079", "Click here to submit comment")</f>
        <v>Click here to submit comment</v>
      </c>
    </row>
    <row r="141" spans="1:14" ht="150">
      <c r="A141" s="3" t="s">
        <v>654</v>
      </c>
      <c r="B141" s="3" t="s">
        <v>655</v>
      </c>
      <c r="C141" s="3" t="s">
        <v>13</v>
      </c>
      <c r="D141" s="3" t="s">
        <v>6020</v>
      </c>
      <c r="E141" s="3"/>
      <c r="F141" s="3"/>
      <c r="G141" s="3" t="s">
        <v>319</v>
      </c>
      <c r="H141" s="3"/>
      <c r="I141" s="3"/>
      <c r="J141" s="3" t="s">
        <v>656</v>
      </c>
      <c r="K141" s="3"/>
      <c r="L141" s="3" t="s">
        <v>657</v>
      </c>
      <c r="M141" s="3" t="str">
        <f>HYPERLINK("https://ceds.ed.gov/cedselementdetails.aspx?termid=6080")</f>
        <v>https://ceds.ed.gov/cedselementdetails.aspx?termid=6080</v>
      </c>
      <c r="N141" s="3" t="str">
        <f>HYPERLINK("https://ceds.ed.gov/elementComment.aspx?elementName=Assessment Item Body Drawing Interaction XML &amp;elementID=6080", "Click here to submit comment")</f>
        <v>Click here to submit comment</v>
      </c>
    </row>
    <row r="142" spans="1:14" ht="195">
      <c r="A142" s="3" t="s">
        <v>658</v>
      </c>
      <c r="B142" s="3" t="s">
        <v>659</v>
      </c>
      <c r="C142" s="3" t="s">
        <v>13</v>
      </c>
      <c r="D142" s="3" t="s">
        <v>6020</v>
      </c>
      <c r="E142" s="3"/>
      <c r="F142" s="3"/>
      <c r="G142" s="3" t="s">
        <v>319</v>
      </c>
      <c r="H142" s="3"/>
      <c r="I142" s="3"/>
      <c r="J142" s="3" t="s">
        <v>660</v>
      </c>
      <c r="K142" s="3"/>
      <c r="L142" s="3" t="s">
        <v>661</v>
      </c>
      <c r="M142" s="3" t="str">
        <f>HYPERLINK("https://ceds.ed.gov/cedselementdetails.aspx?termid=6098")</f>
        <v>https://ceds.ed.gov/cedselementdetails.aspx?termid=6098</v>
      </c>
      <c r="N142" s="3" t="str">
        <f>HYPERLINK("https://ceds.ed.gov/elementComment.aspx?elementName=Assessment Item Body End Attempt Interaction XML &amp;elementID=6098", "Click here to submit comment")</f>
        <v>Click here to submit comment</v>
      </c>
    </row>
    <row r="143" spans="1:14" ht="90">
      <c r="A143" s="3" t="s">
        <v>662</v>
      </c>
      <c r="B143" s="3" t="s">
        <v>663</v>
      </c>
      <c r="C143" s="3" t="s">
        <v>13</v>
      </c>
      <c r="D143" s="3" t="s">
        <v>6020</v>
      </c>
      <c r="E143" s="3"/>
      <c r="F143" s="3"/>
      <c r="G143" s="3" t="s">
        <v>319</v>
      </c>
      <c r="H143" s="3"/>
      <c r="I143" s="3"/>
      <c r="J143" s="3" t="s">
        <v>664</v>
      </c>
      <c r="K143" s="3"/>
      <c r="L143" s="3" t="s">
        <v>665</v>
      </c>
      <c r="M143" s="3" t="str">
        <f>HYPERLINK("https://ceds.ed.gov/cedselementdetails.aspx?termid=6097")</f>
        <v>https://ceds.ed.gov/cedselementdetails.aspx?termid=6097</v>
      </c>
      <c r="N143" s="3" t="str">
        <f>HYPERLINK("https://ceds.ed.gov/elementComment.aspx?elementName=Assessment Item Body Extended Text Interaction XML &amp;elementID=6097", "Click here to submit comment")</f>
        <v>Click here to submit comment</v>
      </c>
    </row>
    <row r="144" spans="1:14" ht="120">
      <c r="A144" s="3" t="s">
        <v>666</v>
      </c>
      <c r="B144" s="3" t="s">
        <v>667</v>
      </c>
      <c r="C144" s="3" t="s">
        <v>13</v>
      </c>
      <c r="D144" s="3" t="s">
        <v>6020</v>
      </c>
      <c r="E144" s="3"/>
      <c r="F144" s="3"/>
      <c r="G144" s="3" t="s">
        <v>319</v>
      </c>
      <c r="H144" s="3"/>
      <c r="I144" s="3"/>
      <c r="J144" s="3" t="s">
        <v>668</v>
      </c>
      <c r="K144" s="3"/>
      <c r="L144" s="3" t="s">
        <v>669</v>
      </c>
      <c r="M144" s="3" t="str">
        <f>HYPERLINK("https://ceds.ed.gov/cedselementdetails.aspx?termid=6081")</f>
        <v>https://ceds.ed.gov/cedselementdetails.aspx?termid=6081</v>
      </c>
      <c r="N144" s="3" t="str">
        <f>HYPERLINK("https://ceds.ed.gov/elementComment.aspx?elementName=Assessment Item Body Gap Match Interaction XML &amp;elementID=6081", "Click here to submit comment")</f>
        <v>Click here to submit comment</v>
      </c>
    </row>
    <row r="145" spans="1:14" ht="409.5">
      <c r="A145" s="3" t="s">
        <v>670</v>
      </c>
      <c r="B145" s="3" t="s">
        <v>671</v>
      </c>
      <c r="C145" s="3" t="s">
        <v>13</v>
      </c>
      <c r="D145" s="3" t="s">
        <v>6020</v>
      </c>
      <c r="E145" s="3"/>
      <c r="F145" s="3"/>
      <c r="G145" s="3" t="s">
        <v>319</v>
      </c>
      <c r="H145" s="3"/>
      <c r="I145" s="3"/>
      <c r="J145" s="3" t="s">
        <v>672</v>
      </c>
      <c r="K145" s="3"/>
      <c r="L145" s="3" t="s">
        <v>673</v>
      </c>
      <c r="M145" s="3" t="str">
        <f>HYPERLINK("https://ceds.ed.gov/cedselementdetails.aspx?termid=6083")</f>
        <v>https://ceds.ed.gov/cedselementdetails.aspx?termid=6083</v>
      </c>
      <c r="N145" s="3" t="str">
        <f>HYPERLINK("https://ceds.ed.gov/elementComment.aspx?elementName=Assessment Item Body Graphic Gap Match Interaction XML &amp;elementID=6083", "Click here to submit comment")</f>
        <v>Click here to submit comment</v>
      </c>
    </row>
    <row r="146" spans="1:14" ht="240">
      <c r="A146" s="3" t="s">
        <v>674</v>
      </c>
      <c r="B146" s="3" t="s">
        <v>675</v>
      </c>
      <c r="C146" s="3" t="s">
        <v>13</v>
      </c>
      <c r="D146" s="3" t="s">
        <v>6020</v>
      </c>
      <c r="E146" s="3"/>
      <c r="F146" s="3"/>
      <c r="G146" s="3" t="s">
        <v>319</v>
      </c>
      <c r="H146" s="3"/>
      <c r="I146" s="3"/>
      <c r="J146" s="3" t="s">
        <v>676</v>
      </c>
      <c r="K146" s="3"/>
      <c r="L146" s="3" t="s">
        <v>677</v>
      </c>
      <c r="M146" s="3" t="str">
        <f>HYPERLINK("https://ceds.ed.gov/cedselementdetails.aspx?termid=6085")</f>
        <v>https://ceds.ed.gov/cedselementdetails.aspx?termid=6085</v>
      </c>
      <c r="N146" s="3" t="str">
        <f>HYPERLINK("https://ceds.ed.gov/elementComment.aspx?elementName=Assessment Item Body Graphic Order Interaction XML &amp;elementID=6085", "Click here to submit comment")</f>
        <v>Click here to submit comment</v>
      </c>
    </row>
    <row r="147" spans="1:14" ht="225">
      <c r="A147" s="3" t="s">
        <v>678</v>
      </c>
      <c r="B147" s="3" t="s">
        <v>679</v>
      </c>
      <c r="C147" s="3" t="s">
        <v>13</v>
      </c>
      <c r="D147" s="3" t="s">
        <v>6020</v>
      </c>
      <c r="E147" s="3"/>
      <c r="F147" s="3"/>
      <c r="G147" s="3" t="s">
        <v>319</v>
      </c>
      <c r="H147" s="3"/>
      <c r="I147" s="3"/>
      <c r="J147" s="3" t="s">
        <v>680</v>
      </c>
      <c r="K147" s="3"/>
      <c r="L147" s="3" t="s">
        <v>681</v>
      </c>
      <c r="M147" s="3" t="str">
        <f>HYPERLINK("https://ceds.ed.gov/cedselementdetails.aspx?termid=6084")</f>
        <v>https://ceds.ed.gov/cedselementdetails.aspx?termid=6084</v>
      </c>
      <c r="N147" s="3" t="str">
        <f>HYPERLINK("https://ceds.ed.gov/elementComment.aspx?elementName=Assessment Item Body Hot Spot Interaction XML &amp;elementID=6084", "Click here to submit comment")</f>
        <v>Click here to submit comment</v>
      </c>
    </row>
    <row r="148" spans="1:14" ht="225">
      <c r="A148" s="3" t="s">
        <v>682</v>
      </c>
      <c r="B148" s="3" t="s">
        <v>683</v>
      </c>
      <c r="C148" s="3" t="s">
        <v>13</v>
      </c>
      <c r="D148" s="3" t="s">
        <v>6020</v>
      </c>
      <c r="E148" s="3"/>
      <c r="F148" s="3"/>
      <c r="G148" s="3" t="s">
        <v>319</v>
      </c>
      <c r="H148" s="3"/>
      <c r="I148" s="3"/>
      <c r="J148" s="3" t="s">
        <v>684</v>
      </c>
      <c r="K148" s="3"/>
      <c r="L148" s="3" t="s">
        <v>685</v>
      </c>
      <c r="M148" s="3" t="str">
        <f>HYPERLINK("https://ceds.ed.gov/cedselementdetails.aspx?termid=6093")</f>
        <v>https://ceds.ed.gov/cedselementdetails.aspx?termid=6093</v>
      </c>
      <c r="N148" s="3" t="str">
        <f>HYPERLINK("https://ceds.ed.gov/elementComment.aspx?elementName=Assessment Item Body Hottext Interaction XML &amp;elementID=6093", "Click here to submit comment")</f>
        <v>Click here to submit comment</v>
      </c>
    </row>
    <row r="149" spans="1:14" ht="135">
      <c r="A149" s="3" t="s">
        <v>686</v>
      </c>
      <c r="B149" s="3" t="s">
        <v>687</v>
      </c>
      <c r="C149" s="3" t="s">
        <v>13</v>
      </c>
      <c r="D149" s="3" t="s">
        <v>6020</v>
      </c>
      <c r="E149" s="3"/>
      <c r="F149" s="3"/>
      <c r="G149" s="3" t="s">
        <v>319</v>
      </c>
      <c r="H149" s="3"/>
      <c r="I149" s="3"/>
      <c r="J149" s="3" t="s">
        <v>688</v>
      </c>
      <c r="K149" s="3"/>
      <c r="L149" s="3" t="s">
        <v>689</v>
      </c>
      <c r="M149" s="3" t="str">
        <f>HYPERLINK("https://ceds.ed.gov/cedselementdetails.aspx?termid=6091")</f>
        <v>https://ceds.ed.gov/cedselementdetails.aspx?termid=6091</v>
      </c>
      <c r="N149" s="3" t="str">
        <f>HYPERLINK("https://ceds.ed.gov/elementComment.aspx?elementName=Assessment Item Body Inline Choice Interaction XML &amp;elementID=6091", "Click here to submit comment")</f>
        <v>Click here to submit comment</v>
      </c>
    </row>
    <row r="150" spans="1:14" ht="165">
      <c r="A150" s="3" t="s">
        <v>690</v>
      </c>
      <c r="B150" s="3" t="s">
        <v>691</v>
      </c>
      <c r="C150" s="3" t="s">
        <v>13</v>
      </c>
      <c r="D150" s="3" t="s">
        <v>6020</v>
      </c>
      <c r="E150" s="3"/>
      <c r="F150" s="3"/>
      <c r="G150" s="3" t="s">
        <v>319</v>
      </c>
      <c r="H150" s="3"/>
      <c r="I150" s="3"/>
      <c r="J150" s="3" t="s">
        <v>692</v>
      </c>
      <c r="K150" s="3"/>
      <c r="L150" s="3" t="s">
        <v>693</v>
      </c>
      <c r="M150" s="3" t="str">
        <f>HYPERLINK("https://ceds.ed.gov/cedselementdetails.aspx?termid=6082")</f>
        <v>https://ceds.ed.gov/cedselementdetails.aspx?termid=6082</v>
      </c>
      <c r="N150" s="3" t="str">
        <f>HYPERLINK("https://ceds.ed.gov/elementComment.aspx?elementName=Assessment Item Body Match Interaction XML &amp;elementID=6082", "Click here to submit comment")</f>
        <v>Click here to submit comment</v>
      </c>
    </row>
    <row r="151" spans="1:14" ht="165">
      <c r="A151" s="3" t="s">
        <v>694</v>
      </c>
      <c r="B151" s="3" t="s">
        <v>695</v>
      </c>
      <c r="C151" s="3" t="s">
        <v>13</v>
      </c>
      <c r="D151" s="3" t="s">
        <v>6020</v>
      </c>
      <c r="E151" s="3"/>
      <c r="F151" s="3"/>
      <c r="G151" s="3" t="s">
        <v>319</v>
      </c>
      <c r="H151" s="3"/>
      <c r="I151" s="3"/>
      <c r="J151" s="3" t="s">
        <v>696</v>
      </c>
      <c r="K151" s="3"/>
      <c r="L151" s="3" t="s">
        <v>697</v>
      </c>
      <c r="M151" s="3" t="str">
        <f>HYPERLINK("https://ceds.ed.gov/cedselementdetails.aspx?termid=6092")</f>
        <v>https://ceds.ed.gov/cedselementdetails.aspx?termid=6092</v>
      </c>
      <c r="N151" s="3" t="str">
        <f>HYPERLINK("https://ceds.ed.gov/elementComment.aspx?elementName=Assessment Item Body Media Interaction XML &amp;elementID=6092", "Click here to submit comment")</f>
        <v>Click here to submit comment</v>
      </c>
    </row>
    <row r="152" spans="1:14" ht="195">
      <c r="A152" s="3" t="s">
        <v>698</v>
      </c>
      <c r="B152" s="3" t="s">
        <v>699</v>
      </c>
      <c r="C152" s="3" t="s">
        <v>13</v>
      </c>
      <c r="D152" s="3" t="s">
        <v>6020</v>
      </c>
      <c r="E152" s="3"/>
      <c r="F152" s="3"/>
      <c r="G152" s="3" t="s">
        <v>319</v>
      </c>
      <c r="H152" s="3"/>
      <c r="I152" s="3"/>
      <c r="J152" s="3" t="s">
        <v>700</v>
      </c>
      <c r="K152" s="3"/>
      <c r="L152" s="3" t="s">
        <v>701</v>
      </c>
      <c r="M152" s="3" t="str">
        <f>HYPERLINK("https://ceds.ed.gov/cedselementdetails.aspx?termid=6094")</f>
        <v>https://ceds.ed.gov/cedselementdetails.aspx?termid=6094</v>
      </c>
      <c r="N152" s="3" t="str">
        <f>HYPERLINK("https://ceds.ed.gov/elementComment.aspx?elementName=Assessment Item Body Order Interaction XML &amp;elementID=6094", "Click here to submit comment")</f>
        <v>Click here to submit comment</v>
      </c>
    </row>
    <row r="153" spans="1:14" ht="210">
      <c r="A153" s="3" t="s">
        <v>702</v>
      </c>
      <c r="B153" s="3" t="s">
        <v>703</v>
      </c>
      <c r="C153" s="3" t="s">
        <v>13</v>
      </c>
      <c r="D153" s="3" t="s">
        <v>6020</v>
      </c>
      <c r="E153" s="3"/>
      <c r="F153" s="3"/>
      <c r="G153" s="3" t="s">
        <v>319</v>
      </c>
      <c r="H153" s="3"/>
      <c r="I153" s="3"/>
      <c r="J153" s="3" t="s">
        <v>704</v>
      </c>
      <c r="K153" s="3"/>
      <c r="L153" s="3" t="s">
        <v>705</v>
      </c>
      <c r="M153" s="3" t="str">
        <f>HYPERLINK("https://ceds.ed.gov/cedselementdetails.aspx?termid=6095")</f>
        <v>https://ceds.ed.gov/cedselementdetails.aspx?termid=6095</v>
      </c>
      <c r="N153" s="3" t="str">
        <f>HYPERLINK("https://ceds.ed.gov/elementComment.aspx?elementName=Assessment Item Body Position Object Interaction XML &amp;elementID=6095", "Click here to submit comment")</f>
        <v>Click here to submit comment</v>
      </c>
    </row>
    <row r="154" spans="1:14" ht="240">
      <c r="A154" s="3" t="s">
        <v>706</v>
      </c>
      <c r="B154" s="3" t="s">
        <v>707</v>
      </c>
      <c r="C154" s="3" t="s">
        <v>13</v>
      </c>
      <c r="D154" s="3" t="s">
        <v>6020</v>
      </c>
      <c r="E154" s="3"/>
      <c r="F154" s="3"/>
      <c r="G154" s="3" t="s">
        <v>319</v>
      </c>
      <c r="H154" s="3"/>
      <c r="I154" s="3"/>
      <c r="J154" s="3" t="s">
        <v>708</v>
      </c>
      <c r="K154" s="3"/>
      <c r="L154" s="3" t="s">
        <v>709</v>
      </c>
      <c r="M154" s="3" t="str">
        <f>HYPERLINK("https://ceds.ed.gov/cedselementdetails.aspx?termid=6088")</f>
        <v>https://ceds.ed.gov/cedselementdetails.aspx?termid=6088</v>
      </c>
      <c r="N154" s="3" t="str">
        <f>HYPERLINK("https://ceds.ed.gov/elementComment.aspx?elementName=Assessment Item Body Select Point Interaction &amp;elementID=6088", "Click here to submit comment")</f>
        <v>Click here to submit comment</v>
      </c>
    </row>
    <row r="155" spans="1:14" ht="195">
      <c r="A155" s="3" t="s">
        <v>710</v>
      </c>
      <c r="B155" s="3" t="s">
        <v>711</v>
      </c>
      <c r="C155" s="3" t="s">
        <v>13</v>
      </c>
      <c r="D155" s="3" t="s">
        <v>6020</v>
      </c>
      <c r="E155" s="3"/>
      <c r="F155" s="3"/>
      <c r="G155" s="3" t="s">
        <v>319</v>
      </c>
      <c r="H155" s="3"/>
      <c r="I155" s="3"/>
      <c r="J155" s="3" t="s">
        <v>712</v>
      </c>
      <c r="K155" s="3"/>
      <c r="L155" s="3" t="s">
        <v>713</v>
      </c>
      <c r="M155" s="3" t="str">
        <f>HYPERLINK("https://ceds.ed.gov/cedselementdetails.aspx?termid=6087")</f>
        <v>https://ceds.ed.gov/cedselementdetails.aspx?termid=6087</v>
      </c>
      <c r="N155" s="3" t="str">
        <f>HYPERLINK("https://ceds.ed.gov/elementComment.aspx?elementName=Assessment Item Body Select Point Interaction XML &amp;elementID=6087", "Click here to submit comment")</f>
        <v>Click here to submit comment</v>
      </c>
    </row>
    <row r="156" spans="1:14" ht="135">
      <c r="A156" s="3" t="s">
        <v>714</v>
      </c>
      <c r="B156" s="3" t="s">
        <v>715</v>
      </c>
      <c r="C156" s="3" t="s">
        <v>13</v>
      </c>
      <c r="D156" s="3" t="s">
        <v>6020</v>
      </c>
      <c r="E156" s="3"/>
      <c r="F156" s="3"/>
      <c r="G156" s="3" t="s">
        <v>319</v>
      </c>
      <c r="H156" s="3"/>
      <c r="I156" s="3"/>
      <c r="J156" s="3" t="s">
        <v>716</v>
      </c>
      <c r="K156" s="3"/>
      <c r="L156" s="3" t="s">
        <v>717</v>
      </c>
      <c r="M156" s="3" t="str">
        <f>HYPERLINK("https://ceds.ed.gov/cedselementdetails.aspx?termid=6089")</f>
        <v>https://ceds.ed.gov/cedselementdetails.aspx?termid=6089</v>
      </c>
      <c r="N156" s="3" t="str">
        <f>HYPERLINK("https://ceds.ed.gov/elementComment.aspx?elementName=Assessment Item Body Slider Interaction XML &amp;elementID=6089", "Click here to submit comment")</f>
        <v>Click here to submit comment</v>
      </c>
    </row>
    <row r="157" spans="1:14" ht="60">
      <c r="A157" s="3" t="s">
        <v>718</v>
      </c>
      <c r="B157" s="3" t="s">
        <v>719</v>
      </c>
      <c r="C157" s="3" t="s">
        <v>13</v>
      </c>
      <c r="D157" s="3" t="s">
        <v>6019</v>
      </c>
      <c r="E157" s="3"/>
      <c r="F157" s="3"/>
      <c r="G157" s="3" t="s">
        <v>319</v>
      </c>
      <c r="H157" s="3"/>
      <c r="I157" s="3"/>
      <c r="J157" s="3" t="s">
        <v>720</v>
      </c>
      <c r="K157" s="3"/>
      <c r="L157" s="3" t="s">
        <v>721</v>
      </c>
      <c r="M157" s="3" t="str">
        <f>HYPERLINK("https://ceds.ed.gov/cedselementdetails.aspx?termid=6233")</f>
        <v>https://ceds.ed.gov/cedselementdetails.aspx?termid=6233</v>
      </c>
      <c r="N157" s="3" t="str">
        <f>HYPERLINK("https://ceds.ed.gov/elementComment.aspx?elementName=Assessment Item Body Text &amp;elementID=6233", "Click here to submit comment")</f>
        <v>Click here to submit comment</v>
      </c>
    </row>
    <row r="158" spans="1:14" ht="135">
      <c r="A158" s="3" t="s">
        <v>722</v>
      </c>
      <c r="B158" s="3" t="s">
        <v>723</v>
      </c>
      <c r="C158" s="3" t="s">
        <v>13</v>
      </c>
      <c r="D158" s="3" t="s">
        <v>6020</v>
      </c>
      <c r="E158" s="3"/>
      <c r="F158" s="3"/>
      <c r="G158" s="3" t="s">
        <v>319</v>
      </c>
      <c r="H158" s="3"/>
      <c r="I158" s="3"/>
      <c r="J158" s="3" t="s">
        <v>724</v>
      </c>
      <c r="K158" s="3"/>
      <c r="L158" s="3" t="s">
        <v>725</v>
      </c>
      <c r="M158" s="3" t="str">
        <f>HYPERLINK("https://ceds.ed.gov/cedselementdetails.aspx?termid=6096")</f>
        <v>https://ceds.ed.gov/cedselementdetails.aspx?termid=6096</v>
      </c>
      <c r="N158" s="3" t="str">
        <f>HYPERLINK("https://ceds.ed.gov/elementComment.aspx?elementName=Assessment Item Body Text Entry Interaction XML &amp;elementID=6096", "Click here to submit comment")</f>
        <v>Click here to submit comment</v>
      </c>
    </row>
    <row r="159" spans="1:14" ht="105">
      <c r="A159" s="3" t="s">
        <v>726</v>
      </c>
      <c r="B159" s="3" t="s">
        <v>727</v>
      </c>
      <c r="C159" s="3" t="s">
        <v>13</v>
      </c>
      <c r="D159" s="3" t="s">
        <v>6020</v>
      </c>
      <c r="E159" s="3"/>
      <c r="F159" s="3"/>
      <c r="G159" s="3" t="s">
        <v>319</v>
      </c>
      <c r="H159" s="3"/>
      <c r="I159" s="3"/>
      <c r="J159" s="3" t="s">
        <v>728</v>
      </c>
      <c r="K159" s="3"/>
      <c r="L159" s="3" t="s">
        <v>729</v>
      </c>
      <c r="M159" s="3" t="str">
        <f>HYPERLINK("https://ceds.ed.gov/cedselementdetails.aspx?termid=6099")</f>
        <v>https://ceds.ed.gov/cedselementdetails.aspx?termid=6099</v>
      </c>
      <c r="N159" s="3" t="str">
        <f>HYPERLINK("https://ceds.ed.gov/elementComment.aspx?elementName=Assessment Item Body Upload Interaction XML &amp;elementID=6099", "Click here to submit comment")</f>
        <v>Click here to submit comment</v>
      </c>
    </row>
    <row r="160" spans="1:14" ht="390">
      <c r="A160" s="3" t="s">
        <v>730</v>
      </c>
      <c r="B160" s="3" t="s">
        <v>731</v>
      </c>
      <c r="C160" s="4" t="s">
        <v>6383</v>
      </c>
      <c r="D160" s="3" t="s">
        <v>6022</v>
      </c>
      <c r="E160" s="3" t="s">
        <v>6018</v>
      </c>
      <c r="F160" s="3"/>
      <c r="G160" s="3"/>
      <c r="H160" s="3"/>
      <c r="I160" s="3"/>
      <c r="J160" s="3" t="s">
        <v>732</v>
      </c>
      <c r="K160" s="3"/>
      <c r="L160" s="3" t="s">
        <v>733</v>
      </c>
      <c r="M160" s="3" t="str">
        <f>HYPERLINK("https://ceds.ed.gov/cedselementdetails.aspx?termid=5384")</f>
        <v>https://ceds.ed.gov/cedselementdetails.aspx?termid=5384</v>
      </c>
      <c r="N160" s="3" t="str">
        <f>HYPERLINK("https://ceds.ed.gov/elementComment.aspx?elementName=Assessment Item Characteristic Type &amp;elementID=5384", "Click here to submit comment")</f>
        <v>Click here to submit comment</v>
      </c>
    </row>
    <row r="161" spans="1:14" ht="120">
      <c r="A161" s="3" t="s">
        <v>734</v>
      </c>
      <c r="B161" s="3" t="s">
        <v>735</v>
      </c>
      <c r="C161" s="3" t="s">
        <v>13</v>
      </c>
      <c r="D161" s="3" t="s">
        <v>6022</v>
      </c>
      <c r="E161" s="3"/>
      <c r="F161" s="3"/>
      <c r="G161" s="3" t="s">
        <v>100</v>
      </c>
      <c r="H161" s="3"/>
      <c r="I161" s="3"/>
      <c r="J161" s="3" t="s">
        <v>736</v>
      </c>
      <c r="K161" s="3"/>
      <c r="L161" s="3" t="s">
        <v>737</v>
      </c>
      <c r="M161" s="3" t="str">
        <f>HYPERLINK("https://ceds.ed.gov/cedselementdetails.aspx?termid=5685")</f>
        <v>https://ceds.ed.gov/cedselementdetails.aspx?termid=5685</v>
      </c>
      <c r="N161" s="3" t="str">
        <f>HYPERLINK("https://ceds.ed.gov/elementComment.aspx?elementName=Assessment Item Characteristic Value &amp;elementID=5685", "Click here to submit comment")</f>
        <v>Click here to submit comment</v>
      </c>
    </row>
    <row r="162" spans="1:14" ht="105">
      <c r="A162" s="3" t="s">
        <v>738</v>
      </c>
      <c r="B162" s="3" t="s">
        <v>739</v>
      </c>
      <c r="C162" s="3" t="s">
        <v>13</v>
      </c>
      <c r="D162" s="3" t="s">
        <v>6017</v>
      </c>
      <c r="E162" s="3" t="s">
        <v>6018</v>
      </c>
      <c r="F162" s="3"/>
      <c r="G162" s="3" t="s">
        <v>740</v>
      </c>
      <c r="H162" s="3"/>
      <c r="I162" s="3"/>
      <c r="J162" s="3" t="s">
        <v>741</v>
      </c>
      <c r="K162" s="3"/>
      <c r="L162" s="3" t="s">
        <v>742</v>
      </c>
      <c r="M162" s="3" t="str">
        <f>HYPERLINK("https://ceds.ed.gov/cedselementdetails.aspx?termid=5383")</f>
        <v>https://ceds.ed.gov/cedselementdetails.aspx?termid=5383</v>
      </c>
      <c r="N162" s="3" t="str">
        <f>HYPERLINK("https://ceds.ed.gov/elementComment.aspx?elementName=Assessment Item Difficulty &amp;elementID=5383", "Click here to submit comment")</f>
        <v>Click here to submit comment</v>
      </c>
    </row>
    <row r="163" spans="1:14" ht="105">
      <c r="A163" s="3" t="s">
        <v>743</v>
      </c>
      <c r="B163" s="3" t="s">
        <v>744</v>
      </c>
      <c r="C163" s="3" t="s">
        <v>13</v>
      </c>
      <c r="D163" s="3" t="s">
        <v>6017</v>
      </c>
      <c r="E163" s="3" t="s">
        <v>6018</v>
      </c>
      <c r="F163" s="3"/>
      <c r="G163" s="3" t="s">
        <v>745</v>
      </c>
      <c r="H163" s="3"/>
      <c r="I163" s="3"/>
      <c r="J163" s="3" t="s">
        <v>746</v>
      </c>
      <c r="K163" s="3"/>
      <c r="L163" s="3" t="s">
        <v>747</v>
      </c>
      <c r="M163" s="3" t="str">
        <f>HYPERLINK("https://ceds.ed.gov/cedselementdetails.aspx?termid=5390")</f>
        <v>https://ceds.ed.gov/cedselementdetails.aspx?termid=5390</v>
      </c>
      <c r="N163" s="3" t="str">
        <f>HYPERLINK("https://ceds.ed.gov/elementComment.aspx?elementName=Assessment Item Distractor Analysis &amp;elementID=5390", "Click here to submit comment")</f>
        <v>Click here to submit comment</v>
      </c>
    </row>
    <row r="164" spans="1:14" ht="105">
      <c r="A164" s="3" t="s">
        <v>748</v>
      </c>
      <c r="B164" s="3" t="s">
        <v>749</v>
      </c>
      <c r="C164" s="3" t="s">
        <v>13</v>
      </c>
      <c r="D164" s="3" t="s">
        <v>6017</v>
      </c>
      <c r="E164" s="3" t="s">
        <v>6018</v>
      </c>
      <c r="F164" s="3"/>
      <c r="G164" s="3" t="s">
        <v>100</v>
      </c>
      <c r="H164" s="3"/>
      <c r="I164" s="3"/>
      <c r="J164" s="3" t="s">
        <v>750</v>
      </c>
      <c r="K164" s="3"/>
      <c r="L164" s="3" t="s">
        <v>751</v>
      </c>
      <c r="M164" s="3" t="str">
        <f>HYPERLINK("https://ceds.ed.gov/cedselementdetails.aspx?termid=5623")</f>
        <v>https://ceds.ed.gov/cedselementdetails.aspx?termid=5623</v>
      </c>
      <c r="N164" s="3" t="str">
        <f>HYPERLINK("https://ceds.ed.gov/elementComment.aspx?elementName=Assessment Item Identifier &amp;elementID=5623", "Click here to submit comment")</f>
        <v>Click here to submit comment</v>
      </c>
    </row>
    <row r="165" spans="1:14" ht="409.5">
      <c r="A165" s="3" t="s">
        <v>752</v>
      </c>
      <c r="B165" s="3" t="s">
        <v>753</v>
      </c>
      <c r="C165" s="4" t="s">
        <v>6384</v>
      </c>
      <c r="D165" s="3" t="s">
        <v>6020</v>
      </c>
      <c r="E165" s="3"/>
      <c r="F165" s="3"/>
      <c r="G165" s="3"/>
      <c r="H165" s="3"/>
      <c r="I165" s="3"/>
      <c r="J165" s="3" t="s">
        <v>754</v>
      </c>
      <c r="K165" s="3"/>
      <c r="L165" s="3" t="s">
        <v>755</v>
      </c>
      <c r="M165" s="3" t="str">
        <f>HYPERLINK("https://ceds.ed.gov/cedselementdetails.aspx?termid=6117")</f>
        <v>https://ceds.ed.gov/cedselementdetails.aspx?termid=6117</v>
      </c>
      <c r="N165" s="3" t="str">
        <f>HYPERLINK("https://ceds.ed.gov/elementComment.aspx?elementName=Assessment Item Interaction Type &amp;elementID=6117", "Click here to submit comment")</f>
        <v>Click here to submit comment</v>
      </c>
    </row>
    <row r="166" spans="1:14" ht="60">
      <c r="A166" s="3" t="s">
        <v>756</v>
      </c>
      <c r="B166" s="3" t="s">
        <v>757</v>
      </c>
      <c r="C166" s="3" t="s">
        <v>5963</v>
      </c>
      <c r="D166" s="3" t="s">
        <v>6019</v>
      </c>
      <c r="E166" s="3"/>
      <c r="F166" s="3"/>
      <c r="G166" s="3"/>
      <c r="H166" s="3"/>
      <c r="I166" s="3"/>
      <c r="J166" s="3" t="s">
        <v>758</v>
      </c>
      <c r="K166" s="3"/>
      <c r="L166" s="3" t="s">
        <v>759</v>
      </c>
      <c r="M166" s="3" t="str">
        <f>HYPERLINK("https://ceds.ed.gov/cedselementdetails.aspx?termid=6227")</f>
        <v>https://ceds.ed.gov/cedselementdetails.aspx?termid=6227</v>
      </c>
      <c r="N166" s="3" t="str">
        <f>HYPERLINK("https://ceds.ed.gov/elementComment.aspx?elementName=Assessment Item Linking Item Indicator &amp;elementID=6227", "Click here to submit comment")</f>
        <v>Click here to submit comment</v>
      </c>
    </row>
    <row r="167" spans="1:14" ht="105">
      <c r="A167" s="3" t="s">
        <v>760</v>
      </c>
      <c r="B167" s="3" t="s">
        <v>761</v>
      </c>
      <c r="C167" s="3" t="s">
        <v>13</v>
      </c>
      <c r="D167" s="3" t="s">
        <v>6017</v>
      </c>
      <c r="E167" s="3"/>
      <c r="F167" s="3"/>
      <c r="G167" s="3" t="s">
        <v>93</v>
      </c>
      <c r="H167" s="3"/>
      <c r="I167" s="3"/>
      <c r="J167" s="3" t="s">
        <v>762</v>
      </c>
      <c r="K167" s="3"/>
      <c r="L167" s="3" t="s">
        <v>763</v>
      </c>
      <c r="M167" s="3" t="str">
        <f>HYPERLINK("https://ceds.ed.gov/cedselementdetails.aspx?termid=5683")</f>
        <v>https://ceds.ed.gov/cedselementdetails.aspx?termid=5683</v>
      </c>
      <c r="N167" s="3" t="str">
        <f>HYPERLINK("https://ceds.ed.gov/elementComment.aspx?elementName=Assessment Item Maximum Score &amp;elementID=5683", "Click here to submit comment")</f>
        <v>Click here to submit comment</v>
      </c>
    </row>
    <row r="168" spans="1:14" ht="105">
      <c r="A168" s="3" t="s">
        <v>764</v>
      </c>
      <c r="B168" s="3" t="s">
        <v>765</v>
      </c>
      <c r="C168" s="3" t="s">
        <v>13</v>
      </c>
      <c r="D168" s="3" t="s">
        <v>6017</v>
      </c>
      <c r="E168" s="3"/>
      <c r="F168" s="3"/>
      <c r="G168" s="3" t="s">
        <v>93</v>
      </c>
      <c r="H168" s="3"/>
      <c r="I168" s="3"/>
      <c r="J168" s="3" t="s">
        <v>766</v>
      </c>
      <c r="K168" s="3"/>
      <c r="L168" s="3" t="s">
        <v>767</v>
      </c>
      <c r="M168" s="3" t="str">
        <f>HYPERLINK("https://ceds.ed.gov/cedselementdetails.aspx?termid=5684")</f>
        <v>https://ceds.ed.gov/cedselementdetails.aspx?termid=5684</v>
      </c>
      <c r="N168" s="3" t="str">
        <f>HYPERLINK("https://ceds.ed.gov/elementComment.aspx?elementName=Assessment Item Minimum Score &amp;elementID=5684", "Click here to submit comment")</f>
        <v>Click here to submit comment</v>
      </c>
    </row>
    <row r="169" spans="1:14" ht="90">
      <c r="A169" s="3" t="s">
        <v>768</v>
      </c>
      <c r="B169" s="3" t="s">
        <v>769</v>
      </c>
      <c r="C169" s="3" t="s">
        <v>5963</v>
      </c>
      <c r="D169" s="3" t="s">
        <v>6023</v>
      </c>
      <c r="E169" s="3"/>
      <c r="F169" s="3"/>
      <c r="G169" s="3"/>
      <c r="H169" s="3"/>
      <c r="I169" s="3"/>
      <c r="J169" s="3" t="s">
        <v>770</v>
      </c>
      <c r="K169" s="3"/>
      <c r="L169" s="3" t="s">
        <v>771</v>
      </c>
      <c r="M169" s="3" t="str">
        <f>HYPERLINK("https://ceds.ed.gov/cedselementdetails.aspx?termid=6183")</f>
        <v>https://ceds.ed.gov/cedselementdetails.aspx?termid=6183</v>
      </c>
      <c r="N169" s="3" t="str">
        <f>HYPERLINK("https://ceds.ed.gov/elementComment.aspx?elementName=Assessment Item Possible Response Correct Indicator &amp;elementID=6183", "Click here to submit comment")</f>
        <v>Click here to submit comment</v>
      </c>
    </row>
    <row r="170" spans="1:14" ht="120">
      <c r="A170" s="3" t="s">
        <v>772</v>
      </c>
      <c r="B170" s="3" t="s">
        <v>773</v>
      </c>
      <c r="C170" s="3" t="s">
        <v>13</v>
      </c>
      <c r="D170" s="3" t="s">
        <v>6023</v>
      </c>
      <c r="E170" s="3" t="s">
        <v>493</v>
      </c>
      <c r="F170" s="3"/>
      <c r="G170" s="3" t="s">
        <v>93</v>
      </c>
      <c r="H170" s="3"/>
      <c r="I170" s="3" t="s">
        <v>774</v>
      </c>
      <c r="J170" s="3" t="s">
        <v>775</v>
      </c>
      <c r="K170" s="3"/>
      <c r="L170" s="3" t="s">
        <v>776</v>
      </c>
      <c r="M170" s="3" t="str">
        <f>HYPERLINK("https://ceds.ed.gov/cedselementdetails.aspx?termid=5904")</f>
        <v>https://ceds.ed.gov/cedselementdetails.aspx?termid=5904</v>
      </c>
      <c r="N170" s="3" t="str">
        <f>HYPERLINK("https://ceds.ed.gov/elementComment.aspx?elementName=Assessment Item Possible Response Feedback Message &amp;elementID=5904", "Click here to submit comment")</f>
        <v>Click here to submit comment</v>
      </c>
    </row>
    <row r="171" spans="1:14" ht="90">
      <c r="A171" s="3" t="s">
        <v>777</v>
      </c>
      <c r="B171" s="3" t="s">
        <v>778</v>
      </c>
      <c r="C171" s="3" t="s">
        <v>13</v>
      </c>
      <c r="D171" s="3" t="s">
        <v>6023</v>
      </c>
      <c r="E171" s="3"/>
      <c r="F171" s="3"/>
      <c r="G171" s="3" t="s">
        <v>319</v>
      </c>
      <c r="H171" s="3"/>
      <c r="I171" s="3"/>
      <c r="J171" s="3" t="s">
        <v>779</v>
      </c>
      <c r="K171" s="3"/>
      <c r="L171" s="3" t="s">
        <v>780</v>
      </c>
      <c r="M171" s="3" t="str">
        <f>HYPERLINK("https://ceds.ed.gov/cedselementdetails.aspx?termid=6235")</f>
        <v>https://ceds.ed.gov/cedselementdetails.aspx?termid=6235</v>
      </c>
      <c r="N171" s="3" t="str">
        <f>HYPERLINK("https://ceds.ed.gov/elementComment.aspx?elementName=Assessment Item Possible Response Option &amp;elementID=6235", "Click here to submit comment")</f>
        <v>Click here to submit comment</v>
      </c>
    </row>
    <row r="172" spans="1:14" ht="90">
      <c r="A172" s="3" t="s">
        <v>781</v>
      </c>
      <c r="B172" s="3" t="s">
        <v>782</v>
      </c>
      <c r="C172" s="3" t="s">
        <v>13</v>
      </c>
      <c r="D172" s="3" t="s">
        <v>6023</v>
      </c>
      <c r="E172" s="3"/>
      <c r="F172" s="3"/>
      <c r="G172" s="3" t="s">
        <v>308</v>
      </c>
      <c r="H172" s="3"/>
      <c r="I172" s="3"/>
      <c r="J172" s="3" t="s">
        <v>783</v>
      </c>
      <c r="K172" s="3"/>
      <c r="L172" s="3" t="s">
        <v>784</v>
      </c>
      <c r="M172" s="3" t="str">
        <f>HYPERLINK("https://ceds.ed.gov/cedselementdetails.aspx?termid=5905")</f>
        <v>https://ceds.ed.gov/cedselementdetails.aspx?termid=5905</v>
      </c>
      <c r="N172" s="3" t="str">
        <f>HYPERLINK("https://ceds.ed.gov/elementComment.aspx?elementName=Assessment Item Possible Response Sequence Number &amp;elementID=5905", "Click here to submit comment")</f>
        <v>Click here to submit comment</v>
      </c>
    </row>
    <row r="173" spans="1:14" ht="90">
      <c r="A173" s="3" t="s">
        <v>785</v>
      </c>
      <c r="B173" s="3" t="s">
        <v>786</v>
      </c>
      <c r="C173" s="3" t="s">
        <v>13</v>
      </c>
      <c r="D173" s="3" t="s">
        <v>6023</v>
      </c>
      <c r="E173" s="3"/>
      <c r="F173" s="3"/>
      <c r="G173" s="3" t="s">
        <v>93</v>
      </c>
      <c r="H173" s="3"/>
      <c r="I173" s="3"/>
      <c r="J173" s="3" t="s">
        <v>787</v>
      </c>
      <c r="K173" s="3"/>
      <c r="L173" s="3" t="s">
        <v>788</v>
      </c>
      <c r="M173" s="3" t="str">
        <f>HYPERLINK("https://ceds.ed.gov/cedselementdetails.aspx?termid=5908")</f>
        <v>https://ceds.ed.gov/cedselementdetails.aspx?termid=5908</v>
      </c>
      <c r="N173" s="3" t="str">
        <f>HYPERLINK("https://ceds.ed.gov/elementComment.aspx?elementName=Assessment Item Possible Response Value &amp;elementID=5908", "Click here to submit comment")</f>
        <v>Click here to submit comment</v>
      </c>
    </row>
    <row r="174" spans="1:14" ht="60">
      <c r="A174" s="3" t="s">
        <v>789</v>
      </c>
      <c r="B174" s="3" t="s">
        <v>790</v>
      </c>
      <c r="C174" s="3" t="s">
        <v>5963</v>
      </c>
      <c r="D174" s="3" t="s">
        <v>6019</v>
      </c>
      <c r="E174" s="3"/>
      <c r="F174" s="3"/>
      <c r="G174" s="3"/>
      <c r="H174" s="3"/>
      <c r="I174" s="3"/>
      <c r="J174" s="3" t="s">
        <v>791</v>
      </c>
      <c r="K174" s="3"/>
      <c r="L174" s="3" t="s">
        <v>792</v>
      </c>
      <c r="M174" s="3" t="str">
        <f>HYPERLINK("https://ceds.ed.gov/cedselementdetails.aspx?termid=6229")</f>
        <v>https://ceds.ed.gov/cedselementdetails.aspx?termid=6229</v>
      </c>
      <c r="N174" s="3" t="str">
        <f>HYPERLINK("https://ceds.ed.gov/elementComment.aspx?elementName=Assessment Item Release Status &amp;elementID=6229", "Click here to submit comment")</f>
        <v>Click here to submit comment</v>
      </c>
    </row>
    <row r="175" spans="1:14" ht="165">
      <c r="A175" s="3" t="s">
        <v>793</v>
      </c>
      <c r="B175" s="3" t="s">
        <v>794</v>
      </c>
      <c r="C175" s="3" t="s">
        <v>13</v>
      </c>
      <c r="D175" s="3" t="s">
        <v>6024</v>
      </c>
      <c r="E175" s="3" t="s">
        <v>6018</v>
      </c>
      <c r="F175" s="3"/>
      <c r="G175" s="3" t="s">
        <v>100</v>
      </c>
      <c r="H175" s="3"/>
      <c r="I175" s="3" t="s">
        <v>795</v>
      </c>
      <c r="J175" s="3" t="s">
        <v>796</v>
      </c>
      <c r="K175" s="3"/>
      <c r="L175" s="3" t="s">
        <v>797</v>
      </c>
      <c r="M175" s="3" t="str">
        <f>HYPERLINK("https://ceds.ed.gov/cedselementdetails.aspx?termid=5397")</f>
        <v>https://ceds.ed.gov/cedselementdetails.aspx?termid=5397</v>
      </c>
      <c r="N175" s="3" t="str">
        <f>HYPERLINK("https://ceds.ed.gov/elementComment.aspx?elementName=Assessment Item Response Aid Set Used &amp;elementID=5397", "Click here to submit comment")</f>
        <v>Click here to submit comment</v>
      </c>
    </row>
    <row r="176" spans="1:14" ht="120">
      <c r="A176" s="3" t="s">
        <v>798</v>
      </c>
      <c r="B176" s="3" t="s">
        <v>799</v>
      </c>
      <c r="C176" s="3" t="s">
        <v>13</v>
      </c>
      <c r="D176" s="3" t="s">
        <v>6025</v>
      </c>
      <c r="E176" s="3" t="s">
        <v>6018</v>
      </c>
      <c r="F176" s="3"/>
      <c r="G176" s="3" t="s">
        <v>745</v>
      </c>
      <c r="H176" s="3"/>
      <c r="I176" s="3"/>
      <c r="J176" s="3" t="s">
        <v>800</v>
      </c>
      <c r="K176" s="3"/>
      <c r="L176" s="3" t="s">
        <v>801</v>
      </c>
      <c r="M176" s="3" t="str">
        <f>HYPERLINK("https://ceds.ed.gov/cedselementdetails.aspx?termid=5385")</f>
        <v>https://ceds.ed.gov/cedselementdetails.aspx?termid=5385</v>
      </c>
      <c r="N176" s="3" t="str">
        <f>HYPERLINK("https://ceds.ed.gov/elementComment.aspx?elementName=Assessment Item Response Choice Pattern &amp;elementID=5385", "Click here to submit comment")</f>
        <v>Click here to submit comment</v>
      </c>
    </row>
    <row r="177" spans="1:14" ht="120">
      <c r="A177" s="3" t="s">
        <v>802</v>
      </c>
      <c r="B177" s="3" t="s">
        <v>803</v>
      </c>
      <c r="C177" s="3" t="s">
        <v>13</v>
      </c>
      <c r="D177" s="3" t="s">
        <v>6026</v>
      </c>
      <c r="E177" s="3" t="s">
        <v>493</v>
      </c>
      <c r="F177" s="3"/>
      <c r="G177" s="3" t="s">
        <v>93</v>
      </c>
      <c r="H177" s="3"/>
      <c r="I177" s="3"/>
      <c r="J177" s="3" t="s">
        <v>804</v>
      </c>
      <c r="K177" s="3"/>
      <c r="L177" s="3" t="s">
        <v>805</v>
      </c>
      <c r="M177" s="3" t="str">
        <f>HYPERLINK("https://ceds.ed.gov/cedselementdetails.aspx?termid=5891")</f>
        <v>https://ceds.ed.gov/cedselementdetails.aspx?termid=5891</v>
      </c>
      <c r="N177" s="3" t="str">
        <f>HYPERLINK("https://ceds.ed.gov/elementComment.aspx?elementName=Assessment Item Response Descriptive Feedback &amp;elementID=5891", "Click here to submit comment")</f>
        <v>Click here to submit comment</v>
      </c>
    </row>
    <row r="178" spans="1:14" ht="120">
      <c r="A178" s="3" t="s">
        <v>806</v>
      </c>
      <c r="B178" s="3" t="s">
        <v>807</v>
      </c>
      <c r="C178" s="3" t="s">
        <v>13</v>
      </c>
      <c r="D178" s="3" t="s">
        <v>6027</v>
      </c>
      <c r="E178" s="3" t="s">
        <v>6018</v>
      </c>
      <c r="F178" s="3"/>
      <c r="G178" s="3" t="s">
        <v>808</v>
      </c>
      <c r="H178" s="3"/>
      <c r="I178" s="3"/>
      <c r="J178" s="3" t="s">
        <v>809</v>
      </c>
      <c r="K178" s="3"/>
      <c r="L178" s="3" t="s">
        <v>810</v>
      </c>
      <c r="M178" s="3" t="str">
        <f>HYPERLINK("https://ceds.ed.gov/cedselementdetails.aspx?termid=5394")</f>
        <v>https://ceds.ed.gov/cedselementdetails.aspx?termid=5394</v>
      </c>
      <c r="N178" s="3" t="str">
        <f>HYPERLINK("https://ceds.ed.gov/elementComment.aspx?elementName=Assessment Item Response Duration &amp;elementID=5394", "Click here to submit comment")</f>
        <v>Click here to submit comment</v>
      </c>
    </row>
    <row r="179" spans="1:14" ht="105">
      <c r="A179" s="3" t="s">
        <v>811</v>
      </c>
      <c r="B179" s="3" t="s">
        <v>812</v>
      </c>
      <c r="C179" s="3" t="s">
        <v>13</v>
      </c>
      <c r="D179" s="3" t="s">
        <v>6028</v>
      </c>
      <c r="E179" s="3"/>
      <c r="F179" s="3"/>
      <c r="G179" s="3" t="s">
        <v>808</v>
      </c>
      <c r="H179" s="3"/>
      <c r="I179" s="3" t="s">
        <v>813</v>
      </c>
      <c r="J179" s="3" t="s">
        <v>814</v>
      </c>
      <c r="K179" s="3"/>
      <c r="L179" s="3" t="s">
        <v>815</v>
      </c>
      <c r="M179" s="3" t="str">
        <f>HYPERLINK("https://ceds.ed.gov/cedselementdetails.aspx?termid=5958")</f>
        <v>https://ceds.ed.gov/cedselementdetails.aspx?termid=5958</v>
      </c>
      <c r="N179" s="3" t="str">
        <f>HYPERLINK("https://ceds.ed.gov/elementComment.aspx?elementName=Assessment Item Response First Attempt Duration &amp;elementID=5958", "Click here to submit comment")</f>
        <v>Click here to submit comment</v>
      </c>
    </row>
    <row r="180" spans="1:14" ht="135">
      <c r="A180" s="3" t="s">
        <v>816</v>
      </c>
      <c r="B180" s="3" t="s">
        <v>817</v>
      </c>
      <c r="C180" s="3" t="s">
        <v>13</v>
      </c>
      <c r="D180" s="3" t="s">
        <v>6028</v>
      </c>
      <c r="E180" s="3"/>
      <c r="F180" s="3"/>
      <c r="G180" s="3" t="s">
        <v>308</v>
      </c>
      <c r="H180" s="3"/>
      <c r="I180" s="3"/>
      <c r="J180" s="3" t="s">
        <v>818</v>
      </c>
      <c r="K180" s="3"/>
      <c r="L180" s="3" t="s">
        <v>819</v>
      </c>
      <c r="M180" s="3" t="str">
        <f>HYPERLINK("https://ceds.ed.gov/cedselementdetails.aspx?termid=5956")</f>
        <v>https://ceds.ed.gov/cedselementdetails.aspx?termid=5956</v>
      </c>
      <c r="N180" s="3" t="str">
        <f>HYPERLINK("https://ceds.ed.gov/elementComment.aspx?elementName=Assessment Item Response Hint Count &amp;elementID=5956", "Click here to submit comment")</f>
        <v>Click here to submit comment</v>
      </c>
    </row>
    <row r="181" spans="1:14" ht="135">
      <c r="A181" s="3" t="s">
        <v>820</v>
      </c>
      <c r="B181" s="3" t="s">
        <v>821</v>
      </c>
      <c r="C181" s="3" t="s">
        <v>5963</v>
      </c>
      <c r="D181" s="3" t="s">
        <v>6028</v>
      </c>
      <c r="E181" s="3"/>
      <c r="F181" s="3"/>
      <c r="G181" s="3"/>
      <c r="H181" s="3"/>
      <c r="I181" s="3" t="s">
        <v>822</v>
      </c>
      <c r="J181" s="3" t="s">
        <v>823</v>
      </c>
      <c r="K181" s="3"/>
      <c r="L181" s="3" t="s">
        <v>824</v>
      </c>
      <c r="M181" s="3" t="str">
        <f>HYPERLINK("https://ceds.ed.gov/cedselementdetails.aspx?termid=5957")</f>
        <v>https://ceds.ed.gov/cedselementdetails.aspx?termid=5957</v>
      </c>
      <c r="N181" s="3" t="str">
        <f>HYPERLINK("https://ceds.ed.gov/elementComment.aspx?elementName=Assessment Item Response Hint Included Answer &amp;elementID=5957", "Click here to submit comment")</f>
        <v>Click here to submit comment</v>
      </c>
    </row>
    <row r="182" spans="1:14" ht="135">
      <c r="A182" s="3" t="s">
        <v>825</v>
      </c>
      <c r="B182" s="3" t="s">
        <v>826</v>
      </c>
      <c r="C182" s="3" t="s">
        <v>5963</v>
      </c>
      <c r="D182" s="3" t="s">
        <v>6028</v>
      </c>
      <c r="E182" s="3"/>
      <c r="F182" s="3"/>
      <c r="G182" s="3"/>
      <c r="H182" s="3"/>
      <c r="I182" s="3"/>
      <c r="J182" s="3" t="s">
        <v>827</v>
      </c>
      <c r="K182" s="3"/>
      <c r="L182" s="3" t="s">
        <v>828</v>
      </c>
      <c r="M182" s="3" t="str">
        <f>HYPERLINK("https://ceds.ed.gov/cedselementdetails.aspx?termid=5955")</f>
        <v>https://ceds.ed.gov/cedselementdetails.aspx?termid=5955</v>
      </c>
      <c r="N182" s="3" t="str">
        <f>HYPERLINK("https://ceds.ed.gov/elementComment.aspx?elementName=Assessment Item Response Scaffolding Item Flag &amp;elementID=5955", "Click here to submit comment")</f>
        <v>Click here to submit comment</v>
      </c>
    </row>
    <row r="183" spans="1:14" ht="120">
      <c r="A183" s="3" t="s">
        <v>829</v>
      </c>
      <c r="B183" s="3" t="s">
        <v>830</v>
      </c>
      <c r="C183" s="3" t="s">
        <v>13</v>
      </c>
      <c r="D183" s="3" t="s">
        <v>6026</v>
      </c>
      <c r="E183" s="3" t="s">
        <v>493</v>
      </c>
      <c r="F183" s="3"/>
      <c r="G183" s="3" t="s">
        <v>106</v>
      </c>
      <c r="H183" s="3"/>
      <c r="I183" s="3"/>
      <c r="J183" s="3" t="s">
        <v>831</v>
      </c>
      <c r="K183" s="3"/>
      <c r="L183" s="3" t="s">
        <v>832</v>
      </c>
      <c r="M183" s="3" t="str">
        <f>HYPERLINK("https://ceds.ed.gov/cedselementdetails.aspx?termid=5700")</f>
        <v>https://ceds.ed.gov/cedselementdetails.aspx?termid=5700</v>
      </c>
      <c r="N183" s="3" t="str">
        <f>HYPERLINK("https://ceds.ed.gov/elementComment.aspx?elementName=Assessment Item Response Score Value &amp;elementID=5700", "Click here to submit comment")</f>
        <v>Click here to submit comment</v>
      </c>
    </row>
    <row r="184" spans="1:14" ht="150">
      <c r="A184" s="3" t="s">
        <v>833</v>
      </c>
      <c r="B184" s="3" t="s">
        <v>834</v>
      </c>
      <c r="C184" s="3" t="s">
        <v>13</v>
      </c>
      <c r="D184" s="3" t="s">
        <v>6019</v>
      </c>
      <c r="E184" s="3"/>
      <c r="F184" s="3"/>
      <c r="G184" s="3" t="s">
        <v>93</v>
      </c>
      <c r="H184" s="3"/>
      <c r="I184" s="3" t="s">
        <v>835</v>
      </c>
      <c r="J184" s="3" t="s">
        <v>836</v>
      </c>
      <c r="K184" s="3"/>
      <c r="L184" s="3" t="s">
        <v>837</v>
      </c>
      <c r="M184" s="3" t="str">
        <f>HYPERLINK("https://ceds.ed.gov/cedselementdetails.aspx?termid=5970")</f>
        <v>https://ceds.ed.gov/cedselementdetails.aspx?termid=5970</v>
      </c>
      <c r="N184" s="3" t="str">
        <f>HYPERLINK("https://ceds.ed.gov/elementComment.aspx?elementName=Assessment Item Response Security Issue &amp;elementID=5970", "Click here to submit comment")</f>
        <v>Click here to submit comment</v>
      </c>
    </row>
    <row r="185" spans="1:14" ht="120">
      <c r="A185" s="3" t="s">
        <v>838</v>
      </c>
      <c r="B185" s="3" t="s">
        <v>839</v>
      </c>
      <c r="C185" s="3" t="s">
        <v>13</v>
      </c>
      <c r="D185" s="3" t="s">
        <v>6027</v>
      </c>
      <c r="E185" s="3"/>
      <c r="F185" s="3"/>
      <c r="G185" s="3" t="s">
        <v>73</v>
      </c>
      <c r="H185" s="3"/>
      <c r="I185" s="3"/>
      <c r="J185" s="3" t="s">
        <v>840</v>
      </c>
      <c r="K185" s="3"/>
      <c r="L185" s="3" t="s">
        <v>841</v>
      </c>
      <c r="M185" s="3" t="str">
        <f>HYPERLINK("https://ceds.ed.gov/cedselementdetails.aspx?termid=5960")</f>
        <v>https://ceds.ed.gov/cedselementdetails.aspx?termid=5960</v>
      </c>
      <c r="N185" s="3" t="str">
        <f>HYPERLINK("https://ceds.ed.gov/elementComment.aspx?elementName=Assessment Item Response Start Date &amp;elementID=5960", "Click here to submit comment")</f>
        <v>Click here to submit comment</v>
      </c>
    </row>
    <row r="186" spans="1:14" ht="120">
      <c r="A186" s="3" t="s">
        <v>842</v>
      </c>
      <c r="B186" s="3" t="s">
        <v>843</v>
      </c>
      <c r="C186" s="3" t="s">
        <v>13</v>
      </c>
      <c r="D186" s="3" t="s">
        <v>6027</v>
      </c>
      <c r="E186" s="3"/>
      <c r="F186" s="3"/>
      <c r="G186" s="3" t="s">
        <v>808</v>
      </c>
      <c r="H186" s="3"/>
      <c r="I186" s="3"/>
      <c r="J186" s="3" t="s">
        <v>844</v>
      </c>
      <c r="K186" s="3"/>
      <c r="L186" s="3" t="s">
        <v>845</v>
      </c>
      <c r="M186" s="3" t="str">
        <f>HYPERLINK("https://ceds.ed.gov/cedselementdetails.aspx?termid=5959")</f>
        <v>https://ceds.ed.gov/cedselementdetails.aspx?termid=5959</v>
      </c>
      <c r="N186" s="3" t="str">
        <f>HYPERLINK("https://ceds.ed.gov/elementComment.aspx?elementName=Assessment Item Response Start Time &amp;elementID=5959", "Click here to submit comment")</f>
        <v>Click here to submit comment</v>
      </c>
    </row>
    <row r="187" spans="1:14" ht="180">
      <c r="A187" s="3" t="s">
        <v>846</v>
      </c>
      <c r="B187" s="3" t="s">
        <v>847</v>
      </c>
      <c r="C187" s="4" t="s">
        <v>6385</v>
      </c>
      <c r="D187" s="3" t="s">
        <v>6026</v>
      </c>
      <c r="E187" s="3" t="s">
        <v>6018</v>
      </c>
      <c r="F187" s="3" t="s">
        <v>66</v>
      </c>
      <c r="G187" s="3"/>
      <c r="H187" s="3" t="s">
        <v>848</v>
      </c>
      <c r="I187" s="3"/>
      <c r="J187" s="3" t="s">
        <v>849</v>
      </c>
      <c r="K187" s="3"/>
      <c r="L187" s="3" t="s">
        <v>850</v>
      </c>
      <c r="M187" s="3" t="str">
        <f>HYPERLINK("https://ceds.ed.gov/cedselementdetails.aspx?termid=5396")</f>
        <v>https://ceds.ed.gov/cedselementdetails.aspx?termid=5396</v>
      </c>
      <c r="N187" s="3" t="str">
        <f>HYPERLINK("https://ceds.ed.gov/elementComment.aspx?elementName=Assessment Item Response Status &amp;elementID=5396", "Click here to submit comment")</f>
        <v>Click here to submit comment</v>
      </c>
    </row>
    <row r="188" spans="1:14" ht="165">
      <c r="A188" s="3" t="s">
        <v>851</v>
      </c>
      <c r="B188" s="3" t="s">
        <v>852</v>
      </c>
      <c r="C188" s="3" t="s">
        <v>13</v>
      </c>
      <c r="D188" s="3" t="s">
        <v>6029</v>
      </c>
      <c r="E188" s="3"/>
      <c r="F188" s="3"/>
      <c r="G188" s="3" t="s">
        <v>545</v>
      </c>
      <c r="H188" s="3"/>
      <c r="I188" s="3"/>
      <c r="J188" s="3" t="s">
        <v>853</v>
      </c>
      <c r="K188" s="3"/>
      <c r="L188" s="3" t="s">
        <v>854</v>
      </c>
      <c r="M188" s="3" t="str">
        <f>HYPERLINK("https://ceds.ed.gov/cedselementdetails.aspx?termid=6230")</f>
        <v>https://ceds.ed.gov/cedselementdetails.aspx?termid=6230</v>
      </c>
      <c r="N188" s="3" t="str">
        <f>HYPERLINK("https://ceds.ed.gov/elementComment.aspx?elementName=Assessment Item Response Theory DIF Value &amp;elementID=6230", "Click here to submit comment")</f>
        <v>Click here to submit comment</v>
      </c>
    </row>
    <row r="189" spans="1:14" ht="90">
      <c r="A189" s="3" t="s">
        <v>855</v>
      </c>
      <c r="B189" s="3" t="s">
        <v>856</v>
      </c>
      <c r="C189" s="4" t="s">
        <v>6386</v>
      </c>
      <c r="D189" s="3" t="s">
        <v>6029</v>
      </c>
      <c r="E189" s="3"/>
      <c r="F189" s="3"/>
      <c r="G189" s="3"/>
      <c r="H189" s="3"/>
      <c r="I189" s="3"/>
      <c r="J189" s="3" t="s">
        <v>857</v>
      </c>
      <c r="K189" s="3"/>
      <c r="L189" s="3" t="s">
        <v>858</v>
      </c>
      <c r="M189" s="3" t="str">
        <f>HYPERLINK("https://ceds.ed.gov/cedselementdetails.aspx?termid=6232")</f>
        <v>https://ceds.ed.gov/cedselementdetails.aspx?termid=6232</v>
      </c>
      <c r="N189" s="3" t="str">
        <f>HYPERLINK("https://ceds.ed.gov/elementComment.aspx?elementName=Assessment Item Response Theory Kappa Algorithm &amp;elementID=6232", "Click here to submit comment")</f>
        <v>Click here to submit comment</v>
      </c>
    </row>
    <row r="190" spans="1:14" ht="90">
      <c r="A190" s="3" t="s">
        <v>859</v>
      </c>
      <c r="B190" s="3" t="s">
        <v>860</v>
      </c>
      <c r="C190" s="3" t="s">
        <v>13</v>
      </c>
      <c r="D190" s="3" t="s">
        <v>6029</v>
      </c>
      <c r="E190" s="3"/>
      <c r="F190" s="3"/>
      <c r="G190" s="3" t="s">
        <v>545</v>
      </c>
      <c r="H190" s="3"/>
      <c r="I190" s="3"/>
      <c r="J190" s="3" t="s">
        <v>861</v>
      </c>
      <c r="K190" s="3"/>
      <c r="L190" s="3" t="s">
        <v>862</v>
      </c>
      <c r="M190" s="3" t="str">
        <f>HYPERLINK("https://ceds.ed.gov/cedselementdetails.aspx?termid=6231")</f>
        <v>https://ceds.ed.gov/cedselementdetails.aspx?termid=6231</v>
      </c>
      <c r="N190" s="3" t="str">
        <f>HYPERLINK("https://ceds.ed.gov/elementComment.aspx?elementName=Assessment Item Response Theory Kappa Value &amp;elementID=6231", "Click here to submit comment")</f>
        <v>Click here to submit comment</v>
      </c>
    </row>
    <row r="191" spans="1:14" ht="120">
      <c r="A191" s="3" t="s">
        <v>863</v>
      </c>
      <c r="B191" s="3" t="s">
        <v>864</v>
      </c>
      <c r="C191" s="3" t="s">
        <v>13</v>
      </c>
      <c r="D191" s="3" t="s">
        <v>6029</v>
      </c>
      <c r="E191" s="3"/>
      <c r="F191" s="3"/>
      <c r="G191" s="3" t="s">
        <v>545</v>
      </c>
      <c r="H191" s="3"/>
      <c r="I191" s="3"/>
      <c r="J191" s="3" t="s">
        <v>865</v>
      </c>
      <c r="K191" s="3"/>
      <c r="L191" s="3" t="s">
        <v>866</v>
      </c>
      <c r="M191" s="3" t="str">
        <f>HYPERLINK("https://ceds.ed.gov/cedselementdetails.aspx?termid=6217")</f>
        <v>https://ceds.ed.gov/cedselementdetails.aspx?termid=6217</v>
      </c>
      <c r="N191" s="3" t="str">
        <f>HYPERLINK("https://ceds.ed.gov/elementComment.aspx?elementName=Assessment Item Response Theory Parameter A &amp;elementID=6217", "Click here to submit comment")</f>
        <v>Click here to submit comment</v>
      </c>
    </row>
    <row r="192" spans="1:14" ht="90">
      <c r="A192" s="3" t="s">
        <v>867</v>
      </c>
      <c r="B192" s="3" t="s">
        <v>868</v>
      </c>
      <c r="C192" s="3" t="s">
        <v>13</v>
      </c>
      <c r="D192" s="3" t="s">
        <v>6029</v>
      </c>
      <c r="E192" s="3"/>
      <c r="F192" s="3"/>
      <c r="G192" s="3" t="s">
        <v>545</v>
      </c>
      <c r="H192" s="3"/>
      <c r="I192" s="3"/>
      <c r="J192" s="3" t="s">
        <v>869</v>
      </c>
      <c r="K192" s="3"/>
      <c r="L192" s="3" t="s">
        <v>870</v>
      </c>
      <c r="M192" s="3" t="str">
        <f>HYPERLINK("https://ceds.ed.gov/cedselementdetails.aspx?termid=6218")</f>
        <v>https://ceds.ed.gov/cedselementdetails.aspx?termid=6218</v>
      </c>
      <c r="N192" s="3" t="str">
        <f>HYPERLINK("https://ceds.ed.gov/elementComment.aspx?elementName=Assessment Item Response Theory Parameter B &amp;elementID=6218", "Click here to submit comment")</f>
        <v>Click here to submit comment</v>
      </c>
    </row>
    <row r="193" spans="1:14" ht="120">
      <c r="A193" s="3" t="s">
        <v>871</v>
      </c>
      <c r="B193" s="3" t="s">
        <v>872</v>
      </c>
      <c r="C193" s="3" t="s">
        <v>13</v>
      </c>
      <c r="D193" s="3" t="s">
        <v>6029</v>
      </c>
      <c r="E193" s="3"/>
      <c r="F193" s="3"/>
      <c r="G193" s="3" t="s">
        <v>545</v>
      </c>
      <c r="H193" s="3"/>
      <c r="I193" s="3"/>
      <c r="J193" s="3" t="s">
        <v>873</v>
      </c>
      <c r="K193" s="3"/>
      <c r="L193" s="3" t="s">
        <v>874</v>
      </c>
      <c r="M193" s="3" t="str">
        <f>HYPERLINK("https://ceds.ed.gov/cedselementdetails.aspx?termid=6220")</f>
        <v>https://ceds.ed.gov/cedselementdetails.aspx?termid=6220</v>
      </c>
      <c r="N193" s="3" t="str">
        <f>HYPERLINK("https://ceds.ed.gov/elementComment.aspx?elementName=Assessment Item Response Theory Parameter C &amp;elementID=6220", "Click here to submit comment")</f>
        <v>Click here to submit comment</v>
      </c>
    </row>
    <row r="194" spans="1:14" ht="90">
      <c r="A194" s="3" t="s">
        <v>875</v>
      </c>
      <c r="B194" s="3" t="s">
        <v>876</v>
      </c>
      <c r="C194" s="3" t="s">
        <v>13</v>
      </c>
      <c r="D194" s="3" t="s">
        <v>6029</v>
      </c>
      <c r="E194" s="3"/>
      <c r="F194" s="3"/>
      <c r="G194" s="3" t="s">
        <v>545</v>
      </c>
      <c r="H194" s="3"/>
      <c r="I194" s="3"/>
      <c r="J194" s="3" t="s">
        <v>877</v>
      </c>
      <c r="K194" s="3"/>
      <c r="L194" s="3" t="s">
        <v>878</v>
      </c>
      <c r="M194" s="3" t="str">
        <f>HYPERLINK("https://ceds.ed.gov/cedselementdetails.aspx?termid=6221")</f>
        <v>https://ceds.ed.gov/cedselementdetails.aspx?termid=6221</v>
      </c>
      <c r="N194" s="3" t="str">
        <f>HYPERLINK("https://ceds.ed.gov/elementComment.aspx?elementName=Assessment Item Response Theory Parameter D1 &amp;elementID=6221", "Click here to submit comment")</f>
        <v>Click here to submit comment</v>
      </c>
    </row>
    <row r="195" spans="1:14" ht="90">
      <c r="A195" s="3" t="s">
        <v>879</v>
      </c>
      <c r="B195" s="3" t="s">
        <v>880</v>
      </c>
      <c r="C195" s="3" t="s">
        <v>13</v>
      </c>
      <c r="D195" s="3" t="s">
        <v>6029</v>
      </c>
      <c r="E195" s="3"/>
      <c r="F195" s="3"/>
      <c r="G195" s="3" t="s">
        <v>545</v>
      </c>
      <c r="H195" s="3"/>
      <c r="I195" s="3"/>
      <c r="J195" s="3" t="s">
        <v>881</v>
      </c>
      <c r="K195" s="3"/>
      <c r="L195" s="3" t="s">
        <v>882</v>
      </c>
      <c r="M195" s="3" t="str">
        <f>HYPERLINK("https://ceds.ed.gov/cedselementdetails.aspx?termid=6222")</f>
        <v>https://ceds.ed.gov/cedselementdetails.aspx?termid=6222</v>
      </c>
      <c r="N195" s="3" t="str">
        <f>HYPERLINK("https://ceds.ed.gov/elementComment.aspx?elementName=Assessment Item Response Theory Parameter D2 &amp;elementID=6222", "Click here to submit comment")</f>
        <v>Click here to submit comment</v>
      </c>
    </row>
    <row r="196" spans="1:14" ht="90">
      <c r="A196" s="3" t="s">
        <v>883</v>
      </c>
      <c r="B196" s="3" t="s">
        <v>884</v>
      </c>
      <c r="C196" s="3" t="s">
        <v>13</v>
      </c>
      <c r="D196" s="3" t="s">
        <v>6029</v>
      </c>
      <c r="E196" s="3"/>
      <c r="F196" s="3"/>
      <c r="G196" s="3" t="s">
        <v>545</v>
      </c>
      <c r="H196" s="3"/>
      <c r="I196" s="3"/>
      <c r="J196" s="3" t="s">
        <v>885</v>
      </c>
      <c r="K196" s="3"/>
      <c r="L196" s="3" t="s">
        <v>886</v>
      </c>
      <c r="M196" s="3" t="str">
        <f>HYPERLINK("https://ceds.ed.gov/cedselementdetails.aspx?termid=6223")</f>
        <v>https://ceds.ed.gov/cedselementdetails.aspx?termid=6223</v>
      </c>
      <c r="N196" s="3" t="str">
        <f>HYPERLINK("https://ceds.ed.gov/elementComment.aspx?elementName=Assessment Item Response Theory Parameter D3 &amp;elementID=6223", "Click here to submit comment")</f>
        <v>Click here to submit comment</v>
      </c>
    </row>
    <row r="197" spans="1:14" ht="90">
      <c r="A197" s="3" t="s">
        <v>887</v>
      </c>
      <c r="B197" s="3" t="s">
        <v>888</v>
      </c>
      <c r="C197" s="3" t="s">
        <v>13</v>
      </c>
      <c r="D197" s="3" t="s">
        <v>6029</v>
      </c>
      <c r="E197" s="3"/>
      <c r="F197" s="3"/>
      <c r="G197" s="3" t="s">
        <v>545</v>
      </c>
      <c r="H197" s="3"/>
      <c r="I197" s="3"/>
      <c r="J197" s="3" t="s">
        <v>889</v>
      </c>
      <c r="K197" s="3"/>
      <c r="L197" s="3" t="s">
        <v>890</v>
      </c>
      <c r="M197" s="3" t="str">
        <f>HYPERLINK("https://ceds.ed.gov/cedselementdetails.aspx?termid=6224")</f>
        <v>https://ceds.ed.gov/cedselementdetails.aspx?termid=6224</v>
      </c>
      <c r="N197" s="3" t="str">
        <f>HYPERLINK("https://ceds.ed.gov/elementComment.aspx?elementName=Assessment Item Response Theory Parameter D4 &amp;elementID=6224", "Click here to submit comment")</f>
        <v>Click here to submit comment</v>
      </c>
    </row>
    <row r="198" spans="1:14" ht="90">
      <c r="A198" s="3" t="s">
        <v>891</v>
      </c>
      <c r="B198" s="3" t="s">
        <v>892</v>
      </c>
      <c r="C198" s="3" t="s">
        <v>13</v>
      </c>
      <c r="D198" s="3" t="s">
        <v>6029</v>
      </c>
      <c r="E198" s="3"/>
      <c r="F198" s="3"/>
      <c r="G198" s="3" t="s">
        <v>545</v>
      </c>
      <c r="H198" s="3"/>
      <c r="I198" s="3"/>
      <c r="J198" s="3" t="s">
        <v>893</v>
      </c>
      <c r="K198" s="3"/>
      <c r="L198" s="3" t="s">
        <v>894</v>
      </c>
      <c r="M198" s="3" t="str">
        <f>HYPERLINK("https://ceds.ed.gov/cedselementdetails.aspx?termid=6225")</f>
        <v>https://ceds.ed.gov/cedselementdetails.aspx?termid=6225</v>
      </c>
      <c r="N198" s="3" t="str">
        <f>HYPERLINK("https://ceds.ed.gov/elementComment.aspx?elementName=Assessment Item Response Theory Parameter D5 &amp;elementID=6225", "Click here to submit comment")</f>
        <v>Click here to submit comment</v>
      </c>
    </row>
    <row r="199" spans="1:14" ht="90">
      <c r="A199" s="3" t="s">
        <v>895</v>
      </c>
      <c r="B199" s="3" t="s">
        <v>896</v>
      </c>
      <c r="C199" s="3" t="s">
        <v>13</v>
      </c>
      <c r="D199" s="3" t="s">
        <v>6029</v>
      </c>
      <c r="E199" s="3"/>
      <c r="F199" s="3"/>
      <c r="G199" s="3" t="s">
        <v>545</v>
      </c>
      <c r="H199" s="3"/>
      <c r="I199" s="3"/>
      <c r="J199" s="3" t="s">
        <v>897</v>
      </c>
      <c r="K199" s="3"/>
      <c r="L199" s="3" t="s">
        <v>898</v>
      </c>
      <c r="M199" s="3" t="str">
        <f>HYPERLINK("https://ceds.ed.gov/cedselementdetails.aspx?termid=6226")</f>
        <v>https://ceds.ed.gov/cedselementdetails.aspx?termid=6226</v>
      </c>
      <c r="N199" s="3" t="str">
        <f>HYPERLINK("https://ceds.ed.gov/elementComment.aspx?elementName=Assessment Item Response Theory Parameter D6 &amp;elementID=6226", "Click here to submit comment")</f>
        <v>Click here to submit comment</v>
      </c>
    </row>
    <row r="200" spans="1:14" ht="120">
      <c r="A200" s="3" t="s">
        <v>899</v>
      </c>
      <c r="B200" s="3" t="s">
        <v>900</v>
      </c>
      <c r="C200" s="4" t="s">
        <v>6387</v>
      </c>
      <c r="D200" s="3" t="s">
        <v>6029</v>
      </c>
      <c r="E200" s="3"/>
      <c r="F200" s="3"/>
      <c r="G200" s="3"/>
      <c r="H200" s="3"/>
      <c r="I200" s="3"/>
      <c r="J200" s="3" t="s">
        <v>901</v>
      </c>
      <c r="K200" s="3"/>
      <c r="L200" s="3" t="s">
        <v>902</v>
      </c>
      <c r="M200" s="3" t="str">
        <f>HYPERLINK("https://ceds.ed.gov/cedselementdetails.aspx?termid=6219")</f>
        <v>https://ceds.ed.gov/cedselementdetails.aspx?termid=6219</v>
      </c>
      <c r="N200" s="3" t="str">
        <f>HYPERLINK("https://ceds.ed.gov/elementComment.aspx?elementName=Assessment Item Response Theory Parameter Difficulty Category &amp;elementID=6219", "Click here to submit comment")</f>
        <v>Click here to submit comment</v>
      </c>
    </row>
    <row r="201" spans="1:14" ht="60">
      <c r="A201" s="3" t="s">
        <v>903</v>
      </c>
      <c r="B201" s="3" t="s">
        <v>904</v>
      </c>
      <c r="C201" s="3" t="s">
        <v>13</v>
      </c>
      <c r="D201" s="3" t="s">
        <v>905</v>
      </c>
      <c r="E201" s="3"/>
      <c r="F201" s="3"/>
      <c r="G201" s="3" t="s">
        <v>545</v>
      </c>
      <c r="H201" s="3"/>
      <c r="I201" s="3"/>
      <c r="J201" s="3" t="s">
        <v>906</v>
      </c>
      <c r="K201" s="3"/>
      <c r="L201" s="3" t="s">
        <v>907</v>
      </c>
      <c r="M201" s="3" t="str">
        <f>HYPERLINK("https://ceds.ed.gov/cedselementdetails.aspx?termid=6228")</f>
        <v>https://ceds.ed.gov/cedselementdetails.aspx?termid=6228</v>
      </c>
      <c r="N201" s="3" t="str">
        <f>HYPERLINK("https://ceds.ed.gov/elementComment.aspx?elementName=Assessment Item Response Theory Point Biserial Correlation Value &amp;elementID=6228", "Click here to submit comment")</f>
        <v>Click here to submit comment</v>
      </c>
    </row>
    <row r="202" spans="1:14" ht="120">
      <c r="A202" s="3" t="s">
        <v>908</v>
      </c>
      <c r="B202" s="3" t="s">
        <v>909</v>
      </c>
      <c r="C202" s="3" t="s">
        <v>13</v>
      </c>
      <c r="D202" s="3" t="s">
        <v>6026</v>
      </c>
      <c r="E202" s="3" t="s">
        <v>493</v>
      </c>
      <c r="F202" s="3"/>
      <c r="G202" s="3" t="s">
        <v>93</v>
      </c>
      <c r="H202" s="3"/>
      <c r="I202" s="3"/>
      <c r="J202" s="3" t="s">
        <v>910</v>
      </c>
      <c r="K202" s="3"/>
      <c r="L202" s="3" t="s">
        <v>911</v>
      </c>
      <c r="M202" s="3" t="str">
        <f>HYPERLINK("https://ceds.ed.gov/cedselementdetails.aspx?termid=6069")</f>
        <v>https://ceds.ed.gov/cedselementdetails.aspx?termid=6069</v>
      </c>
      <c r="N202" s="3" t="str">
        <f>HYPERLINK("https://ceds.ed.gov/elementComment.aspx?elementName=Assessment Item Response Value &amp;elementID=6069", "Click here to submit comment")</f>
        <v>Click here to submit comment</v>
      </c>
    </row>
    <row r="203" spans="1:14" ht="75">
      <c r="A203" s="3" t="s">
        <v>912</v>
      </c>
      <c r="B203" s="3" t="s">
        <v>913</v>
      </c>
      <c r="C203" s="3" t="s">
        <v>13</v>
      </c>
      <c r="D203" s="3" t="s">
        <v>6016</v>
      </c>
      <c r="E203" s="3"/>
      <c r="F203" s="3" t="s">
        <v>54</v>
      </c>
      <c r="G203" s="3" t="s">
        <v>319</v>
      </c>
      <c r="H203" s="3"/>
      <c r="I203" s="3" t="s">
        <v>914</v>
      </c>
      <c r="J203" s="3" t="s">
        <v>915</v>
      </c>
      <c r="K203" s="3"/>
      <c r="L203" s="3" t="s">
        <v>916</v>
      </c>
      <c r="M203" s="3" t="str">
        <f>HYPERLINK("https://ceds.ed.gov/cedselementdetails.aspx?termid=6250")</f>
        <v>https://ceds.ed.gov/cedselementdetails.aspx?termid=6250</v>
      </c>
      <c r="N203" s="3" t="str">
        <f>HYPERLINK("https://ceds.ed.gov/elementComment.aspx?elementName=Assessment Item Result XML &amp;elementID=6250", "Click here to submit comment")</f>
        <v>Click here to submit comment</v>
      </c>
    </row>
    <row r="204" spans="1:14" ht="105">
      <c r="A204" s="3" t="s">
        <v>917</v>
      </c>
      <c r="B204" s="3" t="s">
        <v>918</v>
      </c>
      <c r="C204" s="3" t="s">
        <v>13</v>
      </c>
      <c r="D204" s="3" t="s">
        <v>6017</v>
      </c>
      <c r="E204" s="3" t="s">
        <v>6018</v>
      </c>
      <c r="F204" s="3"/>
      <c r="G204" s="3" t="s">
        <v>319</v>
      </c>
      <c r="H204" s="3"/>
      <c r="I204" s="3"/>
      <c r="J204" s="3" t="s">
        <v>919</v>
      </c>
      <c r="K204" s="3"/>
      <c r="L204" s="3" t="s">
        <v>920</v>
      </c>
      <c r="M204" s="3" t="str">
        <f>HYPERLINK("https://ceds.ed.gov/cedselementdetails.aspx?termid=5392")</f>
        <v>https://ceds.ed.gov/cedselementdetails.aspx?termid=5392</v>
      </c>
      <c r="N204" s="3" t="str">
        <f>HYPERLINK("https://ceds.ed.gov/elementComment.aspx?elementName=Assessment Item Stem &amp;elementID=5392", "Click here to submit comment")</f>
        <v>Click here to submit comment</v>
      </c>
    </row>
    <row r="205" spans="1:14" ht="90">
      <c r="A205" s="3" t="s">
        <v>921</v>
      </c>
      <c r="B205" s="3" t="s">
        <v>922</v>
      </c>
      <c r="C205" s="3" t="s">
        <v>13</v>
      </c>
      <c r="D205" s="3" t="s">
        <v>6019</v>
      </c>
      <c r="E205" s="3"/>
      <c r="F205" s="3"/>
      <c r="G205" s="3" t="s">
        <v>319</v>
      </c>
      <c r="H205" s="3"/>
      <c r="I205" s="3"/>
      <c r="J205" s="3" t="s">
        <v>923</v>
      </c>
      <c r="K205" s="3"/>
      <c r="L205" s="3" t="s">
        <v>924</v>
      </c>
      <c r="M205" s="3" t="str">
        <f>HYPERLINK("https://ceds.ed.gov/cedselementdetails.aspx?termid=6234")</f>
        <v>https://ceds.ed.gov/cedselementdetails.aspx?termid=6234</v>
      </c>
      <c r="N205" s="3" t="str">
        <f>HYPERLINK("https://ceds.ed.gov/elementComment.aspx?elementName=Assessment Item Stimulus &amp;elementID=6234", "Click here to submit comment")</f>
        <v>Click here to submit comment</v>
      </c>
    </row>
    <row r="206" spans="1:14" ht="300">
      <c r="A206" s="3" t="s">
        <v>925</v>
      </c>
      <c r="B206" s="3" t="s">
        <v>926</v>
      </c>
      <c r="C206" s="4" t="s">
        <v>6388</v>
      </c>
      <c r="D206" s="3" t="s">
        <v>6019</v>
      </c>
      <c r="E206" s="3"/>
      <c r="F206" s="3"/>
      <c r="G206" s="3"/>
      <c r="H206" s="3"/>
      <c r="I206" s="3"/>
      <c r="J206" s="3" t="s">
        <v>927</v>
      </c>
      <c r="K206" s="3"/>
      <c r="L206" s="3" t="s">
        <v>928</v>
      </c>
      <c r="M206" s="3" t="str">
        <f>HYPERLINK("https://ceds.ed.gov/cedselementdetails.aspx?termid=5907")</f>
        <v>https://ceds.ed.gov/cedselementdetails.aspx?termid=5907</v>
      </c>
      <c r="N206" s="3" t="str">
        <f>HYPERLINK("https://ceds.ed.gov/elementComment.aspx?elementName=Assessment Item Text Complexity System &amp;elementID=5907", "Click here to submit comment")</f>
        <v>Click here to submit comment</v>
      </c>
    </row>
    <row r="207" spans="1:14" ht="75">
      <c r="A207" s="3" t="s">
        <v>929</v>
      </c>
      <c r="B207" s="3" t="s">
        <v>930</v>
      </c>
      <c r="C207" s="3" t="s">
        <v>13</v>
      </c>
      <c r="D207" s="3" t="s">
        <v>6019</v>
      </c>
      <c r="E207" s="3"/>
      <c r="F207" s="3"/>
      <c r="G207" s="3" t="s">
        <v>100</v>
      </c>
      <c r="H207" s="3"/>
      <c r="I207" s="3"/>
      <c r="J207" s="3" t="s">
        <v>931</v>
      </c>
      <c r="K207" s="3"/>
      <c r="L207" s="3" t="s">
        <v>932</v>
      </c>
      <c r="M207" s="3" t="str">
        <f>HYPERLINK("https://ceds.ed.gov/cedselementdetails.aspx?termid=5906")</f>
        <v>https://ceds.ed.gov/cedselementdetails.aspx?termid=5906</v>
      </c>
      <c r="N207" s="3" t="str">
        <f>HYPERLINK("https://ceds.ed.gov/elementComment.aspx?elementName=Assessment Item Text Complexity Value &amp;elementID=5906", "Click here to submit comment")</f>
        <v>Click here to submit comment</v>
      </c>
    </row>
    <row r="208" spans="1:14" ht="315">
      <c r="A208" s="3" t="s">
        <v>933</v>
      </c>
      <c r="B208" s="3" t="s">
        <v>934</v>
      </c>
      <c r="C208" s="4" t="s">
        <v>6389</v>
      </c>
      <c r="D208" s="3" t="s">
        <v>6017</v>
      </c>
      <c r="E208" s="3" t="s">
        <v>6018</v>
      </c>
      <c r="F208" s="3"/>
      <c r="G208" s="3"/>
      <c r="H208" s="3"/>
      <c r="I208" s="3"/>
      <c r="J208" s="3" t="s">
        <v>935</v>
      </c>
      <c r="K208" s="3"/>
      <c r="L208" s="3" t="s">
        <v>936</v>
      </c>
      <c r="M208" s="3" t="str">
        <f>HYPERLINK("https://ceds.ed.gov/cedselementdetails.aspx?termid=5382")</f>
        <v>https://ceds.ed.gov/cedselementdetails.aspx?termid=5382</v>
      </c>
      <c r="N208" s="3" t="str">
        <f>HYPERLINK("https://ceds.ed.gov/elementComment.aspx?elementName=Assessment Item Type &amp;elementID=5382", "Click here to submit comment")</f>
        <v>Click here to submit comment</v>
      </c>
    </row>
    <row r="209" spans="1:14" ht="150">
      <c r="A209" s="3" t="s">
        <v>937</v>
      </c>
      <c r="B209" s="3" t="s">
        <v>938</v>
      </c>
      <c r="C209" s="5" t="s">
        <v>939</v>
      </c>
      <c r="D209" s="3" t="s">
        <v>6007</v>
      </c>
      <c r="E209" s="3"/>
      <c r="F209" s="3"/>
      <c r="G209" s="3"/>
      <c r="H209" s="3"/>
      <c r="I209" s="3"/>
      <c r="J209" s="3" t="s">
        <v>940</v>
      </c>
      <c r="K209" s="3"/>
      <c r="L209" s="3" t="s">
        <v>941</v>
      </c>
      <c r="M209" s="3" t="str">
        <f>HYPERLINK("https://ceds.ed.gov/cedselementdetails.aspx?termid=6073")</f>
        <v>https://ceds.ed.gov/cedselementdetails.aspx?termid=6073</v>
      </c>
      <c r="N209" s="3" t="str">
        <f>HYPERLINK("https://ceds.ed.gov/elementComment.aspx?elementName=Assessment Language &amp;elementID=6073", "Click here to submit comment")</f>
        <v>Click here to submit comment</v>
      </c>
    </row>
    <row r="210" spans="1:14" ht="360">
      <c r="A210" s="3" t="s">
        <v>942</v>
      </c>
      <c r="B210" s="3" t="s">
        <v>943</v>
      </c>
      <c r="C210" s="4" t="s">
        <v>6390</v>
      </c>
      <c r="D210" s="3" t="s">
        <v>6001</v>
      </c>
      <c r="E210" s="3" t="s">
        <v>6030</v>
      </c>
      <c r="F210" s="3"/>
      <c r="G210" s="3"/>
      <c r="H210" s="3"/>
      <c r="I210" s="3"/>
      <c r="J210" s="3" t="s">
        <v>944</v>
      </c>
      <c r="K210" s="3"/>
      <c r="L210" s="3" t="s">
        <v>945</v>
      </c>
      <c r="M210" s="3" t="str">
        <f>HYPERLINK("https://ceds.ed.gov/cedselementdetails.aspx?termid=5177")</f>
        <v>https://ceds.ed.gov/cedselementdetails.aspx?termid=5177</v>
      </c>
      <c r="N210" s="3" t="str">
        <f>HYPERLINK("https://ceds.ed.gov/elementComment.aspx?elementName=Assessment Level for Which Designed &amp;elementID=5177", "Click here to submit comment")</f>
        <v>Click here to submit comment</v>
      </c>
    </row>
    <row r="211" spans="1:14" ht="105">
      <c r="A211" s="3" t="s">
        <v>946</v>
      </c>
      <c r="B211" s="3" t="s">
        <v>947</v>
      </c>
      <c r="C211" s="3" t="s">
        <v>6031</v>
      </c>
      <c r="D211" s="3" t="s">
        <v>6032</v>
      </c>
      <c r="E211" s="3"/>
      <c r="F211" s="3"/>
      <c r="G211" s="3"/>
      <c r="H211" s="3"/>
      <c r="I211" s="3"/>
      <c r="J211" s="3" t="s">
        <v>948</v>
      </c>
      <c r="K211" s="3"/>
      <c r="L211" s="3" t="s">
        <v>949</v>
      </c>
      <c r="M211" s="3" t="str">
        <f>HYPERLINK("https://ceds.ed.gov/cedselementdetails.aspx?termid=6045")</f>
        <v>https://ceds.ed.gov/cedselementdetails.aspx?termid=6045</v>
      </c>
      <c r="N211" s="3" t="str">
        <f>HYPERLINK("https://ceds.ed.gov/elementComment.aspx?elementName=Assessment Need Alternative Representation Type &amp;elementID=6045", "Click here to submit comment")</f>
        <v>Click here to submit comment</v>
      </c>
    </row>
    <row r="212" spans="1:14" ht="105">
      <c r="A212" s="3" t="s">
        <v>950</v>
      </c>
      <c r="B212" s="3" t="s">
        <v>951</v>
      </c>
      <c r="C212" s="3" t="s">
        <v>13</v>
      </c>
      <c r="D212" s="3" t="s">
        <v>6033</v>
      </c>
      <c r="E212" s="3"/>
      <c r="F212" s="3"/>
      <c r="G212" s="3" t="s">
        <v>952</v>
      </c>
      <c r="H212" s="3"/>
      <c r="I212" s="3"/>
      <c r="J212" s="3" t="s">
        <v>953</v>
      </c>
      <c r="K212" s="3"/>
      <c r="L212" s="3" t="s">
        <v>954</v>
      </c>
      <c r="M212" s="3" t="str">
        <f>HYPERLINK("https://ceds.ed.gov/cedselementdetails.aspx?termid=6059")</f>
        <v>https://ceds.ed.gov/cedselementdetails.aspx?termid=6059</v>
      </c>
      <c r="N212" s="3" t="str">
        <f>HYPERLINK("https://ceds.ed.gov/elementComment.aspx?elementName=Assessment Need Background Color &amp;elementID=6059", "Click here to submit comment")</f>
        <v>Click here to submit comment</v>
      </c>
    </row>
    <row r="213" spans="1:14" ht="105">
      <c r="A213" s="3" t="s">
        <v>955</v>
      </c>
      <c r="B213" s="3" t="s">
        <v>956</v>
      </c>
      <c r="C213" s="3" t="s">
        <v>13</v>
      </c>
      <c r="D213" s="3" t="s">
        <v>6034</v>
      </c>
      <c r="E213" s="3"/>
      <c r="F213" s="3"/>
      <c r="G213" s="3" t="s">
        <v>957</v>
      </c>
      <c r="H213" s="3"/>
      <c r="I213" s="3"/>
      <c r="J213" s="3" t="s">
        <v>958</v>
      </c>
      <c r="K213" s="3"/>
      <c r="L213" s="3" t="s">
        <v>959</v>
      </c>
      <c r="M213" s="3" t="str">
        <f>HYPERLINK("https://ceds.ed.gov/cedselementdetails.aspx?termid=6040")</f>
        <v>https://ceds.ed.gov/cedselementdetails.aspx?termid=6040</v>
      </c>
      <c r="N213" s="3" t="str">
        <f>HYPERLINK("https://ceds.ed.gov/elementComment.aspx?elementName=Assessment Need Braille Dot Pressure &amp;elementID=6040", "Click here to submit comment")</f>
        <v>Click here to submit comment</v>
      </c>
    </row>
    <row r="214" spans="1:14" ht="105">
      <c r="A214" s="3" t="s">
        <v>960</v>
      </c>
      <c r="B214" s="3" t="s">
        <v>961</v>
      </c>
      <c r="C214" s="3" t="s">
        <v>6035</v>
      </c>
      <c r="D214" s="3" t="s">
        <v>6034</v>
      </c>
      <c r="E214" s="3"/>
      <c r="F214" s="3"/>
      <c r="G214" s="3"/>
      <c r="H214" s="3"/>
      <c r="I214" s="3"/>
      <c r="J214" s="3" t="s">
        <v>962</v>
      </c>
      <c r="K214" s="3"/>
      <c r="L214" s="3" t="s">
        <v>963</v>
      </c>
      <c r="M214" s="3" t="str">
        <f>HYPERLINK("https://ceds.ed.gov/cedselementdetails.aspx?termid=6035")</f>
        <v>https://ceds.ed.gov/cedselementdetails.aspx?termid=6035</v>
      </c>
      <c r="N214" s="3" t="str">
        <f>HYPERLINK("https://ceds.ed.gov/elementComment.aspx?elementName=Assessment Need Braille Grade Type &amp;elementID=6035", "Click here to submit comment")</f>
        <v>Click here to submit comment</v>
      </c>
    </row>
    <row r="215" spans="1:14" ht="105">
      <c r="A215" s="3" t="s">
        <v>964</v>
      </c>
      <c r="B215" s="3" t="s">
        <v>965</v>
      </c>
      <c r="C215" s="3" t="s">
        <v>6036</v>
      </c>
      <c r="D215" s="3" t="s">
        <v>6034</v>
      </c>
      <c r="E215" s="3"/>
      <c r="F215" s="3"/>
      <c r="G215" s="3"/>
      <c r="H215" s="3"/>
      <c r="I215" s="3"/>
      <c r="J215" s="3" t="s">
        <v>966</v>
      </c>
      <c r="K215" s="3"/>
      <c r="L215" s="3" t="s">
        <v>967</v>
      </c>
      <c r="M215" s="3" t="str">
        <f>HYPERLINK("https://ceds.ed.gov/cedselementdetails.aspx?termid=6038")</f>
        <v>https://ceds.ed.gov/cedselementdetails.aspx?termid=6038</v>
      </c>
      <c r="N215" s="3" t="str">
        <f>HYPERLINK("https://ceds.ed.gov/elementComment.aspx?elementName=Assessment Need Braille Mark Type &amp;elementID=6038", "Click here to submit comment")</f>
        <v>Click here to submit comment</v>
      </c>
    </row>
    <row r="216" spans="1:14" ht="105">
      <c r="A216" s="3" t="s">
        <v>968</v>
      </c>
      <c r="B216" s="3" t="s">
        <v>969</v>
      </c>
      <c r="C216" s="3" t="s">
        <v>6037</v>
      </c>
      <c r="D216" s="3" t="s">
        <v>6034</v>
      </c>
      <c r="E216" s="3"/>
      <c r="F216" s="3"/>
      <c r="G216" s="3"/>
      <c r="H216" s="3"/>
      <c r="I216" s="3"/>
      <c r="J216" s="3" t="s">
        <v>970</v>
      </c>
      <c r="K216" s="3"/>
      <c r="L216" s="3" t="s">
        <v>971</v>
      </c>
      <c r="M216" s="3" t="str">
        <f>HYPERLINK("https://ceds.ed.gov/cedselementdetails.aspx?termid=6041")</f>
        <v>https://ceds.ed.gov/cedselementdetails.aspx?termid=6041</v>
      </c>
      <c r="N216" s="3" t="str">
        <f>HYPERLINK("https://ceds.ed.gov/elementComment.aspx?elementName=Assessment Need Braille Status Cell Type &amp;elementID=6041", "Click here to submit comment")</f>
        <v>Click here to submit comment</v>
      </c>
    </row>
    <row r="217" spans="1:14" ht="105">
      <c r="A217" s="3" t="s">
        <v>972</v>
      </c>
      <c r="B217" s="3" t="s">
        <v>973</v>
      </c>
      <c r="C217" s="3" t="s">
        <v>5963</v>
      </c>
      <c r="D217" s="3" t="s">
        <v>6032</v>
      </c>
      <c r="E217" s="3"/>
      <c r="F217" s="3"/>
      <c r="G217" s="3"/>
      <c r="H217" s="3"/>
      <c r="I217" s="3"/>
      <c r="J217" s="3" t="s">
        <v>974</v>
      </c>
      <c r="K217" s="3"/>
      <c r="L217" s="3" t="s">
        <v>975</v>
      </c>
      <c r="M217" s="3" t="str">
        <f>HYPERLINK("https://ceds.ed.gov/cedselementdetails.aspx?termid=6050")</f>
        <v>https://ceds.ed.gov/cedselementdetails.aspx?termid=6050</v>
      </c>
      <c r="N217" s="3" t="str">
        <f>HYPERLINK("https://ceds.ed.gov/elementComment.aspx?elementName=Assessment Need Directions Only &amp;elementID=6050", "Click here to submit comment")</f>
        <v>Click here to submit comment</v>
      </c>
    </row>
    <row r="218" spans="1:14" ht="105">
      <c r="A218" s="3" t="s">
        <v>976</v>
      </c>
      <c r="B218" s="3" t="s">
        <v>977</v>
      </c>
      <c r="C218" s="3" t="s">
        <v>13</v>
      </c>
      <c r="D218" s="3" t="s">
        <v>6033</v>
      </c>
      <c r="E218" s="3"/>
      <c r="F218" s="3"/>
      <c r="G218" s="3" t="s">
        <v>952</v>
      </c>
      <c r="H218" s="3"/>
      <c r="I218" s="3"/>
      <c r="J218" s="3" t="s">
        <v>978</v>
      </c>
      <c r="K218" s="3"/>
      <c r="L218" s="3" t="s">
        <v>979</v>
      </c>
      <c r="M218" s="3" t="str">
        <f>HYPERLINK("https://ceds.ed.gov/cedselementdetails.aspx?termid=6058")</f>
        <v>https://ceds.ed.gov/cedselementdetails.aspx?termid=6058</v>
      </c>
      <c r="N218" s="3" t="str">
        <f>HYPERLINK("https://ceds.ed.gov/elementComment.aspx?elementName=Assessment Need Foreground Color &amp;elementID=6058", "Click here to submit comment")</f>
        <v>Click here to submit comment</v>
      </c>
    </row>
    <row r="219" spans="1:14" ht="105">
      <c r="A219" s="3" t="s">
        <v>980</v>
      </c>
      <c r="B219" s="3" t="s">
        <v>981</v>
      </c>
      <c r="C219" s="4" t="s">
        <v>6391</v>
      </c>
      <c r="D219" s="3" t="s">
        <v>6032</v>
      </c>
      <c r="E219" s="3"/>
      <c r="F219" s="3"/>
      <c r="G219" s="3"/>
      <c r="H219" s="3"/>
      <c r="I219" s="3"/>
      <c r="J219" s="3" t="s">
        <v>982</v>
      </c>
      <c r="K219" s="3"/>
      <c r="L219" s="3" t="s">
        <v>983</v>
      </c>
      <c r="M219" s="3" t="str">
        <f>HYPERLINK("https://ceds.ed.gov/cedselementdetails.aspx?termid=6026")</f>
        <v>https://ceds.ed.gov/cedselementdetails.aspx?termid=6026</v>
      </c>
      <c r="N219" s="3" t="str">
        <f>HYPERLINK("https://ceds.ed.gov/elementComment.aspx?elementName=Assessment Need Hazard Type &amp;elementID=6026", "Click here to submit comment")</f>
        <v>Click here to submit comment</v>
      </c>
    </row>
    <row r="220" spans="1:14" ht="105">
      <c r="A220" s="3" t="s">
        <v>984</v>
      </c>
      <c r="B220" s="3" t="s">
        <v>985</v>
      </c>
      <c r="C220" s="3" t="s">
        <v>6038</v>
      </c>
      <c r="D220" s="3" t="s">
        <v>6033</v>
      </c>
      <c r="E220" s="3"/>
      <c r="F220" s="3"/>
      <c r="G220" s="3"/>
      <c r="H220" s="3"/>
      <c r="I220" s="3"/>
      <c r="J220" s="3" t="s">
        <v>986</v>
      </c>
      <c r="K220" s="3"/>
      <c r="L220" s="3" t="s">
        <v>987</v>
      </c>
      <c r="M220" s="3" t="str">
        <f>HYPERLINK("https://ceds.ed.gov/cedselementdetails.aspx?termid=6060")</f>
        <v>https://ceds.ed.gov/cedselementdetails.aspx?termid=6060</v>
      </c>
      <c r="N220" s="3" t="str">
        <f>HYPERLINK("https://ceds.ed.gov/elementComment.aspx?elementName=Assessment Need Increased Whitespacing Type &amp;elementID=6060", "Click here to submit comment")</f>
        <v>Click here to submit comment</v>
      </c>
    </row>
    <row r="221" spans="1:14" ht="105">
      <c r="A221" s="3" t="s">
        <v>988</v>
      </c>
      <c r="B221" s="3" t="s">
        <v>989</v>
      </c>
      <c r="C221" s="3" t="s">
        <v>5963</v>
      </c>
      <c r="D221" s="3" t="s">
        <v>6034</v>
      </c>
      <c r="E221" s="3"/>
      <c r="F221" s="3"/>
      <c r="G221" s="3"/>
      <c r="H221" s="3"/>
      <c r="I221" s="3"/>
      <c r="J221" s="3" t="s">
        <v>990</v>
      </c>
      <c r="K221" s="3"/>
      <c r="L221" s="3" t="s">
        <v>991</v>
      </c>
      <c r="M221" s="3" t="str">
        <f>HYPERLINK("https://ceds.ed.gov/cedselementdetails.aspx?termid=6033")</f>
        <v>https://ceds.ed.gov/cedselementdetails.aspx?termid=6033</v>
      </c>
      <c r="N221" s="3" t="str">
        <f>HYPERLINK("https://ceds.ed.gov/elementComment.aspx?elementName=Assessment Need Invert Color Choice &amp;elementID=6033", "Click here to submit comment")</f>
        <v>Click here to submit comment</v>
      </c>
    </row>
    <row r="222" spans="1:14" ht="105">
      <c r="A222" s="3" t="s">
        <v>992</v>
      </c>
      <c r="B222" s="3" t="s">
        <v>993</v>
      </c>
      <c r="C222" s="5" t="s">
        <v>939</v>
      </c>
      <c r="D222" s="3" t="s">
        <v>6032</v>
      </c>
      <c r="E222" s="3"/>
      <c r="F222" s="3"/>
      <c r="G222" s="3"/>
      <c r="H222" s="3"/>
      <c r="I222" s="3"/>
      <c r="J222" s="3" t="s">
        <v>994</v>
      </c>
      <c r="K222" s="3"/>
      <c r="L222" s="3" t="s">
        <v>995</v>
      </c>
      <c r="M222" s="3" t="str">
        <f>HYPERLINK("https://ceds.ed.gov/cedselementdetails.aspx?termid=6042")</f>
        <v>https://ceds.ed.gov/cedselementdetails.aspx?termid=6042</v>
      </c>
      <c r="N222" s="3" t="str">
        <f>HYPERLINK("https://ceds.ed.gov/elementComment.aspx?elementName=Assessment Need Item Translation Display Language Type &amp;elementID=6042", "Click here to submit comment")</f>
        <v>Click here to submit comment</v>
      </c>
    </row>
    <row r="223" spans="1:14" ht="105">
      <c r="A223" s="3" t="s">
        <v>996</v>
      </c>
      <c r="B223" s="3" t="s">
        <v>997</v>
      </c>
      <c r="C223" s="5" t="s">
        <v>939</v>
      </c>
      <c r="D223" s="3" t="s">
        <v>6032</v>
      </c>
      <c r="E223" s="3"/>
      <c r="F223" s="3"/>
      <c r="G223" s="3"/>
      <c r="H223" s="3"/>
      <c r="I223" s="3"/>
      <c r="J223" s="3" t="s">
        <v>998</v>
      </c>
      <c r="K223" s="3"/>
      <c r="L223" s="3" t="s">
        <v>999</v>
      </c>
      <c r="M223" s="3" t="str">
        <f>HYPERLINK("https://ceds.ed.gov/cedselementdetails.aspx?termid=6043")</f>
        <v>https://ceds.ed.gov/cedselementdetails.aspx?termid=6043</v>
      </c>
      <c r="N223" s="3" t="str">
        <f>HYPERLINK("https://ceds.ed.gov/elementComment.aspx?elementName=Assessment Need Keyword Translation Language Type &amp;elementID=6043", "Click here to submit comment")</f>
        <v>Click here to submit comment</v>
      </c>
    </row>
    <row r="224" spans="1:14" ht="75">
      <c r="A224" s="3" t="s">
        <v>1000</v>
      </c>
      <c r="B224" s="3" t="s">
        <v>1001</v>
      </c>
      <c r="C224" s="5" t="s">
        <v>939</v>
      </c>
      <c r="D224" s="3" t="s">
        <v>6039</v>
      </c>
      <c r="E224" s="3"/>
      <c r="F224" s="3"/>
      <c r="G224" s="3"/>
      <c r="H224" s="3"/>
      <c r="I224" s="3"/>
      <c r="J224" s="3" t="s">
        <v>1002</v>
      </c>
      <c r="K224" s="3"/>
      <c r="L224" s="3" t="s">
        <v>1003</v>
      </c>
      <c r="M224" s="3" t="str">
        <f>HYPERLINK("https://ceds.ed.gov/cedselementdetails.aspx?termid=6025")</f>
        <v>https://ceds.ed.gov/cedselementdetails.aspx?termid=6025</v>
      </c>
      <c r="N224" s="3" t="str">
        <f>HYPERLINK("https://ceds.ed.gov/elementComment.aspx?elementName=Assessment Need Language Type &amp;elementID=6025", "Click here to submit comment")</f>
        <v>Click here to submit comment</v>
      </c>
    </row>
    <row r="225" spans="1:14" ht="105">
      <c r="A225" s="3" t="s">
        <v>1004</v>
      </c>
      <c r="B225" s="3" t="s">
        <v>1005</v>
      </c>
      <c r="C225" s="3" t="s">
        <v>13</v>
      </c>
      <c r="D225" s="3" t="s">
        <v>6034</v>
      </c>
      <c r="E225" s="3"/>
      <c r="F225" s="3"/>
      <c r="G225" s="3" t="s">
        <v>952</v>
      </c>
      <c r="H225" s="3"/>
      <c r="I225" s="3"/>
      <c r="J225" s="3" t="s">
        <v>1006</v>
      </c>
      <c r="K225" s="3"/>
      <c r="L225" s="3" t="s">
        <v>1007</v>
      </c>
      <c r="M225" s="3" t="str">
        <f>HYPERLINK("https://ceds.ed.gov/cedselementdetails.aspx?termid=6056")</f>
        <v>https://ceds.ed.gov/cedselementdetails.aspx?termid=6056</v>
      </c>
      <c r="N225" s="3" t="str">
        <f>HYPERLINK("https://ceds.ed.gov/elementComment.aspx?elementName=Assessment Need Line Reader Highlight Color &amp;elementID=6056", "Click here to submit comment")</f>
        <v>Click here to submit comment</v>
      </c>
    </row>
    <row r="226" spans="1:14" ht="105">
      <c r="A226" s="3" t="s">
        <v>1008</v>
      </c>
      <c r="B226" s="3" t="s">
        <v>1009</v>
      </c>
      <c r="C226" s="4" t="s">
        <v>6392</v>
      </c>
      <c r="D226" s="3" t="s">
        <v>6034</v>
      </c>
      <c r="E226" s="3"/>
      <c r="F226" s="3"/>
      <c r="G226" s="3"/>
      <c r="H226" s="3"/>
      <c r="I226" s="3"/>
      <c r="J226" s="3" t="s">
        <v>1010</v>
      </c>
      <c r="K226" s="3"/>
      <c r="L226" s="3" t="s">
        <v>1011</v>
      </c>
      <c r="M226" s="3" t="str">
        <f>HYPERLINK("https://ceds.ed.gov/cedselementdetails.aspx?termid=6029")</f>
        <v>https://ceds.ed.gov/cedselementdetails.aspx?termid=6029</v>
      </c>
      <c r="N226" s="3" t="str">
        <f>HYPERLINK("https://ceds.ed.gov/elementComment.aspx?elementName=Assessment Need Link Indication Type &amp;elementID=6029", "Click here to submit comment")</f>
        <v>Click here to submit comment</v>
      </c>
    </row>
    <row r="227" spans="1:14" ht="105">
      <c r="A227" s="3" t="s">
        <v>1012</v>
      </c>
      <c r="B227" s="3" t="s">
        <v>1013</v>
      </c>
      <c r="C227" s="3" t="s">
        <v>13</v>
      </c>
      <c r="D227" s="3" t="s">
        <v>6034</v>
      </c>
      <c r="E227" s="3"/>
      <c r="F227" s="3"/>
      <c r="G227" s="3" t="s">
        <v>957</v>
      </c>
      <c r="H227" s="3"/>
      <c r="I227" s="3"/>
      <c r="J227" s="3" t="s">
        <v>1014</v>
      </c>
      <c r="K227" s="3"/>
      <c r="L227" s="3" t="s">
        <v>1015</v>
      </c>
      <c r="M227" s="3" t="str">
        <f>HYPERLINK("https://ceds.ed.gov/cedselementdetails.aspx?termid=6034")</f>
        <v>https://ceds.ed.gov/cedselementdetails.aspx?termid=6034</v>
      </c>
      <c r="N227" s="3" t="str">
        <f>HYPERLINK("https://ceds.ed.gov/elementComment.aspx?elementName=Assessment Need Magnification &amp;elementID=6034", "Click here to submit comment")</f>
        <v>Click here to submit comment</v>
      </c>
    </row>
    <row r="228" spans="1:14" ht="105">
      <c r="A228" s="3" t="s">
        <v>1016</v>
      </c>
      <c r="B228" s="3" t="s">
        <v>1017</v>
      </c>
      <c r="C228" s="4" t="s">
        <v>6393</v>
      </c>
      <c r="D228" s="3" t="s">
        <v>6034</v>
      </c>
      <c r="E228" s="3"/>
      <c r="F228" s="3"/>
      <c r="G228" s="3"/>
      <c r="H228" s="3"/>
      <c r="I228" s="3"/>
      <c r="J228" s="3" t="s">
        <v>1018</v>
      </c>
      <c r="K228" s="3"/>
      <c r="L228" s="3" t="s">
        <v>1019</v>
      </c>
      <c r="M228" s="3" t="str">
        <f>HYPERLINK("https://ceds.ed.gov/cedselementdetails.aspx?termid=6051")</f>
        <v>https://ceds.ed.gov/cedselementdetails.aspx?termid=6051</v>
      </c>
      <c r="N228" s="3" t="str">
        <f>HYPERLINK("https://ceds.ed.gov/elementComment.aspx?elementName=Assessment Need Masking Type &amp;elementID=6051", "Click here to submit comment")</f>
        <v>Click here to submit comment</v>
      </c>
    </row>
    <row r="229" spans="1:14" ht="105">
      <c r="A229" s="3" t="s">
        <v>1020</v>
      </c>
      <c r="B229" s="3" t="s">
        <v>1021</v>
      </c>
      <c r="C229" s="3" t="s">
        <v>13</v>
      </c>
      <c r="D229" s="3" t="s">
        <v>6034</v>
      </c>
      <c r="E229" s="3"/>
      <c r="F229" s="3"/>
      <c r="G229" s="3" t="s">
        <v>1022</v>
      </c>
      <c r="H229" s="3"/>
      <c r="I229" s="3"/>
      <c r="J229" s="3" t="s">
        <v>1023</v>
      </c>
      <c r="K229" s="3"/>
      <c r="L229" s="3" t="s">
        <v>1024</v>
      </c>
      <c r="M229" s="3" t="str">
        <f>HYPERLINK("https://ceds.ed.gov/cedselementdetails.aspx?termid=6037")</f>
        <v>https://ceds.ed.gov/cedselementdetails.aspx?termid=6037</v>
      </c>
      <c r="N229" s="3" t="str">
        <f>HYPERLINK("https://ceds.ed.gov/elementComment.aspx?elementName=Assessment Need Number of Braille Cells &amp;elementID=6037", "Click here to submit comment")</f>
        <v>Click here to submit comment</v>
      </c>
    </row>
    <row r="230" spans="1:14" ht="105">
      <c r="A230" s="3" t="s">
        <v>1025</v>
      </c>
      <c r="B230" s="3" t="s">
        <v>1026</v>
      </c>
      <c r="C230" s="3" t="s">
        <v>6040</v>
      </c>
      <c r="D230" s="3" t="s">
        <v>6034</v>
      </c>
      <c r="E230" s="3"/>
      <c r="F230" s="3"/>
      <c r="G230" s="3"/>
      <c r="H230" s="3"/>
      <c r="I230" s="3"/>
      <c r="J230" s="3" t="s">
        <v>1027</v>
      </c>
      <c r="K230" s="3"/>
      <c r="L230" s="3" t="s">
        <v>1028</v>
      </c>
      <c r="M230" s="3" t="str">
        <f>HYPERLINK("https://ceds.ed.gov/cedselementdetails.aspx?termid=6036")</f>
        <v>https://ceds.ed.gov/cedselementdetails.aspx?termid=6036</v>
      </c>
      <c r="N230" s="3" t="str">
        <f>HYPERLINK("https://ceds.ed.gov/elementComment.aspx?elementName=Assessment Need Number of Braille Dots Type &amp;elementID=6036", "Click here to submit comment")</f>
        <v>Click here to submit comment</v>
      </c>
    </row>
    <row r="231" spans="1:14" ht="105">
      <c r="A231" s="3" t="s">
        <v>1029</v>
      </c>
      <c r="B231" s="3" t="s">
        <v>1030</v>
      </c>
      <c r="C231" s="3" t="s">
        <v>13</v>
      </c>
      <c r="D231" s="3" t="s">
        <v>6033</v>
      </c>
      <c r="E231" s="3"/>
      <c r="F231" s="3"/>
      <c r="G231" s="3" t="s">
        <v>952</v>
      </c>
      <c r="H231" s="3"/>
      <c r="I231" s="3"/>
      <c r="J231" s="3" t="s">
        <v>1031</v>
      </c>
      <c r="K231" s="3"/>
      <c r="L231" s="3" t="s">
        <v>1032</v>
      </c>
      <c r="M231" s="3" t="str">
        <f>HYPERLINK("https://ceds.ed.gov/cedselementdetails.aspx?termid=6057")</f>
        <v>https://ceds.ed.gov/cedselementdetails.aspx?termid=6057</v>
      </c>
      <c r="N231" s="3" t="str">
        <f>HYPERLINK("https://ceds.ed.gov/elementComment.aspx?elementName=Assessment Need Overlay Color &amp;elementID=6057", "Click here to submit comment")</f>
        <v>Click here to submit comment</v>
      </c>
    </row>
    <row r="232" spans="1:14" ht="105">
      <c r="A232" s="3" t="s">
        <v>1033</v>
      </c>
      <c r="B232" s="3" t="s">
        <v>1034</v>
      </c>
      <c r="C232" s="3" t="s">
        <v>13</v>
      </c>
      <c r="D232" s="3" t="s">
        <v>6034</v>
      </c>
      <c r="E232" s="3"/>
      <c r="F232" s="3"/>
      <c r="G232" s="3" t="s">
        <v>957</v>
      </c>
      <c r="H232" s="3"/>
      <c r="I232" s="3"/>
      <c r="J232" s="3" t="s">
        <v>1035</v>
      </c>
      <c r="K232" s="3"/>
      <c r="L232" s="3" t="s">
        <v>1036</v>
      </c>
      <c r="M232" s="3" t="str">
        <f>HYPERLINK("https://ceds.ed.gov/cedselementdetails.aspx?termid=6031")</f>
        <v>https://ceds.ed.gov/cedselementdetails.aspx?termid=6031</v>
      </c>
      <c r="N232" s="3" t="str">
        <f>HYPERLINK("https://ceds.ed.gov/elementComment.aspx?elementName=Assessment Need Pitch &amp;elementID=6031", "Click here to submit comment")</f>
        <v>Click here to submit comment</v>
      </c>
    </row>
    <row r="233" spans="1:14" ht="105">
      <c r="A233" s="3" t="s">
        <v>1037</v>
      </c>
      <c r="B233" s="3" t="s">
        <v>1038</v>
      </c>
      <c r="C233" s="3" t="s">
        <v>5963</v>
      </c>
      <c r="D233" s="3" t="s">
        <v>6034</v>
      </c>
      <c r="E233" s="3"/>
      <c r="F233" s="3"/>
      <c r="G233" s="3"/>
      <c r="H233" s="3"/>
      <c r="I233" s="3"/>
      <c r="J233" s="3" t="s">
        <v>1039</v>
      </c>
      <c r="K233" s="3"/>
      <c r="L233" s="3" t="s">
        <v>1040</v>
      </c>
      <c r="M233" s="3" t="str">
        <f>HYPERLINK("https://ceds.ed.gov/cedselementdetails.aspx?termid=6048")</f>
        <v>https://ceds.ed.gov/cedselementdetails.aspx?termid=6048</v>
      </c>
      <c r="N233" s="3" t="str">
        <f>HYPERLINK("https://ceds.ed.gov/elementComment.aspx?elementName=Assessment Need Read At Start Preference &amp;elementID=6048", "Click here to submit comment")</f>
        <v>Click here to submit comment</v>
      </c>
    </row>
    <row r="234" spans="1:14" ht="105">
      <c r="A234" s="3" t="s">
        <v>1041</v>
      </c>
      <c r="B234" s="3" t="s">
        <v>1042</v>
      </c>
      <c r="C234" s="4" t="s">
        <v>6394</v>
      </c>
      <c r="D234" s="3" t="s">
        <v>6034</v>
      </c>
      <c r="E234" s="3"/>
      <c r="F234" s="3"/>
      <c r="G234" s="3"/>
      <c r="H234" s="3"/>
      <c r="I234" s="3"/>
      <c r="J234" s="3" t="s">
        <v>1043</v>
      </c>
      <c r="K234" s="3"/>
      <c r="L234" s="3" t="s">
        <v>1044</v>
      </c>
      <c r="M234" s="3" t="str">
        <f>HYPERLINK("https://ceds.ed.gov/cedselementdetails.aspx?termid=6044")</f>
        <v>https://ceds.ed.gov/cedselementdetails.aspx?termid=6044</v>
      </c>
      <c r="N234" s="3" t="str">
        <f>HYPERLINK("https://ceds.ed.gov/elementComment.aspx?elementName=Assessment Need Signing Type &amp;elementID=6044", "Click here to submit comment")</f>
        <v>Click here to submit comment</v>
      </c>
    </row>
    <row r="235" spans="1:14" ht="105">
      <c r="A235" s="3" t="s">
        <v>1045</v>
      </c>
      <c r="B235" s="3" t="s">
        <v>1046</v>
      </c>
      <c r="C235" s="3" t="s">
        <v>13</v>
      </c>
      <c r="D235" s="3" t="s">
        <v>6034</v>
      </c>
      <c r="E235" s="3"/>
      <c r="F235" s="3"/>
      <c r="G235" s="3" t="s">
        <v>93</v>
      </c>
      <c r="H235" s="3"/>
      <c r="I235" s="3"/>
      <c r="J235" s="3" t="s">
        <v>1047</v>
      </c>
      <c r="K235" s="3"/>
      <c r="L235" s="3" t="s">
        <v>1048</v>
      </c>
      <c r="M235" s="3" t="str">
        <f>HYPERLINK("https://ceds.ed.gov/cedselementdetails.aspx?termid=6053")</f>
        <v>https://ceds.ed.gov/cedselementdetails.aspx?termid=6053</v>
      </c>
      <c r="N235" s="3" t="str">
        <f>HYPERLINK("https://ceds.ed.gov/elementComment.aspx?elementName=Assessment Need Sound File URL &amp;elementID=6053", "Click here to submit comment")</f>
        <v>Click here to submit comment</v>
      </c>
    </row>
    <row r="236" spans="1:14" ht="105">
      <c r="A236" s="3" t="s">
        <v>1049</v>
      </c>
      <c r="B236" s="3" t="s">
        <v>1050</v>
      </c>
      <c r="C236" s="3" t="s">
        <v>13</v>
      </c>
      <c r="D236" s="3" t="s">
        <v>6034</v>
      </c>
      <c r="E236" s="3"/>
      <c r="F236" s="3"/>
      <c r="G236" s="3" t="s">
        <v>1022</v>
      </c>
      <c r="H236" s="3"/>
      <c r="I236" s="3"/>
      <c r="J236" s="3" t="s">
        <v>1051</v>
      </c>
      <c r="K236" s="3"/>
      <c r="L236" s="3" t="s">
        <v>1052</v>
      </c>
      <c r="M236" s="3" t="str">
        <f>HYPERLINK("https://ceds.ed.gov/cedselementdetails.aspx?termid=6030")</f>
        <v>https://ceds.ed.gov/cedselementdetails.aspx?termid=6030</v>
      </c>
      <c r="N236" s="3" t="str">
        <f>HYPERLINK("https://ceds.ed.gov/elementComment.aspx?elementName=Assessment Need Speech Rate &amp;elementID=6030", "Click here to submit comment")</f>
        <v>Click here to submit comment</v>
      </c>
    </row>
    <row r="237" spans="1:14" ht="105">
      <c r="A237" s="3" t="s">
        <v>1053</v>
      </c>
      <c r="B237" s="3" t="s">
        <v>1054</v>
      </c>
      <c r="C237" s="3" t="s">
        <v>6041</v>
      </c>
      <c r="D237" s="3" t="s">
        <v>6034</v>
      </c>
      <c r="E237" s="3"/>
      <c r="F237" s="3"/>
      <c r="G237" s="3"/>
      <c r="H237" s="3"/>
      <c r="I237" s="3"/>
      <c r="J237" s="3" t="s">
        <v>1055</v>
      </c>
      <c r="K237" s="3"/>
      <c r="L237" s="3" t="s">
        <v>1056</v>
      </c>
      <c r="M237" s="3" t="str">
        <f>HYPERLINK("https://ceds.ed.gov/cedselementdetails.aspx?termid=6046")</f>
        <v>https://ceds.ed.gov/cedselementdetails.aspx?termid=6046</v>
      </c>
      <c r="N237" s="3" t="str">
        <f>HYPERLINK("https://ceds.ed.gov/elementComment.aspx?elementName=Assessment Need Spoken Source Preference Type &amp;elementID=6046", "Click here to submit comment")</f>
        <v>Click here to submit comment</v>
      </c>
    </row>
    <row r="238" spans="1:14" ht="180">
      <c r="A238" s="3" t="s">
        <v>1057</v>
      </c>
      <c r="B238" s="3" t="s">
        <v>1058</v>
      </c>
      <c r="C238" s="4" t="s">
        <v>6395</v>
      </c>
      <c r="D238" s="3" t="s">
        <v>6032</v>
      </c>
      <c r="E238" s="3"/>
      <c r="F238" s="3"/>
      <c r="G238" s="3"/>
      <c r="H238" s="3"/>
      <c r="I238" s="3"/>
      <c r="J238" s="3" t="s">
        <v>1059</v>
      </c>
      <c r="K238" s="3"/>
      <c r="L238" s="3" t="s">
        <v>1060</v>
      </c>
      <c r="M238" s="3" t="str">
        <f>HYPERLINK("https://ceds.ed.gov/cedselementdetails.aspx?termid=6027")</f>
        <v>https://ceds.ed.gov/cedselementdetails.aspx?termid=6027</v>
      </c>
      <c r="N238" s="3" t="str">
        <f>HYPERLINK("https://ceds.ed.gov/elementComment.aspx?elementName=Assessment Need Support Tool Type &amp;elementID=6027", "Click here to submit comment")</f>
        <v>Click here to submit comment</v>
      </c>
    </row>
    <row r="239" spans="1:14" ht="105">
      <c r="A239" s="3" t="s">
        <v>1061</v>
      </c>
      <c r="B239" s="3" t="s">
        <v>1062</v>
      </c>
      <c r="C239" s="3" t="s">
        <v>13</v>
      </c>
      <c r="D239" s="3" t="s">
        <v>6034</v>
      </c>
      <c r="E239" s="3"/>
      <c r="F239" s="3"/>
      <c r="G239" s="3" t="s">
        <v>319</v>
      </c>
      <c r="H239" s="3"/>
      <c r="I239" s="3"/>
      <c r="J239" s="3" t="s">
        <v>1063</v>
      </c>
      <c r="K239" s="3"/>
      <c r="L239" s="3" t="s">
        <v>1064</v>
      </c>
      <c r="M239" s="3" t="str">
        <f>HYPERLINK("https://ceds.ed.gov/cedselementdetails.aspx?termid=6052")</f>
        <v>https://ceds.ed.gov/cedselementdetails.aspx?termid=6052</v>
      </c>
      <c r="N239" s="3" t="str">
        <f>HYPERLINK("https://ceds.ed.gov/elementComment.aspx?elementName=Assessment Need Text Messaging String &amp;elementID=6052", "Click here to submit comment")</f>
        <v>Click here to submit comment</v>
      </c>
    </row>
    <row r="240" spans="1:14" ht="105">
      <c r="A240" s="3" t="s">
        <v>1065</v>
      </c>
      <c r="B240" s="3" t="s">
        <v>1066</v>
      </c>
      <c r="C240" s="3" t="s">
        <v>13</v>
      </c>
      <c r="D240" s="3" t="s">
        <v>6042</v>
      </c>
      <c r="E240" s="3"/>
      <c r="F240" s="3"/>
      <c r="G240" s="3" t="s">
        <v>1067</v>
      </c>
      <c r="H240" s="3"/>
      <c r="I240" s="3"/>
      <c r="J240" s="3" t="s">
        <v>1068</v>
      </c>
      <c r="K240" s="3"/>
      <c r="L240" s="3" t="s">
        <v>1069</v>
      </c>
      <c r="M240" s="3" t="str">
        <f>HYPERLINK("https://ceds.ed.gov/cedselementdetails.aspx?termid=6055")</f>
        <v>https://ceds.ed.gov/cedselementdetails.aspx?termid=6055</v>
      </c>
      <c r="N240" s="3" t="str">
        <f>HYPERLINK("https://ceds.ed.gov/elementComment.aspx?elementName=Assessment Need Time Multiplier &amp;elementID=6055", "Click here to submit comment")</f>
        <v>Click here to submit comment</v>
      </c>
    </row>
    <row r="241" spans="1:14" ht="75">
      <c r="A241" s="3" t="s">
        <v>1070</v>
      </c>
      <c r="B241" s="3" t="s">
        <v>1071</v>
      </c>
      <c r="C241" s="3" t="s">
        <v>13</v>
      </c>
      <c r="D241" s="3" t="s">
        <v>6039</v>
      </c>
      <c r="E241" s="3"/>
      <c r="F241" s="3"/>
      <c r="G241" s="3" t="s">
        <v>319</v>
      </c>
      <c r="H241" s="3"/>
      <c r="I241" s="3"/>
      <c r="J241" s="3" t="s">
        <v>1072</v>
      </c>
      <c r="K241" s="3"/>
      <c r="L241" s="3" t="s">
        <v>1073</v>
      </c>
      <c r="M241" s="3" t="str">
        <f>HYPERLINK("https://ceds.ed.gov/cedselementdetails.aspx?termid=6101")</f>
        <v>https://ceds.ed.gov/cedselementdetails.aspx?termid=6101</v>
      </c>
      <c r="N241" s="3" t="str">
        <f>HYPERLINK("https://ceds.ed.gov/elementComment.aspx?elementName=Assessment Need Type &amp;elementID=6101", "Click here to submit comment")</f>
        <v>Click here to submit comment</v>
      </c>
    </row>
    <row r="242" spans="1:14" ht="105">
      <c r="A242" s="3" t="s">
        <v>1074</v>
      </c>
      <c r="B242" s="3" t="s">
        <v>1075</v>
      </c>
      <c r="C242" s="4" t="s">
        <v>6396</v>
      </c>
      <c r="D242" s="3" t="s">
        <v>6034</v>
      </c>
      <c r="E242" s="3"/>
      <c r="F242" s="3"/>
      <c r="G242" s="3"/>
      <c r="H242" s="3"/>
      <c r="I242" s="3"/>
      <c r="J242" s="3" t="s">
        <v>1076</v>
      </c>
      <c r="K242" s="3"/>
      <c r="L242" s="3" t="s">
        <v>1077</v>
      </c>
      <c r="M242" s="3" t="str">
        <f>HYPERLINK("https://ceds.ed.gov/cedselementdetails.aspx?termid=6028")</f>
        <v>https://ceds.ed.gov/cedselementdetails.aspx?termid=6028</v>
      </c>
      <c r="N242" s="3" t="str">
        <f>HYPERLINK("https://ceds.ed.gov/elementComment.aspx?elementName=Assessment Need Usage Type &amp;elementID=6028", "Click here to submit comment")</f>
        <v>Click here to submit comment</v>
      </c>
    </row>
    <row r="243" spans="1:14" ht="105">
      <c r="A243" s="3" t="s">
        <v>1078</v>
      </c>
      <c r="B243" s="3" t="s">
        <v>1079</v>
      </c>
      <c r="C243" s="4" t="s">
        <v>6397</v>
      </c>
      <c r="D243" s="3" t="s">
        <v>6032</v>
      </c>
      <c r="E243" s="3"/>
      <c r="F243" s="3"/>
      <c r="G243" s="3"/>
      <c r="H243" s="3"/>
      <c r="I243" s="3"/>
      <c r="J243" s="3" t="s">
        <v>1080</v>
      </c>
      <c r="K243" s="3"/>
      <c r="L243" s="3" t="s">
        <v>1081</v>
      </c>
      <c r="M243" s="3" t="str">
        <f>HYPERLINK("https://ceds.ed.gov/cedselementdetails.aspx?termid=6049")</f>
        <v>https://ceds.ed.gov/cedselementdetails.aspx?termid=6049</v>
      </c>
      <c r="N243" s="3" t="str">
        <f>HYPERLINK("https://ceds.ed.gov/elementComment.aspx?elementName=Assessment Need User Spoken Preference Type &amp;elementID=6049", "Click here to submit comment")</f>
        <v>Click here to submit comment</v>
      </c>
    </row>
    <row r="244" spans="1:14" ht="105">
      <c r="A244" s="3" t="s">
        <v>1082</v>
      </c>
      <c r="B244" s="3" t="s">
        <v>1083</v>
      </c>
      <c r="C244" s="3" t="s">
        <v>13</v>
      </c>
      <c r="D244" s="3" t="s">
        <v>6034</v>
      </c>
      <c r="E244" s="3"/>
      <c r="F244" s="3"/>
      <c r="G244" s="3" t="s">
        <v>957</v>
      </c>
      <c r="H244" s="3"/>
      <c r="I244" s="3"/>
      <c r="J244" s="3" t="s">
        <v>1084</v>
      </c>
      <c r="K244" s="3"/>
      <c r="L244" s="3" t="s">
        <v>1085</v>
      </c>
      <c r="M244" s="3" t="str">
        <f>HYPERLINK("https://ceds.ed.gov/cedselementdetails.aspx?termid=6032")</f>
        <v>https://ceds.ed.gov/cedselementdetails.aspx?termid=6032</v>
      </c>
      <c r="N244" s="3" t="str">
        <f>HYPERLINK("https://ceds.ed.gov/elementComment.aspx?elementName=Assessment Need Volume &amp;elementID=6032", "Click here to submit comment")</f>
        <v>Click here to submit comment</v>
      </c>
    </row>
    <row r="245" spans="1:14" ht="90">
      <c r="A245" s="3" t="s">
        <v>1086</v>
      </c>
      <c r="B245" s="3" t="s">
        <v>1087</v>
      </c>
      <c r="C245" s="3" t="s">
        <v>13</v>
      </c>
      <c r="D245" s="3" t="s">
        <v>6043</v>
      </c>
      <c r="E245" s="3" t="s">
        <v>6018</v>
      </c>
      <c r="F245" s="3"/>
      <c r="G245" s="3" t="s">
        <v>745</v>
      </c>
      <c r="H245" s="3"/>
      <c r="I245" s="3"/>
      <c r="J245" s="3" t="s">
        <v>1088</v>
      </c>
      <c r="K245" s="3"/>
      <c r="L245" s="3" t="s">
        <v>1089</v>
      </c>
      <c r="M245" s="3" t="str">
        <f>HYPERLINK("https://ceds.ed.gov/cedselementdetails.aspx?termid=5373")</f>
        <v>https://ceds.ed.gov/cedselementdetails.aspx?termid=5373</v>
      </c>
      <c r="N245" s="3" t="str">
        <f>HYPERLINK("https://ceds.ed.gov/elementComment.aspx?elementName=Assessment Objective &amp;elementID=5373", "Click here to submit comment")</f>
        <v>Click here to submit comment</v>
      </c>
    </row>
    <row r="246" spans="1:14" ht="75">
      <c r="A246" s="3" t="s">
        <v>1090</v>
      </c>
      <c r="B246" s="3" t="s">
        <v>1091</v>
      </c>
      <c r="C246" s="3" t="s">
        <v>13</v>
      </c>
      <c r="D246" s="3" t="s">
        <v>5994</v>
      </c>
      <c r="E246" s="3"/>
      <c r="F246" s="3"/>
      <c r="G246" s="3" t="s">
        <v>93</v>
      </c>
      <c r="H246" s="3"/>
      <c r="I246" s="3" t="s">
        <v>1092</v>
      </c>
      <c r="J246" s="3" t="s">
        <v>1093</v>
      </c>
      <c r="K246" s="3"/>
      <c r="L246" s="3" t="s">
        <v>1094</v>
      </c>
      <c r="M246" s="3" t="str">
        <f>HYPERLINK("https://ceds.ed.gov/cedselementdetails.aspx?termid=6006")</f>
        <v>https://ceds.ed.gov/cedselementdetails.aspx?termid=6006</v>
      </c>
      <c r="N246" s="3" t="str">
        <f>HYPERLINK("https://ceds.ed.gov/elementComment.aspx?elementName=Assessment Participant Session Delivery Device Details &amp;elementID=6006", "Click here to submit comment")</f>
        <v>Click here to submit comment</v>
      </c>
    </row>
    <row r="247" spans="1:14" ht="75">
      <c r="A247" s="3" t="s">
        <v>1095</v>
      </c>
      <c r="B247" s="3" t="s">
        <v>1096</v>
      </c>
      <c r="C247" s="5" t="s">
        <v>939</v>
      </c>
      <c r="D247" s="3" t="s">
        <v>5994</v>
      </c>
      <c r="E247" s="3" t="s">
        <v>5992</v>
      </c>
      <c r="F247" s="3"/>
      <c r="G247" s="3"/>
      <c r="H247" s="3"/>
      <c r="I247" s="3"/>
      <c r="J247" s="3" t="s">
        <v>1097</v>
      </c>
      <c r="K247" s="3"/>
      <c r="L247" s="3" t="s">
        <v>1098</v>
      </c>
      <c r="M247" s="3" t="str">
        <f>HYPERLINK("https://ceds.ed.gov/cedselementdetails.aspx?termid=5370")</f>
        <v>https://ceds.ed.gov/cedselementdetails.aspx?termid=5370</v>
      </c>
      <c r="N247" s="3" t="str">
        <f>HYPERLINK("https://ceds.ed.gov/elementComment.aspx?elementName=Assessment Participant Session Language &amp;elementID=5370", "Click here to submit comment")</f>
        <v>Click here to submit comment</v>
      </c>
    </row>
    <row r="248" spans="1:14" ht="120">
      <c r="A248" s="3" t="s">
        <v>1099</v>
      </c>
      <c r="B248" s="3" t="s">
        <v>1100</v>
      </c>
      <c r="C248" s="3" t="s">
        <v>6044</v>
      </c>
      <c r="D248" s="3" t="s">
        <v>6045</v>
      </c>
      <c r="E248" s="3" t="s">
        <v>6018</v>
      </c>
      <c r="F248" s="3"/>
      <c r="G248" s="3"/>
      <c r="H248" s="3"/>
      <c r="I248" s="3"/>
      <c r="J248" s="3" t="s">
        <v>1101</v>
      </c>
      <c r="K248" s="3"/>
      <c r="L248" s="3" t="s">
        <v>1102</v>
      </c>
      <c r="M248" s="3" t="str">
        <f>HYPERLINK("https://ceds.ed.gov/cedselementdetails.aspx?termid=5377")</f>
        <v>https://ceds.ed.gov/cedselementdetails.aspx?termid=5377</v>
      </c>
      <c r="N248" s="3" t="str">
        <f>HYPERLINK("https://ceds.ed.gov/elementComment.aspx?elementName=Assessment Participant Session Platform Type &amp;elementID=5377", "Click here to submit comment")</f>
        <v>Click here to submit comment</v>
      </c>
    </row>
    <row r="249" spans="1:14" ht="135">
      <c r="A249" s="3" t="s">
        <v>1103</v>
      </c>
      <c r="B249" s="3" t="s">
        <v>1104</v>
      </c>
      <c r="C249" s="3" t="s">
        <v>13</v>
      </c>
      <c r="D249" s="3" t="s">
        <v>6045</v>
      </c>
      <c r="E249" s="3"/>
      <c r="F249" s="3"/>
      <c r="G249" s="3" t="s">
        <v>1105</v>
      </c>
      <c r="H249" s="3"/>
      <c r="I249" s="3" t="s">
        <v>1106</v>
      </c>
      <c r="J249" s="3" t="s">
        <v>1107</v>
      </c>
      <c r="K249" s="3"/>
      <c r="L249" s="3" t="s">
        <v>1108</v>
      </c>
      <c r="M249" s="3" t="str">
        <f>HYPERLINK("https://ceds.ed.gov/cedselementdetails.aspx?termid=6112")</f>
        <v>https://ceds.ed.gov/cedselementdetails.aspx?termid=6112</v>
      </c>
      <c r="N249" s="3" t="str">
        <f>HYPERLINK("https://ceds.ed.gov/elementComment.aspx?elementName=Assessment Participant Session Platform User Agent &amp;elementID=6112", "Click here to submit comment")</f>
        <v>Click here to submit comment</v>
      </c>
    </row>
    <row r="250" spans="1:14" ht="75">
      <c r="A250" s="3" t="s">
        <v>1109</v>
      </c>
      <c r="B250" s="3" t="s">
        <v>1110</v>
      </c>
      <c r="C250" s="3" t="s">
        <v>13</v>
      </c>
      <c r="D250" s="3" t="s">
        <v>5994</v>
      </c>
      <c r="E250" s="3"/>
      <c r="F250" s="3"/>
      <c r="G250" s="3" t="s">
        <v>319</v>
      </c>
      <c r="H250" s="3"/>
      <c r="I250" s="3"/>
      <c r="J250" s="3" t="s">
        <v>1111</v>
      </c>
      <c r="K250" s="3"/>
      <c r="L250" s="3" t="s">
        <v>1112</v>
      </c>
      <c r="M250" s="3" t="str">
        <f>HYPERLINK("https://ceds.ed.gov/cedselementdetails.aspx?termid=6102")</f>
        <v>https://ceds.ed.gov/cedselementdetails.aspx?termid=6102</v>
      </c>
      <c r="N250" s="3" t="str">
        <f>HYPERLINK("https://ceds.ed.gov/elementComment.aspx?elementName=Assessment Participant Session Security Issue &amp;elementID=6102", "Click here to submit comment")</f>
        <v>Click here to submit comment</v>
      </c>
    </row>
    <row r="251" spans="1:14" ht="75">
      <c r="A251" s="3" t="s">
        <v>1113</v>
      </c>
      <c r="B251" s="3" t="s">
        <v>1114</v>
      </c>
      <c r="C251" s="3" t="s">
        <v>13</v>
      </c>
      <c r="D251" s="3" t="s">
        <v>5994</v>
      </c>
      <c r="E251" s="3" t="s">
        <v>5992</v>
      </c>
      <c r="F251" s="3"/>
      <c r="G251" s="3" t="s">
        <v>100</v>
      </c>
      <c r="H251" s="3"/>
      <c r="I251" s="3"/>
      <c r="J251" s="3" t="s">
        <v>1115</v>
      </c>
      <c r="K251" s="3"/>
      <c r="L251" s="3" t="s">
        <v>1116</v>
      </c>
      <c r="M251" s="3" t="str">
        <f>HYPERLINK("https://ceds.ed.gov/cedselementdetails.aspx?termid=5398")</f>
        <v>https://ceds.ed.gov/cedselementdetails.aspx?termid=5398</v>
      </c>
      <c r="N251" s="3" t="str">
        <f>HYPERLINK("https://ceds.ed.gov/elementComment.aspx?elementName=Assessment Participant Session Time Assessed &amp;elementID=5398", "Click here to submit comment")</f>
        <v>Click here to submit comment</v>
      </c>
    </row>
    <row r="252" spans="1:14" ht="75">
      <c r="A252" s="3" t="s">
        <v>1117</v>
      </c>
      <c r="B252" s="3" t="s">
        <v>1118</v>
      </c>
      <c r="C252" s="3" t="s">
        <v>13</v>
      </c>
      <c r="D252" s="3" t="s">
        <v>6046</v>
      </c>
      <c r="E252" s="3"/>
      <c r="F252" s="3"/>
      <c r="G252" s="3" t="s">
        <v>319</v>
      </c>
      <c r="H252" s="3"/>
      <c r="I252" s="3"/>
      <c r="J252" s="3" t="s">
        <v>1119</v>
      </c>
      <c r="K252" s="3"/>
      <c r="L252" s="3" t="s">
        <v>1120</v>
      </c>
      <c r="M252" s="3" t="str">
        <f>HYPERLINK("https://ceds.ed.gov/cedselementdetails.aspx?termid=6184")</f>
        <v>https://ceds.ed.gov/cedselementdetails.aspx?termid=6184</v>
      </c>
      <c r="N252" s="3" t="str">
        <f>HYPERLINK("https://ceds.ed.gov/elementComment.aspx?elementName=Assessment Performance Level Descriptive Feedback &amp;elementID=6184", "Click here to submit comment")</f>
        <v>Click here to submit comment</v>
      </c>
    </row>
    <row r="253" spans="1:14" ht="165">
      <c r="A253" s="3" t="s">
        <v>1121</v>
      </c>
      <c r="B253" s="3" t="s">
        <v>1122</v>
      </c>
      <c r="C253" s="3" t="s">
        <v>13</v>
      </c>
      <c r="D253" s="3" t="s">
        <v>6047</v>
      </c>
      <c r="E253" s="3" t="s">
        <v>493</v>
      </c>
      <c r="F253" s="3"/>
      <c r="G253" s="3" t="s">
        <v>100</v>
      </c>
      <c r="H253" s="3"/>
      <c r="I253" s="3"/>
      <c r="J253" s="3" t="s">
        <v>1123</v>
      </c>
      <c r="K253" s="3"/>
      <c r="L253" s="3" t="s">
        <v>1124</v>
      </c>
      <c r="M253" s="3" t="str">
        <f>HYPERLINK("https://ceds.ed.gov/cedselementdetails.aspx?termid=5693")</f>
        <v>https://ceds.ed.gov/cedselementdetails.aspx?termid=5693</v>
      </c>
      <c r="N253" s="3" t="str">
        <f>HYPERLINK("https://ceds.ed.gov/elementComment.aspx?elementName=Assessment Performance Level Identifier &amp;elementID=5693", "Click here to submit comment")</f>
        <v>Click here to submit comment</v>
      </c>
    </row>
    <row r="254" spans="1:14" ht="165">
      <c r="A254" s="3" t="s">
        <v>1125</v>
      </c>
      <c r="B254" s="3" t="s">
        <v>1126</v>
      </c>
      <c r="C254" s="3" t="s">
        <v>13</v>
      </c>
      <c r="D254" s="3" t="s">
        <v>6047</v>
      </c>
      <c r="E254" s="3" t="s">
        <v>493</v>
      </c>
      <c r="F254" s="3"/>
      <c r="G254" s="3" t="s">
        <v>1127</v>
      </c>
      <c r="H254" s="3"/>
      <c r="I254" s="3"/>
      <c r="J254" s="3" t="s">
        <v>1128</v>
      </c>
      <c r="K254" s="3"/>
      <c r="L254" s="3" t="s">
        <v>1129</v>
      </c>
      <c r="M254" s="3" t="str">
        <f>HYPERLINK("https://ceds.ed.gov/cedselementdetails.aspx?termid=5694")</f>
        <v>https://ceds.ed.gov/cedselementdetails.aspx?termid=5694</v>
      </c>
      <c r="N254" s="3" t="str">
        <f>HYPERLINK("https://ceds.ed.gov/elementComment.aspx?elementName=Assessment Performance Level Label &amp;elementID=5694", "Click here to submit comment")</f>
        <v>Click here to submit comment</v>
      </c>
    </row>
    <row r="255" spans="1:14" ht="165">
      <c r="A255" s="3" t="s">
        <v>1130</v>
      </c>
      <c r="B255" s="3" t="s">
        <v>1131</v>
      </c>
      <c r="C255" s="3" t="s">
        <v>13</v>
      </c>
      <c r="D255" s="3" t="s">
        <v>6047</v>
      </c>
      <c r="E255" s="3" t="s">
        <v>5992</v>
      </c>
      <c r="F255" s="3"/>
      <c r="G255" s="3" t="s">
        <v>100</v>
      </c>
      <c r="H255" s="3"/>
      <c r="I255" s="3"/>
      <c r="J255" s="3" t="s">
        <v>1132</v>
      </c>
      <c r="K255" s="3"/>
      <c r="L255" s="3" t="s">
        <v>1133</v>
      </c>
      <c r="M255" s="3" t="str">
        <f>HYPERLINK("https://ceds.ed.gov/cedselementdetails.aspx?termid=5408")</f>
        <v>https://ceds.ed.gov/cedselementdetails.aspx?termid=5408</v>
      </c>
      <c r="N255" s="3" t="str">
        <f>HYPERLINK("https://ceds.ed.gov/elementComment.aspx?elementName=Assessment Performance Level Lower Cut Score &amp;elementID=5408", "Click here to submit comment")</f>
        <v>Click here to submit comment</v>
      </c>
    </row>
    <row r="256" spans="1:14" ht="409.5">
      <c r="A256" s="3" t="s">
        <v>1134</v>
      </c>
      <c r="B256" s="3" t="s">
        <v>1135</v>
      </c>
      <c r="C256" s="4" t="s">
        <v>6398</v>
      </c>
      <c r="D256" s="3" t="s">
        <v>6047</v>
      </c>
      <c r="E256" s="3" t="s">
        <v>5992</v>
      </c>
      <c r="F256" s="3"/>
      <c r="G256" s="3" t="s">
        <v>100</v>
      </c>
      <c r="H256" s="3"/>
      <c r="I256" s="3"/>
      <c r="J256" s="3" t="s">
        <v>1136</v>
      </c>
      <c r="K256" s="3"/>
      <c r="L256" s="3" t="s">
        <v>1137</v>
      </c>
      <c r="M256" s="3" t="str">
        <f>HYPERLINK("https://ceds.ed.gov/cedselementdetails.aspx?termid=5407")</f>
        <v>https://ceds.ed.gov/cedselementdetails.aspx?termid=5407</v>
      </c>
      <c r="N256" s="3" t="str">
        <f>HYPERLINK("https://ceds.ed.gov/elementComment.aspx?elementName=Assessment Performance Level Score Metric &amp;elementID=5407", "Click here to submit comment")</f>
        <v>Click here to submit comment</v>
      </c>
    </row>
    <row r="257" spans="1:14" ht="165">
      <c r="A257" s="3" t="s">
        <v>1138</v>
      </c>
      <c r="B257" s="3" t="s">
        <v>1139</v>
      </c>
      <c r="C257" s="3" t="s">
        <v>13</v>
      </c>
      <c r="D257" s="3" t="s">
        <v>6047</v>
      </c>
      <c r="E257" s="3" t="s">
        <v>5992</v>
      </c>
      <c r="F257" s="3"/>
      <c r="G257" s="3" t="s">
        <v>100</v>
      </c>
      <c r="H257" s="3"/>
      <c r="I257" s="3"/>
      <c r="J257" s="3" t="s">
        <v>1140</v>
      </c>
      <c r="K257" s="3"/>
      <c r="L257" s="3" t="s">
        <v>1141</v>
      </c>
      <c r="M257" s="3" t="str">
        <f>HYPERLINK("https://ceds.ed.gov/cedselementdetails.aspx?termid=5409")</f>
        <v>https://ceds.ed.gov/cedselementdetails.aspx?termid=5409</v>
      </c>
      <c r="N257" s="3" t="str">
        <f>HYPERLINK("https://ceds.ed.gov/elementComment.aspx?elementName=Assessment Performance Level Upper Cut Score &amp;elementID=5409", "Click here to submit comment")</f>
        <v>Click here to submit comment</v>
      </c>
    </row>
    <row r="258" spans="1:14" ht="75">
      <c r="A258" s="3" t="s">
        <v>1142</v>
      </c>
      <c r="B258" s="3" t="s">
        <v>1143</v>
      </c>
      <c r="C258" s="3" t="s">
        <v>5963</v>
      </c>
      <c r="D258" s="3" t="s">
        <v>6039</v>
      </c>
      <c r="E258" s="3"/>
      <c r="F258" s="3"/>
      <c r="G258" s="3"/>
      <c r="H258" s="3"/>
      <c r="I258" s="3" t="s">
        <v>1144</v>
      </c>
      <c r="J258" s="3" t="s">
        <v>1145</v>
      </c>
      <c r="K258" s="3"/>
      <c r="L258" s="3" t="s">
        <v>1146</v>
      </c>
      <c r="M258" s="3" t="str">
        <f>HYPERLINK("https://ceds.ed.gov/cedselementdetails.aspx?termid=6008")</f>
        <v>https://ceds.ed.gov/cedselementdetails.aspx?termid=6008</v>
      </c>
      <c r="N258" s="3" t="str">
        <f>HYPERLINK("https://ceds.ed.gov/elementComment.aspx?elementName=Assessment Personal Needs Profile Activate By Default &amp;elementID=6008", "Click here to submit comment")</f>
        <v>Click here to submit comment</v>
      </c>
    </row>
    <row r="259" spans="1:14" ht="75">
      <c r="A259" s="3" t="s">
        <v>1147</v>
      </c>
      <c r="B259" s="3" t="s">
        <v>1148</v>
      </c>
      <c r="C259" s="3" t="s">
        <v>5963</v>
      </c>
      <c r="D259" s="3" t="s">
        <v>6039</v>
      </c>
      <c r="E259" s="3"/>
      <c r="F259" s="3"/>
      <c r="G259" s="3"/>
      <c r="H259" s="3"/>
      <c r="I259" s="3" t="s">
        <v>1144</v>
      </c>
      <c r="J259" s="3" t="s">
        <v>1149</v>
      </c>
      <c r="K259" s="3"/>
      <c r="L259" s="3" t="s">
        <v>1150</v>
      </c>
      <c r="M259" s="3" t="str">
        <f>HYPERLINK("https://ceds.ed.gov/cedselementdetails.aspx?termid=6007")</f>
        <v>https://ceds.ed.gov/cedselementdetails.aspx?termid=6007</v>
      </c>
      <c r="N259" s="3" t="str">
        <f>HYPERLINK("https://ceds.ed.gov/elementComment.aspx?elementName=Assessment Personal Needs Profile Assigned Support &amp;elementID=6007", "Click here to submit comment")</f>
        <v>Click here to submit comment</v>
      </c>
    </row>
    <row r="260" spans="1:14" ht="45">
      <c r="A260" s="3" t="s">
        <v>1151</v>
      </c>
      <c r="B260" s="3" t="s">
        <v>1152</v>
      </c>
      <c r="C260" s="3" t="s">
        <v>13</v>
      </c>
      <c r="D260" s="3" t="s">
        <v>6011</v>
      </c>
      <c r="E260" s="3"/>
      <c r="F260" s="3"/>
      <c r="G260" s="3" t="s">
        <v>100</v>
      </c>
      <c r="H260" s="3"/>
      <c r="I260" s="3" t="s">
        <v>1153</v>
      </c>
      <c r="J260" s="3" t="s">
        <v>1154</v>
      </c>
      <c r="K260" s="3"/>
      <c r="L260" s="3" t="s">
        <v>1155</v>
      </c>
      <c r="M260" s="3" t="str">
        <f>HYPERLINK("https://ceds.ed.gov/cedselementdetails.aspx?termid=6009")</f>
        <v>https://ceds.ed.gov/cedselementdetails.aspx?termid=6009</v>
      </c>
      <c r="N260" s="3" t="str">
        <f>HYPERLINK("https://ceds.ed.gov/elementComment.aspx?elementName=Assessment Provider &amp;elementID=6009", "Click here to submit comment")</f>
        <v>Click here to submit comment</v>
      </c>
    </row>
    <row r="261" spans="1:14" ht="390">
      <c r="A261" s="3" t="s">
        <v>1156</v>
      </c>
      <c r="B261" s="3" t="s">
        <v>1157</v>
      </c>
      <c r="C261" s="4" t="s">
        <v>6399</v>
      </c>
      <c r="D261" s="3" t="s">
        <v>6048</v>
      </c>
      <c r="E261" s="3" t="s">
        <v>6000</v>
      </c>
      <c r="F261" s="3"/>
      <c r="G261" s="3"/>
      <c r="H261" s="3"/>
      <c r="I261" s="3" t="s">
        <v>1158</v>
      </c>
      <c r="J261" s="3" t="s">
        <v>1159</v>
      </c>
      <c r="K261" s="3"/>
      <c r="L261" s="3" t="s">
        <v>1160</v>
      </c>
      <c r="M261" s="3" t="str">
        <f>HYPERLINK("https://ceds.ed.gov/cedselementdetails.aspx?termid=5026")</f>
        <v>https://ceds.ed.gov/cedselementdetails.aspx?termid=5026</v>
      </c>
      <c r="N261" s="3" t="str">
        <f>HYPERLINK("https://ceds.ed.gov/elementComment.aspx?elementName=Assessment Purpose &amp;elementID=5026", "Click here to submit comment")</f>
        <v>Click here to submit comment</v>
      </c>
    </row>
    <row r="262" spans="1:14" ht="75">
      <c r="A262" s="3" t="s">
        <v>1161</v>
      </c>
      <c r="B262" s="3" t="s">
        <v>1162</v>
      </c>
      <c r="C262" s="3" t="s">
        <v>13</v>
      </c>
      <c r="D262" s="3" t="s">
        <v>6049</v>
      </c>
      <c r="E262" s="3"/>
      <c r="F262" s="3"/>
      <c r="G262" s="3" t="s">
        <v>100</v>
      </c>
      <c r="H262" s="3"/>
      <c r="I262" s="3" t="s">
        <v>1163</v>
      </c>
      <c r="J262" s="3" t="s">
        <v>1164</v>
      </c>
      <c r="K262" s="3"/>
      <c r="L262" s="3" t="s">
        <v>1165</v>
      </c>
      <c r="M262" s="3" t="str">
        <f>HYPERLINK("https://ceds.ed.gov/cedselementdetails.aspx?termid=5889")</f>
        <v>https://ceds.ed.gov/cedselementdetails.aspx?termid=5889</v>
      </c>
      <c r="N262" s="3" t="str">
        <f>HYPERLINK("https://ceds.ed.gov/elementComment.aspx?elementName=Assessment Registration Assignor Identifier &amp;elementID=5889", "Click here to submit comment")</f>
        <v>Click here to submit comment</v>
      </c>
    </row>
    <row r="263" spans="1:14" ht="75">
      <c r="A263" s="3" t="s">
        <v>1166</v>
      </c>
      <c r="B263" s="3" t="s">
        <v>1167</v>
      </c>
      <c r="C263" s="3" t="s">
        <v>13</v>
      </c>
      <c r="D263" s="3" t="s">
        <v>6049</v>
      </c>
      <c r="E263" s="3"/>
      <c r="F263" s="3"/>
      <c r="G263" s="3" t="s">
        <v>1168</v>
      </c>
      <c r="H263" s="3"/>
      <c r="I263" s="3"/>
      <c r="J263" s="3" t="s">
        <v>1169</v>
      </c>
      <c r="K263" s="3"/>
      <c r="L263" s="3" t="s">
        <v>1170</v>
      </c>
      <c r="M263" s="3" t="str">
        <f>HYPERLINK("https://ceds.ed.gov/cedselementdetails.aspx?termid=6019")</f>
        <v>https://ceds.ed.gov/cedselementdetails.aspx?termid=6019</v>
      </c>
      <c r="N263" s="3" t="str">
        <f>HYPERLINK("https://ceds.ed.gov/elementComment.aspx?elementName=Assessment Registration Creation Date &amp;elementID=6019", "Click here to submit comment")</f>
        <v>Click here to submit comment</v>
      </c>
    </row>
    <row r="264" spans="1:14" ht="75">
      <c r="A264" s="3" t="s">
        <v>1171</v>
      </c>
      <c r="B264" s="3" t="s">
        <v>1172</v>
      </c>
      <c r="C264" s="3" t="s">
        <v>13</v>
      </c>
      <c r="D264" s="3" t="s">
        <v>6049</v>
      </c>
      <c r="E264" s="3"/>
      <c r="F264" s="3"/>
      <c r="G264" s="3" t="s">
        <v>1173</v>
      </c>
      <c r="H264" s="3"/>
      <c r="I264" s="3"/>
      <c r="J264" s="3" t="s">
        <v>1174</v>
      </c>
      <c r="K264" s="3"/>
      <c r="L264" s="3" t="s">
        <v>1175</v>
      </c>
      <c r="M264" s="3" t="str">
        <f>HYPERLINK("https://ceds.ed.gov/cedselementdetails.aspx?termid=6017")</f>
        <v>https://ceds.ed.gov/cedselementdetails.aspx?termid=6017</v>
      </c>
      <c r="N264" s="3" t="str">
        <f>HYPERLINK("https://ceds.ed.gov/elementComment.aspx?elementName=Assessment Registration Days of Instruction &amp;elementID=6017", "Click here to submit comment")</f>
        <v>Click here to submit comment</v>
      </c>
    </row>
    <row r="265" spans="1:14" ht="409.5">
      <c r="A265" s="3" t="s">
        <v>1176</v>
      </c>
      <c r="B265" s="3" t="s">
        <v>1177</v>
      </c>
      <c r="C265" s="4" t="s">
        <v>6400</v>
      </c>
      <c r="D265" s="3" t="s">
        <v>6049</v>
      </c>
      <c r="E265" s="3"/>
      <c r="F265" s="3" t="s">
        <v>66</v>
      </c>
      <c r="G265" s="3"/>
      <c r="H265" s="3" t="s">
        <v>1178</v>
      </c>
      <c r="I265" s="3" t="s">
        <v>1179</v>
      </c>
      <c r="J265" s="3" t="s">
        <v>1180</v>
      </c>
      <c r="K265" s="3"/>
      <c r="L265" s="3" t="s">
        <v>1181</v>
      </c>
      <c r="M265" s="3" t="str">
        <f>HYPERLINK("https://ceds.ed.gov/cedselementdetails.aspx?termid=6063")</f>
        <v>https://ceds.ed.gov/cedselementdetails.aspx?termid=6063</v>
      </c>
      <c r="N265" s="3" t="str">
        <f>HYPERLINK("https://ceds.ed.gov/elementComment.aspx?elementName=Assessment Registration Grade Level To Be Assessed &amp;elementID=6063", "Click here to submit comment")</f>
        <v>Click here to submit comment</v>
      </c>
    </row>
    <row r="266" spans="1:14" ht="120">
      <c r="A266" s="3" t="s">
        <v>1182</v>
      </c>
      <c r="B266" s="3" t="s">
        <v>1183</v>
      </c>
      <c r="C266" s="4" t="s">
        <v>6401</v>
      </c>
      <c r="D266" s="3" t="s">
        <v>6050</v>
      </c>
      <c r="E266" s="3" t="s">
        <v>6051</v>
      </c>
      <c r="F266" s="3"/>
      <c r="G266" s="3"/>
      <c r="H266" s="3"/>
      <c r="I266" s="3"/>
      <c r="J266" s="3" t="s">
        <v>1184</v>
      </c>
      <c r="K266" s="3"/>
      <c r="L266" s="3" t="s">
        <v>1185</v>
      </c>
      <c r="M266" s="3" t="str">
        <f>HYPERLINK("https://ceds.ed.gov/cedselementdetails.aspx?termid=5025")</f>
        <v>https://ceds.ed.gov/cedselementdetails.aspx?termid=5025</v>
      </c>
      <c r="N266" s="3" t="str">
        <f>HYPERLINK("https://ceds.ed.gov/elementComment.aspx?elementName=Assessment Registration Participation Indicator &amp;elementID=5025", "Click here to submit comment")</f>
        <v>Click here to submit comment</v>
      </c>
    </row>
    <row r="267" spans="1:14" ht="195">
      <c r="A267" s="3" t="s">
        <v>1186</v>
      </c>
      <c r="B267" s="3" t="s">
        <v>1187</v>
      </c>
      <c r="C267" s="4" t="s">
        <v>6402</v>
      </c>
      <c r="D267" s="3" t="s">
        <v>6050</v>
      </c>
      <c r="E267" s="3" t="s">
        <v>6052</v>
      </c>
      <c r="F267" s="3"/>
      <c r="G267" s="3"/>
      <c r="H267" s="3"/>
      <c r="I267" s="3" t="s">
        <v>1188</v>
      </c>
      <c r="J267" s="3" t="s">
        <v>1189</v>
      </c>
      <c r="K267" s="3"/>
      <c r="L267" s="3" t="s">
        <v>1190</v>
      </c>
      <c r="M267" s="3" t="str">
        <f>HYPERLINK("https://ceds.ed.gov/cedselementdetails.aspx?termid=5531")</f>
        <v>https://ceds.ed.gov/cedselementdetails.aspx?termid=5531</v>
      </c>
      <c r="N267" s="3" t="str">
        <f>HYPERLINK("https://ceds.ed.gov/elementComment.aspx?elementName=Assessment Registration Reason Not Completing &amp;elementID=5531", "Click here to submit comment")</f>
        <v>Click here to submit comment</v>
      </c>
    </row>
    <row r="268" spans="1:14" ht="75">
      <c r="A268" s="3" t="s">
        <v>1191</v>
      </c>
      <c r="B268" s="3" t="s">
        <v>1192</v>
      </c>
      <c r="C268" s="3" t="s">
        <v>5963</v>
      </c>
      <c r="D268" s="3" t="s">
        <v>6049</v>
      </c>
      <c r="E268" s="3"/>
      <c r="F268" s="3"/>
      <c r="G268" s="3"/>
      <c r="H268" s="3"/>
      <c r="I268" s="3"/>
      <c r="J268" s="3" t="s">
        <v>1193</v>
      </c>
      <c r="K268" s="3"/>
      <c r="L268" s="3" t="s">
        <v>1194</v>
      </c>
      <c r="M268" s="3" t="str">
        <f>HYPERLINK("https://ceds.ed.gov/cedselementdetails.aspx?termid=6018")</f>
        <v>https://ceds.ed.gov/cedselementdetails.aspx?termid=6018</v>
      </c>
      <c r="N268" s="3" t="str">
        <f>HYPERLINK("https://ceds.ed.gov/elementComment.aspx?elementName=Assessment Registration Retest Indicator &amp;elementID=6018", "Click here to submit comment")</f>
        <v>Click here to submit comment</v>
      </c>
    </row>
    <row r="269" spans="1:14" ht="135">
      <c r="A269" s="3" t="s">
        <v>1195</v>
      </c>
      <c r="B269" s="3" t="s">
        <v>1196</v>
      </c>
      <c r="C269" s="3" t="s">
        <v>13</v>
      </c>
      <c r="D269" s="3" t="s">
        <v>6049</v>
      </c>
      <c r="E269" s="3"/>
      <c r="F269" s="3"/>
      <c r="G269" s="3" t="s">
        <v>73</v>
      </c>
      <c r="H269" s="3"/>
      <c r="I269" s="3"/>
      <c r="J269" s="3" t="s">
        <v>1197</v>
      </c>
      <c r="K269" s="3"/>
      <c r="L269" s="3" t="s">
        <v>1198</v>
      </c>
      <c r="M269" s="3" t="str">
        <f>HYPERLINK("https://ceds.ed.gov/cedselementdetails.aspx?termid=6062")</f>
        <v>https://ceds.ed.gov/cedselementdetails.aspx?termid=6062</v>
      </c>
      <c r="N269" s="3" t="str">
        <f>HYPERLINK("https://ceds.ed.gov/elementComment.aspx?elementName=Assessment Registration Score Publish Date &amp;elementID=6062", "Click here to submit comment")</f>
        <v>Click here to submit comment</v>
      </c>
    </row>
    <row r="270" spans="1:14" ht="75">
      <c r="A270" s="3" t="s">
        <v>1199</v>
      </c>
      <c r="B270" s="3" t="s">
        <v>1200</v>
      </c>
      <c r="C270" s="3" t="s">
        <v>13</v>
      </c>
      <c r="D270" s="3" t="s">
        <v>6049</v>
      </c>
      <c r="E270" s="3"/>
      <c r="F270" s="3"/>
      <c r="G270" s="3" t="s">
        <v>100</v>
      </c>
      <c r="H270" s="3"/>
      <c r="I270" s="3" t="s">
        <v>1201</v>
      </c>
      <c r="J270" s="3" t="s">
        <v>1202</v>
      </c>
      <c r="K270" s="3"/>
      <c r="L270" s="3" t="s">
        <v>1203</v>
      </c>
      <c r="M270" s="3" t="str">
        <f>HYPERLINK("https://ceds.ed.gov/cedselementdetails.aspx?termid=6119")</f>
        <v>https://ceds.ed.gov/cedselementdetails.aspx?termid=6119</v>
      </c>
      <c r="N270" s="3" t="str">
        <f>HYPERLINK("https://ceds.ed.gov/elementComment.aspx?elementName=Assessment Registration Test Attempt Identifier &amp;elementID=6119", "Click here to submit comment")</f>
        <v>Click here to submit comment</v>
      </c>
    </row>
    <row r="271" spans="1:14" ht="75">
      <c r="A271" s="3" t="s">
        <v>1204</v>
      </c>
      <c r="B271" s="3" t="s">
        <v>1205</v>
      </c>
      <c r="C271" s="3" t="s">
        <v>13</v>
      </c>
      <c r="D271" s="3" t="s">
        <v>6049</v>
      </c>
      <c r="E271" s="3"/>
      <c r="F271" s="3"/>
      <c r="G271" s="3" t="s">
        <v>93</v>
      </c>
      <c r="H271" s="3"/>
      <c r="I271" s="3" t="s">
        <v>1206</v>
      </c>
      <c r="J271" s="3" t="s">
        <v>1207</v>
      </c>
      <c r="K271" s="3"/>
      <c r="L271" s="3" t="s">
        <v>1208</v>
      </c>
      <c r="M271" s="3" t="str">
        <f>HYPERLINK("https://ceds.ed.gov/cedselementdetails.aspx?termid=6061")</f>
        <v>https://ceds.ed.gov/cedselementdetails.aspx?termid=6061</v>
      </c>
      <c r="N271" s="3" t="str">
        <f>HYPERLINK("https://ceds.ed.gov/elementComment.aspx?elementName=Assessment Registration Testing Indicator &amp;elementID=6061", "Click here to submit comment")</f>
        <v>Click here to submit comment</v>
      </c>
    </row>
    <row r="272" spans="1:14" ht="90">
      <c r="A272" s="3" t="s">
        <v>1209</v>
      </c>
      <c r="B272" s="3" t="s">
        <v>1210</v>
      </c>
      <c r="C272" s="3" t="s">
        <v>13</v>
      </c>
      <c r="D272" s="3" t="s">
        <v>6053</v>
      </c>
      <c r="E272" s="3" t="s">
        <v>6018</v>
      </c>
      <c r="F272" s="3" t="s">
        <v>66</v>
      </c>
      <c r="G272" s="3" t="s">
        <v>100</v>
      </c>
      <c r="H272" s="3" t="s">
        <v>1211</v>
      </c>
      <c r="I272" s="3"/>
      <c r="J272" s="3" t="s">
        <v>1212</v>
      </c>
      <c r="K272" s="3"/>
      <c r="L272" s="3" t="s">
        <v>1213</v>
      </c>
      <c r="M272" s="3" t="str">
        <f>HYPERLINK("https://ceds.ed.gov/cedselementdetails.aspx?termid=5412")</f>
        <v>https://ceds.ed.gov/cedselementdetails.aspx?termid=5412</v>
      </c>
      <c r="N272" s="3" t="str">
        <f>HYPERLINK("https://ceds.ed.gov/elementComment.aspx?elementName=Assessment Rubric Identifier &amp;elementID=5412", "Click here to submit comment")</f>
        <v>Click here to submit comment</v>
      </c>
    </row>
    <row r="273" spans="1:14" ht="90">
      <c r="A273" s="3" t="s">
        <v>1214</v>
      </c>
      <c r="B273" s="3" t="s">
        <v>1215</v>
      </c>
      <c r="C273" s="3" t="s">
        <v>13</v>
      </c>
      <c r="D273" s="3" t="s">
        <v>6053</v>
      </c>
      <c r="E273" s="3" t="s">
        <v>6018</v>
      </c>
      <c r="F273" s="3" t="s">
        <v>66</v>
      </c>
      <c r="G273" s="3" t="s">
        <v>100</v>
      </c>
      <c r="H273" s="3" t="s">
        <v>1216</v>
      </c>
      <c r="I273" s="3"/>
      <c r="J273" s="3" t="s">
        <v>1217</v>
      </c>
      <c r="K273" s="3"/>
      <c r="L273" s="3" t="s">
        <v>1218</v>
      </c>
      <c r="M273" s="3" t="str">
        <f>HYPERLINK("https://ceds.ed.gov/cedselementdetails.aspx?termid=5411")</f>
        <v>https://ceds.ed.gov/cedselementdetails.aspx?termid=5411</v>
      </c>
      <c r="N273" s="3" t="str">
        <f>HYPERLINK("https://ceds.ed.gov/elementComment.aspx?elementName=Assessment Rubric Title &amp;elementID=5411", "Click here to submit comment")</f>
        <v>Click here to submit comment</v>
      </c>
    </row>
    <row r="274" spans="1:14" ht="90">
      <c r="A274" s="3" t="s">
        <v>1219</v>
      </c>
      <c r="B274" s="3" t="s">
        <v>1220</v>
      </c>
      <c r="C274" s="3" t="s">
        <v>13</v>
      </c>
      <c r="D274" s="3" t="s">
        <v>6053</v>
      </c>
      <c r="E274" s="3" t="s">
        <v>6018</v>
      </c>
      <c r="F274" s="3" t="s">
        <v>66</v>
      </c>
      <c r="G274" s="3" t="s">
        <v>100</v>
      </c>
      <c r="H274" s="3" t="s">
        <v>1221</v>
      </c>
      <c r="I274" s="3"/>
      <c r="J274" s="3" t="s">
        <v>1222</v>
      </c>
      <c r="K274" s="3"/>
      <c r="L274" s="3" t="s">
        <v>1223</v>
      </c>
      <c r="M274" s="3" t="str">
        <f>HYPERLINK("https://ceds.ed.gov/cedselementdetails.aspx?termid=5413")</f>
        <v>https://ceds.ed.gov/cedselementdetails.aspx?termid=5413</v>
      </c>
      <c r="N274" s="3" t="str">
        <f>HYPERLINK("https://ceds.ed.gov/elementComment.aspx?elementName=Assessment Rubric URL Reference &amp;elementID=5413", "Click here to submit comment")</f>
        <v>Click here to submit comment</v>
      </c>
    </row>
    <row r="275" spans="1:14" ht="165">
      <c r="A275" s="3" t="s">
        <v>1224</v>
      </c>
      <c r="B275" s="3" t="s">
        <v>1225</v>
      </c>
      <c r="C275" s="3" t="s">
        <v>5963</v>
      </c>
      <c r="D275" s="3" t="s">
        <v>6054</v>
      </c>
      <c r="E275" s="3" t="s">
        <v>5992</v>
      </c>
      <c r="F275" s="3" t="s">
        <v>3</v>
      </c>
      <c r="G275" s="3"/>
      <c r="H275" s="3"/>
      <c r="I275" s="3"/>
      <c r="J275" s="3" t="s">
        <v>1226</v>
      </c>
      <c r="K275" s="3"/>
      <c r="L275" s="3" t="s">
        <v>1227</v>
      </c>
      <c r="M275" s="3" t="str">
        <f>HYPERLINK("https://ceds.ed.gov/cedselementdetails.aspx?termid=5375")</f>
        <v>https://ceds.ed.gov/cedselementdetails.aspx?termid=5375</v>
      </c>
      <c r="N275" s="3" t="str">
        <f>HYPERLINK("https://ceds.ed.gov/elementComment.aspx?elementName=Assessment Secure Indicator &amp;elementID=5375", "Click here to submit comment")</f>
        <v>Click here to submit comment</v>
      </c>
    </row>
    <row r="276" spans="1:14" ht="195">
      <c r="A276" s="3" t="s">
        <v>1228</v>
      </c>
      <c r="B276" s="3" t="s">
        <v>1229</v>
      </c>
      <c r="C276" s="3" t="s">
        <v>13</v>
      </c>
      <c r="D276" s="3" t="s">
        <v>6055</v>
      </c>
      <c r="E276" s="3"/>
      <c r="F276" s="3"/>
      <c r="G276" s="3" t="s">
        <v>1168</v>
      </c>
      <c r="H276" s="3"/>
      <c r="I276" s="3" t="s">
        <v>1230</v>
      </c>
      <c r="J276" s="3" t="s">
        <v>1231</v>
      </c>
      <c r="K276" s="3"/>
      <c r="L276" s="3" t="s">
        <v>1232</v>
      </c>
      <c r="M276" s="3" t="str">
        <f>HYPERLINK("https://ceds.ed.gov/cedselementdetails.aspx?termid=6024")</f>
        <v>https://ceds.ed.gov/cedselementdetails.aspx?termid=6024</v>
      </c>
      <c r="N276" s="3" t="str">
        <f>HYPERLINK("https://ceds.ed.gov/elementComment.aspx?elementName=Assessment Session Actual End Date Time &amp;elementID=6024", "Click here to submit comment")</f>
        <v>Click here to submit comment</v>
      </c>
    </row>
    <row r="277" spans="1:14" ht="195">
      <c r="A277" s="3" t="s">
        <v>1233</v>
      </c>
      <c r="B277" s="3" t="s">
        <v>1234</v>
      </c>
      <c r="C277" s="3" t="s">
        <v>13</v>
      </c>
      <c r="D277" s="3" t="s">
        <v>6055</v>
      </c>
      <c r="E277" s="3"/>
      <c r="F277" s="3"/>
      <c r="G277" s="3" t="s">
        <v>1168</v>
      </c>
      <c r="H277" s="3"/>
      <c r="I277" s="3" t="s">
        <v>1235</v>
      </c>
      <c r="J277" s="3" t="s">
        <v>1236</v>
      </c>
      <c r="K277" s="3"/>
      <c r="L277" s="3" t="s">
        <v>1237</v>
      </c>
      <c r="M277" s="3" t="str">
        <f>HYPERLINK("https://ceds.ed.gov/cedselementdetails.aspx?termid=6023")</f>
        <v>https://ceds.ed.gov/cedselementdetails.aspx?termid=6023</v>
      </c>
      <c r="N277" s="3" t="str">
        <f>HYPERLINK("https://ceds.ed.gov/elementComment.aspx?elementName=Assessment Session Actual Start Date Time &amp;elementID=6023", "Click here to submit comment")</f>
        <v>Click here to submit comment</v>
      </c>
    </row>
    <row r="278" spans="1:14" ht="150">
      <c r="A278" s="3" t="s">
        <v>1238</v>
      </c>
      <c r="B278" s="3" t="s">
        <v>1239</v>
      </c>
      <c r="C278" s="3" t="s">
        <v>13</v>
      </c>
      <c r="D278" s="3" t="s">
        <v>6056</v>
      </c>
      <c r="E278" s="3" t="s">
        <v>5992</v>
      </c>
      <c r="F278" s="3"/>
      <c r="G278" s="3" t="s">
        <v>1240</v>
      </c>
      <c r="H278" s="3"/>
      <c r="I278" s="3"/>
      <c r="J278" s="3" t="s">
        <v>1241</v>
      </c>
      <c r="K278" s="3"/>
      <c r="L278" s="3" t="s">
        <v>1242</v>
      </c>
      <c r="M278" s="3" t="str">
        <f>HYPERLINK("https://ceds.ed.gov/cedselementdetails.aspx?termid=5400")</f>
        <v>https://ceds.ed.gov/cedselementdetails.aspx?termid=5400</v>
      </c>
      <c r="N278" s="3" t="str">
        <f>HYPERLINK("https://ceds.ed.gov/elementComment.aspx?elementName=Assessment Session Administrator Identifier &amp;elementID=5400", "Click here to submit comment")</f>
        <v>Click here to submit comment</v>
      </c>
    </row>
    <row r="279" spans="1:14" ht="60">
      <c r="A279" s="3" t="s">
        <v>1243</v>
      </c>
      <c r="B279" s="3" t="s">
        <v>1244</v>
      </c>
      <c r="C279" s="3" t="s">
        <v>13</v>
      </c>
      <c r="D279" s="3" t="s">
        <v>6057</v>
      </c>
      <c r="E279" s="3" t="s">
        <v>5992</v>
      </c>
      <c r="F279" s="3"/>
      <c r="G279" s="3" t="s">
        <v>808</v>
      </c>
      <c r="H279" s="3"/>
      <c r="I279" s="3"/>
      <c r="J279" s="3" t="s">
        <v>1245</v>
      </c>
      <c r="K279" s="3"/>
      <c r="L279" s="3" t="s">
        <v>1246</v>
      </c>
      <c r="M279" s="3" t="str">
        <f>HYPERLINK("https://ceds.ed.gov/cedselementdetails.aspx?termid=5399")</f>
        <v>https://ceds.ed.gov/cedselementdetails.aspx?termid=5399</v>
      </c>
      <c r="N279" s="3" t="str">
        <f>HYPERLINK("https://ceds.ed.gov/elementComment.aspx?elementName=Assessment Session Allotted Time &amp;elementID=5399", "Click here to submit comment")</f>
        <v>Click here to submit comment</v>
      </c>
    </row>
    <row r="280" spans="1:14" ht="240">
      <c r="A280" s="3" t="s">
        <v>1247</v>
      </c>
      <c r="B280" s="3" t="s">
        <v>1248</v>
      </c>
      <c r="C280" s="3" t="s">
        <v>13</v>
      </c>
      <c r="D280" s="3" t="s">
        <v>6058</v>
      </c>
      <c r="E280" s="3" t="s">
        <v>5992</v>
      </c>
      <c r="F280" s="3"/>
      <c r="G280" s="3" t="s">
        <v>1249</v>
      </c>
      <c r="H280" s="3"/>
      <c r="I280" s="3"/>
      <c r="J280" s="3" t="s">
        <v>1250</v>
      </c>
      <c r="K280" s="3"/>
      <c r="L280" s="3" t="s">
        <v>1251</v>
      </c>
      <c r="M280" s="3" t="str">
        <f>HYPERLINK("https://ceds.ed.gov/cedselementdetails.aspx?termid=5590")</f>
        <v>https://ceds.ed.gov/cedselementdetails.aspx?termid=5590</v>
      </c>
      <c r="N280" s="3" t="str">
        <f>HYPERLINK("https://ceds.ed.gov/elementComment.aspx?elementName=Assessment Session Location &amp;elementID=5590", "Click here to submit comment")</f>
        <v>Click here to submit comment</v>
      </c>
    </row>
    <row r="281" spans="1:14" ht="150">
      <c r="A281" s="3" t="s">
        <v>1252</v>
      </c>
      <c r="B281" s="3" t="s">
        <v>1253</v>
      </c>
      <c r="C281" s="3" t="s">
        <v>13</v>
      </c>
      <c r="D281" s="3" t="s">
        <v>6056</v>
      </c>
      <c r="E281" s="3" t="s">
        <v>5992</v>
      </c>
      <c r="F281" s="3"/>
      <c r="G281" s="3" t="s">
        <v>1240</v>
      </c>
      <c r="H281" s="3"/>
      <c r="I281" s="3" t="s">
        <v>1254</v>
      </c>
      <c r="J281" s="3" t="s">
        <v>1255</v>
      </c>
      <c r="K281" s="3"/>
      <c r="L281" s="3" t="s">
        <v>1256</v>
      </c>
      <c r="M281" s="3" t="str">
        <f>HYPERLINK("https://ceds.ed.gov/cedselementdetails.aspx?termid=5401")</f>
        <v>https://ceds.ed.gov/cedselementdetails.aspx?termid=5401</v>
      </c>
      <c r="N281" s="3" t="str">
        <f>HYPERLINK("https://ceds.ed.gov/elementComment.aspx?elementName=Assessment Session Proctor Identifier &amp;elementID=5401", "Click here to submit comment")</f>
        <v>Click here to submit comment</v>
      </c>
    </row>
    <row r="282" spans="1:14" ht="105">
      <c r="A282" s="3" t="s">
        <v>1257</v>
      </c>
      <c r="B282" s="3" t="s">
        <v>1258</v>
      </c>
      <c r="C282" s="3" t="s">
        <v>13</v>
      </c>
      <c r="D282" s="3" t="s">
        <v>6059</v>
      </c>
      <c r="E282" s="3"/>
      <c r="F282" s="3"/>
      <c r="G282" s="3" t="s">
        <v>1168</v>
      </c>
      <c r="H282" s="3"/>
      <c r="I282" s="3"/>
      <c r="J282" s="3" t="s">
        <v>1259</v>
      </c>
      <c r="K282" s="3"/>
      <c r="L282" s="3" t="s">
        <v>1260</v>
      </c>
      <c r="M282" s="3" t="str">
        <f>HYPERLINK("https://ceds.ed.gov/cedselementdetails.aspx?termid=6022")</f>
        <v>https://ceds.ed.gov/cedselementdetails.aspx?termid=6022</v>
      </c>
      <c r="N282" s="3" t="str">
        <f>HYPERLINK("https://ceds.ed.gov/elementComment.aspx?elementName=Assessment Session Scheduled End Date Time &amp;elementID=6022", "Click here to submit comment")</f>
        <v>Click here to submit comment</v>
      </c>
    </row>
    <row r="283" spans="1:14" ht="105">
      <c r="A283" s="3" t="s">
        <v>1261</v>
      </c>
      <c r="B283" s="3" t="s">
        <v>1262</v>
      </c>
      <c r="C283" s="3" t="s">
        <v>13</v>
      </c>
      <c r="D283" s="3" t="s">
        <v>6059</v>
      </c>
      <c r="E283" s="3"/>
      <c r="F283" s="3"/>
      <c r="G283" s="3" t="s">
        <v>1168</v>
      </c>
      <c r="H283" s="3"/>
      <c r="I283" s="3"/>
      <c r="J283" s="3" t="s">
        <v>1263</v>
      </c>
      <c r="K283" s="3"/>
      <c r="L283" s="3" t="s">
        <v>1264</v>
      </c>
      <c r="M283" s="3" t="str">
        <f>HYPERLINK("https://ceds.ed.gov/cedselementdetails.aspx?termid=6021")</f>
        <v>https://ceds.ed.gov/cedselementdetails.aspx?termid=6021</v>
      </c>
      <c r="N283" s="3" t="str">
        <f>HYPERLINK("https://ceds.ed.gov/elementComment.aspx?elementName=Assessment Session Scheduled Start Date Time &amp;elementID=6021", "Click here to submit comment")</f>
        <v>Click here to submit comment</v>
      </c>
    </row>
    <row r="284" spans="1:14" ht="150">
      <c r="A284" s="3" t="s">
        <v>1265</v>
      </c>
      <c r="B284" s="3" t="s">
        <v>1266</v>
      </c>
      <c r="C284" s="3" t="s">
        <v>13</v>
      </c>
      <c r="D284" s="3" t="s">
        <v>6060</v>
      </c>
      <c r="E284" s="3"/>
      <c r="F284" s="3"/>
      <c r="G284" s="3" t="s">
        <v>93</v>
      </c>
      <c r="H284" s="3"/>
      <c r="I284" s="3" t="s">
        <v>835</v>
      </c>
      <c r="J284" s="3" t="s">
        <v>1267</v>
      </c>
      <c r="K284" s="3"/>
      <c r="L284" s="3" t="s">
        <v>1268</v>
      </c>
      <c r="M284" s="3" t="str">
        <f>HYPERLINK("https://ceds.ed.gov/cedselementdetails.aspx?termid=5969")</f>
        <v>https://ceds.ed.gov/cedselementdetails.aspx?termid=5969</v>
      </c>
      <c r="N284" s="3" t="str">
        <f>HYPERLINK("https://ceds.ed.gov/elementComment.aspx?elementName=Assessment Session Security Issue &amp;elementID=5969", "Click here to submit comment")</f>
        <v>Click here to submit comment</v>
      </c>
    </row>
    <row r="285" spans="1:14" ht="409.5">
      <c r="A285" s="3" t="s">
        <v>1269</v>
      </c>
      <c r="B285" s="3" t="s">
        <v>1270</v>
      </c>
      <c r="C285" s="4" t="s">
        <v>6403</v>
      </c>
      <c r="D285" s="3" t="s">
        <v>6058</v>
      </c>
      <c r="E285" s="3" t="s">
        <v>5992</v>
      </c>
      <c r="F285" s="3"/>
      <c r="G285" s="3"/>
      <c r="H285" s="3"/>
      <c r="I285" s="3"/>
      <c r="J285" s="3" t="s">
        <v>1271</v>
      </c>
      <c r="K285" s="3"/>
      <c r="L285" s="3" t="s">
        <v>1272</v>
      </c>
      <c r="M285" s="3" t="str">
        <f>HYPERLINK("https://ceds.ed.gov/cedselementdetails.aspx?termid=5380")</f>
        <v>https://ceds.ed.gov/cedselementdetails.aspx?termid=5380</v>
      </c>
      <c r="N285" s="3" t="str">
        <f>HYPERLINK("https://ceds.ed.gov/elementComment.aspx?elementName=Assessment Session Special Circumstance Type &amp;elementID=5380", "Click here to submit comment")</f>
        <v>Click here to submit comment</v>
      </c>
    </row>
    <row r="286" spans="1:14" ht="150">
      <c r="A286" s="3" t="s">
        <v>1273</v>
      </c>
      <c r="B286" s="3" t="s">
        <v>1274</v>
      </c>
      <c r="C286" s="3" t="s">
        <v>13</v>
      </c>
      <c r="D286" s="3" t="s">
        <v>6060</v>
      </c>
      <c r="E286" s="3"/>
      <c r="F286" s="3"/>
      <c r="G286" s="3" t="s">
        <v>106</v>
      </c>
      <c r="H286" s="3"/>
      <c r="I286" s="3"/>
      <c r="J286" s="3" t="s">
        <v>1275</v>
      </c>
      <c r="K286" s="3"/>
      <c r="L286" s="3" t="s">
        <v>1276</v>
      </c>
      <c r="M286" s="3" t="str">
        <f>HYPERLINK("https://ceds.ed.gov/cedselementdetails.aspx?termid=6077")</f>
        <v>https://ceds.ed.gov/cedselementdetails.aspx?termid=6077</v>
      </c>
      <c r="N286" s="3" t="str">
        <f>HYPERLINK("https://ceds.ed.gov/elementComment.aspx?elementName=Assessment Session Special Event Description &amp;elementID=6077", "Click here to submit comment")</f>
        <v>Click here to submit comment</v>
      </c>
    </row>
    <row r="287" spans="1:14" ht="120">
      <c r="A287" s="3" t="s">
        <v>1277</v>
      </c>
      <c r="B287" s="3" t="s">
        <v>1278</v>
      </c>
      <c r="C287" s="3" t="s">
        <v>6061</v>
      </c>
      <c r="D287" s="3" t="s">
        <v>6057</v>
      </c>
      <c r="E287" s="3"/>
      <c r="F287" s="3"/>
      <c r="G287" s="3"/>
      <c r="H287" s="3"/>
      <c r="I287" s="3"/>
      <c r="J287" s="3" t="s">
        <v>1279</v>
      </c>
      <c r="K287" s="3"/>
      <c r="L287" s="3" t="s">
        <v>1280</v>
      </c>
      <c r="M287" s="3" t="str">
        <f>HYPERLINK("https://ceds.ed.gov/cedselementdetails.aspx?termid=6179")</f>
        <v>https://ceds.ed.gov/cedselementdetails.aspx?termid=6179</v>
      </c>
      <c r="N287" s="3" t="str">
        <f>HYPERLINK("https://ceds.ed.gov/elementComment.aspx?elementName=Assessment Session Staff Role Type &amp;elementID=6179", "Click here to submit comment")</f>
        <v>Click here to submit comment</v>
      </c>
    </row>
    <row r="288" spans="1:14" ht="60">
      <c r="A288" s="3" t="s">
        <v>1281</v>
      </c>
      <c r="B288" s="3" t="s">
        <v>1282</v>
      </c>
      <c r="C288" s="3" t="s">
        <v>6062</v>
      </c>
      <c r="D288" s="3" t="s">
        <v>6057</v>
      </c>
      <c r="E288" s="3"/>
      <c r="F288" s="3"/>
      <c r="G288" s="3"/>
      <c r="H288" s="3"/>
      <c r="I288" s="3"/>
      <c r="J288" s="3" t="s">
        <v>1283</v>
      </c>
      <c r="K288" s="3"/>
      <c r="L288" s="3" t="s">
        <v>1284</v>
      </c>
      <c r="M288" s="3" t="str">
        <f>HYPERLINK("https://ceds.ed.gov/cedselementdetails.aspx?termid=6020")</f>
        <v>https://ceds.ed.gov/cedselementdetails.aspx?termid=6020</v>
      </c>
      <c r="N288" s="3" t="str">
        <f>HYPERLINK("https://ceds.ed.gov/elementComment.aspx?elementName=Assessment Session Type &amp;elementID=6020", "Click here to submit comment")</f>
        <v>Click here to submit comment</v>
      </c>
    </row>
    <row r="289" spans="1:14" ht="45">
      <c r="A289" s="3" t="s">
        <v>1285</v>
      </c>
      <c r="B289" s="3" t="s">
        <v>1286</v>
      </c>
      <c r="C289" s="3" t="s">
        <v>5963</v>
      </c>
      <c r="D289" s="3" t="s">
        <v>1287</v>
      </c>
      <c r="E289" s="3" t="s">
        <v>65</v>
      </c>
      <c r="F289" s="3"/>
      <c r="G289" s="3"/>
      <c r="H289" s="3"/>
      <c r="I289" s="3"/>
      <c r="J289" s="3" t="s">
        <v>1288</v>
      </c>
      <c r="K289" s="3"/>
      <c r="L289" s="3" t="s">
        <v>1289</v>
      </c>
      <c r="M289" s="3" t="str">
        <f>HYPERLINK("https://ceds.ed.gov/cedselementdetails.aspx?termid=5858")</f>
        <v>https://ceds.ed.gov/cedselementdetails.aspx?termid=5858</v>
      </c>
      <c r="N289" s="3" t="str">
        <f>HYPERLINK("https://ceds.ed.gov/elementComment.aspx?elementName=Assessment Shared With Parents &amp;elementID=5858", "Click here to submit comment")</f>
        <v>Click here to submit comment</v>
      </c>
    </row>
    <row r="290" spans="1:14" ht="45">
      <c r="A290" s="3" t="s">
        <v>1290</v>
      </c>
      <c r="B290" s="3" t="s">
        <v>1291</v>
      </c>
      <c r="C290" s="3" t="s">
        <v>13</v>
      </c>
      <c r="D290" s="3" t="s">
        <v>6011</v>
      </c>
      <c r="E290" s="3"/>
      <c r="F290" s="3"/>
      <c r="G290" s="3" t="s">
        <v>100</v>
      </c>
      <c r="H290" s="3"/>
      <c r="I290" s="3"/>
      <c r="J290" s="3" t="s">
        <v>1292</v>
      </c>
      <c r="K290" s="3"/>
      <c r="L290" s="3" t="s">
        <v>1293</v>
      </c>
      <c r="M290" s="3" t="str">
        <f>HYPERLINK("https://ceds.ed.gov/cedselementdetails.aspx?termid=5932")</f>
        <v>https://ceds.ed.gov/cedselementdetails.aspx?termid=5932</v>
      </c>
      <c r="N290" s="3" t="str">
        <f>HYPERLINK("https://ceds.ed.gov/elementComment.aspx?elementName=Assessment Short Name &amp;elementID=5932", "Click here to submit comment")</f>
        <v>Click here to submit comment</v>
      </c>
    </row>
    <row r="291" spans="1:14" ht="135">
      <c r="A291" s="3" t="s">
        <v>1294</v>
      </c>
      <c r="B291" s="3" t="s">
        <v>1295</v>
      </c>
      <c r="C291" s="3" t="s">
        <v>13</v>
      </c>
      <c r="D291" s="3" t="s">
        <v>5999</v>
      </c>
      <c r="E291" s="3" t="s">
        <v>6063</v>
      </c>
      <c r="F291" s="3"/>
      <c r="G291" s="3" t="s">
        <v>100</v>
      </c>
      <c r="H291" s="3"/>
      <c r="I291" s="3"/>
      <c r="J291" s="3" t="s">
        <v>1296</v>
      </c>
      <c r="K291" s="3"/>
      <c r="L291" s="3" t="s">
        <v>1297</v>
      </c>
      <c r="M291" s="3" t="str">
        <f>HYPERLINK("https://ceds.ed.gov/cedselementdetails.aspx?termid=5367")</f>
        <v>https://ceds.ed.gov/cedselementdetails.aspx?termid=5367</v>
      </c>
      <c r="N291" s="3" t="str">
        <f>HYPERLINK("https://ceds.ed.gov/elementComment.aspx?elementName=Assessment Subtest Abbreviation &amp;elementID=5367", "Click here to submit comment")</f>
        <v>Click here to submit comment</v>
      </c>
    </row>
    <row r="292" spans="1:14" ht="150">
      <c r="A292" s="3" t="s">
        <v>1298</v>
      </c>
      <c r="B292" s="3" t="s">
        <v>1299</v>
      </c>
      <c r="C292" s="3" t="s">
        <v>13</v>
      </c>
      <c r="D292" s="3" t="s">
        <v>5999</v>
      </c>
      <c r="E292" s="3" t="s">
        <v>6006</v>
      </c>
      <c r="F292" s="3"/>
      <c r="G292" s="3" t="s">
        <v>106</v>
      </c>
      <c r="H292" s="3"/>
      <c r="I292" s="3"/>
      <c r="J292" s="3" t="s">
        <v>1300</v>
      </c>
      <c r="K292" s="3"/>
      <c r="L292" s="3" t="s">
        <v>1301</v>
      </c>
      <c r="M292" s="3" t="str">
        <f>HYPERLINK("https://ceds.ed.gov/cedselementdetails.aspx?termid=5274")</f>
        <v>https://ceds.ed.gov/cedselementdetails.aspx?termid=5274</v>
      </c>
      <c r="N292" s="3" t="str">
        <f>HYPERLINK("https://ceds.ed.gov/elementComment.aspx?elementName=Assessment Subtest Description &amp;elementID=5274", "Click here to submit comment")</f>
        <v>Click here to submit comment</v>
      </c>
    </row>
    <row r="293" spans="1:14" ht="135">
      <c r="A293" s="3" t="s">
        <v>1302</v>
      </c>
      <c r="B293" s="3" t="s">
        <v>1303</v>
      </c>
      <c r="C293" s="3" t="s">
        <v>13</v>
      </c>
      <c r="D293" s="3" t="s">
        <v>5999</v>
      </c>
      <c r="E293" s="3" t="s">
        <v>6064</v>
      </c>
      <c r="F293" s="3"/>
      <c r="G293" s="3" t="s">
        <v>100</v>
      </c>
      <c r="H293" s="3"/>
      <c r="I293" s="3"/>
      <c r="J293" s="3" t="s">
        <v>1304</v>
      </c>
      <c r="K293" s="3"/>
      <c r="L293" s="3" t="s">
        <v>1305</v>
      </c>
      <c r="M293" s="3" t="str">
        <f>HYPERLINK("https://ceds.ed.gov/cedselementdetails.aspx?termid=5366")</f>
        <v>https://ceds.ed.gov/cedselementdetails.aspx?termid=5366</v>
      </c>
      <c r="N293" s="3" t="str">
        <f>HYPERLINK("https://ceds.ed.gov/elementComment.aspx?elementName=Assessment Subtest Identifier &amp;elementID=5366", "Click here to submit comment")</f>
        <v>Click here to submit comment</v>
      </c>
    </row>
    <row r="294" spans="1:14" ht="75">
      <c r="A294" s="3" t="s">
        <v>1306</v>
      </c>
      <c r="B294" s="3" t="s">
        <v>1307</v>
      </c>
      <c r="C294" s="3" t="s">
        <v>6065</v>
      </c>
      <c r="D294" s="3" t="s">
        <v>6009</v>
      </c>
      <c r="E294" s="3"/>
      <c r="F294" s="3"/>
      <c r="G294" s="3"/>
      <c r="H294" s="3"/>
      <c r="I294" s="3"/>
      <c r="J294" s="3" t="s">
        <v>1308</v>
      </c>
      <c r="K294" s="3"/>
      <c r="L294" s="3" t="s">
        <v>1309</v>
      </c>
      <c r="M294" s="3" t="str">
        <f>HYPERLINK("https://ceds.ed.gov/cedselementdetails.aspx?termid=6016")</f>
        <v>https://ceds.ed.gov/cedselementdetails.aspx?termid=6016</v>
      </c>
      <c r="N294" s="3" t="str">
        <f>HYPERLINK("https://ceds.ed.gov/elementComment.aspx?elementName=Assessment Subtest Identifier Type &amp;elementID=6016", "Click here to submit comment")</f>
        <v>Click here to submit comment</v>
      </c>
    </row>
    <row r="295" spans="1:14" ht="60">
      <c r="A295" s="3" t="s">
        <v>1310</v>
      </c>
      <c r="B295" s="3" t="s">
        <v>1311</v>
      </c>
      <c r="C295" s="3" t="s">
        <v>13</v>
      </c>
      <c r="D295" s="3" t="s">
        <v>6009</v>
      </c>
      <c r="E295" s="3" t="s">
        <v>5992</v>
      </c>
      <c r="F295" s="3"/>
      <c r="G295" s="3" t="s">
        <v>100</v>
      </c>
      <c r="H295" s="3"/>
      <c r="I295" s="3"/>
      <c r="J295" s="3" t="s">
        <v>1312</v>
      </c>
      <c r="K295" s="3"/>
      <c r="L295" s="3" t="s">
        <v>1313</v>
      </c>
      <c r="M295" s="3" t="str">
        <f>HYPERLINK("https://ceds.ed.gov/cedselementdetails.aspx?termid=5388")</f>
        <v>https://ceds.ed.gov/cedselementdetails.aspx?termid=5388</v>
      </c>
      <c r="N295" s="3" t="str">
        <f>HYPERLINK("https://ceds.ed.gov/elementComment.aspx?elementName=Assessment Subtest Maximum Value &amp;elementID=5388", "Click here to submit comment")</f>
        <v>Click here to submit comment</v>
      </c>
    </row>
    <row r="296" spans="1:14" ht="60">
      <c r="A296" s="3" t="s">
        <v>1314</v>
      </c>
      <c r="B296" s="3" t="s">
        <v>1315</v>
      </c>
      <c r="C296" s="3" t="s">
        <v>13</v>
      </c>
      <c r="D296" s="3" t="s">
        <v>6009</v>
      </c>
      <c r="E296" s="3" t="s">
        <v>5992</v>
      </c>
      <c r="F296" s="3"/>
      <c r="G296" s="3" t="s">
        <v>100</v>
      </c>
      <c r="H296" s="3"/>
      <c r="I296" s="3"/>
      <c r="J296" s="3" t="s">
        <v>1316</v>
      </c>
      <c r="K296" s="3"/>
      <c r="L296" s="3" t="s">
        <v>1317</v>
      </c>
      <c r="M296" s="3" t="str">
        <f>HYPERLINK("https://ceds.ed.gov/cedselementdetails.aspx?termid=5387")</f>
        <v>https://ceds.ed.gov/cedselementdetails.aspx?termid=5387</v>
      </c>
      <c r="N296" s="3" t="str">
        <f>HYPERLINK("https://ceds.ed.gov/elementComment.aspx?elementName=Assessment Subtest Minimum Value &amp;elementID=5387", "Click here to submit comment")</f>
        <v>Click here to submit comment</v>
      </c>
    </row>
    <row r="297" spans="1:14" ht="105">
      <c r="A297" s="3" t="s">
        <v>1318</v>
      </c>
      <c r="B297" s="3" t="s">
        <v>1319</v>
      </c>
      <c r="C297" s="3" t="s">
        <v>13</v>
      </c>
      <c r="D297" s="3" t="s">
        <v>6066</v>
      </c>
      <c r="E297" s="3" t="s">
        <v>6018</v>
      </c>
      <c r="F297" s="3"/>
      <c r="G297" s="3" t="s">
        <v>100</v>
      </c>
      <c r="H297" s="3"/>
      <c r="I297" s="3" t="s">
        <v>1320</v>
      </c>
      <c r="J297" s="3" t="s">
        <v>1321</v>
      </c>
      <c r="K297" s="3"/>
      <c r="L297" s="3" t="s">
        <v>1322</v>
      </c>
      <c r="M297" s="3" t="str">
        <f>HYPERLINK("https://ceds.ed.gov/cedselementdetails.aspx?termid=5389")</f>
        <v>https://ceds.ed.gov/cedselementdetails.aspx?termid=5389</v>
      </c>
      <c r="N297" s="3" t="str">
        <f>HYPERLINK("https://ceds.ed.gov/elementComment.aspx?elementName=Assessment Subtest Optimal Value &amp;elementID=5389", "Click here to submit comment")</f>
        <v>Click here to submit comment</v>
      </c>
    </row>
    <row r="298" spans="1:14" ht="60">
      <c r="A298" s="3" t="s">
        <v>1323</v>
      </c>
      <c r="B298" s="3" t="s">
        <v>1324</v>
      </c>
      <c r="C298" s="3" t="s">
        <v>13</v>
      </c>
      <c r="D298" s="3" t="s">
        <v>6009</v>
      </c>
      <c r="E298" s="3"/>
      <c r="F298" s="3"/>
      <c r="G298" s="3" t="s">
        <v>73</v>
      </c>
      <c r="H298" s="3"/>
      <c r="I298" s="3"/>
      <c r="J298" s="3" t="s">
        <v>1325</v>
      </c>
      <c r="K298" s="3"/>
      <c r="L298" s="3" t="s">
        <v>1326</v>
      </c>
      <c r="M298" s="3" t="str">
        <f>HYPERLINK("https://ceds.ed.gov/cedselementdetails.aspx?termid=6075")</f>
        <v>https://ceds.ed.gov/cedselementdetails.aspx?termid=6075</v>
      </c>
      <c r="N298" s="3" t="str">
        <f>HYPERLINK("https://ceds.ed.gov/elementComment.aspx?elementName=Assessment Subtest Published Date &amp;elementID=6075", "Click here to submit comment")</f>
        <v>Click here to submit comment</v>
      </c>
    </row>
    <row r="299" spans="1:14" ht="75">
      <c r="A299" s="3" t="s">
        <v>1327</v>
      </c>
      <c r="B299" s="3" t="s">
        <v>1328</v>
      </c>
      <c r="C299" s="3" t="s">
        <v>13</v>
      </c>
      <c r="D299" s="3" t="s">
        <v>6067</v>
      </c>
      <c r="E299" s="3"/>
      <c r="F299" s="3"/>
      <c r="G299" s="3" t="s">
        <v>73</v>
      </c>
      <c r="H299" s="3"/>
      <c r="I299" s="3"/>
      <c r="J299" s="3" t="s">
        <v>1329</v>
      </c>
      <c r="K299" s="3"/>
      <c r="L299" s="3" t="s">
        <v>1330</v>
      </c>
      <c r="M299" s="3" t="str">
        <f>HYPERLINK("https://ceds.ed.gov/cedselementdetails.aspx?termid=5972")</f>
        <v>https://ceds.ed.gov/cedselementdetails.aspx?termid=5972</v>
      </c>
      <c r="N299" s="3" t="str">
        <f>HYPERLINK("https://ceds.ed.gov/elementComment.aspx?elementName=Assessment Subtest Result Date Created &amp;elementID=5972", "Click here to submit comment")</f>
        <v>Click here to submit comment</v>
      </c>
    </row>
    <row r="300" spans="1:14" ht="135">
      <c r="A300" s="3" t="s">
        <v>1331</v>
      </c>
      <c r="B300" s="3" t="s">
        <v>1332</v>
      </c>
      <c r="C300" s="3" t="s">
        <v>13</v>
      </c>
      <c r="D300" s="3" t="s">
        <v>6067</v>
      </c>
      <c r="E300" s="3"/>
      <c r="F300" s="3"/>
      <c r="G300" s="3" t="s">
        <v>73</v>
      </c>
      <c r="H300" s="3"/>
      <c r="I300" s="3" t="s">
        <v>1333</v>
      </c>
      <c r="J300" s="3" t="s">
        <v>1334</v>
      </c>
      <c r="K300" s="3"/>
      <c r="L300" s="3" t="s">
        <v>1335</v>
      </c>
      <c r="M300" s="3" t="str">
        <f>HYPERLINK("https://ceds.ed.gov/cedselementdetails.aspx?termid=5971")</f>
        <v>https://ceds.ed.gov/cedselementdetails.aspx?termid=5971</v>
      </c>
      <c r="N300" s="3" t="str">
        <f>HYPERLINK("https://ceds.ed.gov/elementComment.aspx?elementName=Assessment Subtest Result Date Updated &amp;elementID=5971", "Click here to submit comment")</f>
        <v>Click here to submit comment</v>
      </c>
    </row>
    <row r="301" spans="1:14" ht="120">
      <c r="A301" s="3" t="s">
        <v>1336</v>
      </c>
      <c r="B301" s="3" t="s">
        <v>1337</v>
      </c>
      <c r="C301" s="3" t="s">
        <v>13</v>
      </c>
      <c r="D301" s="3" t="s">
        <v>6068</v>
      </c>
      <c r="E301" s="3" t="s">
        <v>493</v>
      </c>
      <c r="F301" s="3"/>
      <c r="G301" s="3" t="s">
        <v>93</v>
      </c>
      <c r="H301" s="3"/>
      <c r="I301" s="3"/>
      <c r="J301" s="3" t="s">
        <v>1338</v>
      </c>
      <c r="K301" s="3"/>
      <c r="L301" s="3" t="s">
        <v>1339</v>
      </c>
      <c r="M301" s="3" t="str">
        <f>HYPERLINK("https://ceds.ed.gov/cedselementdetails.aspx?termid=5890")</f>
        <v>https://ceds.ed.gov/cedselementdetails.aspx?termid=5890</v>
      </c>
      <c r="N301" s="3" t="str">
        <f>HYPERLINK("https://ceds.ed.gov/elementComment.aspx?elementName=Assessment Subtest Result Descriptive Feedback &amp;elementID=5890", "Click here to submit comment")</f>
        <v>Click here to submit comment</v>
      </c>
    </row>
    <row r="302" spans="1:14" ht="120">
      <c r="A302" s="3" t="s">
        <v>1340</v>
      </c>
      <c r="B302" s="3" t="s">
        <v>1341</v>
      </c>
      <c r="C302" s="3" t="s">
        <v>13</v>
      </c>
      <c r="D302" s="3" t="s">
        <v>6067</v>
      </c>
      <c r="E302" s="3"/>
      <c r="F302" s="3"/>
      <c r="G302" s="3" t="s">
        <v>106</v>
      </c>
      <c r="H302" s="3"/>
      <c r="I302" s="3"/>
      <c r="J302" s="3" t="s">
        <v>1342</v>
      </c>
      <c r="K302" s="3"/>
      <c r="L302" s="3" t="s">
        <v>1343</v>
      </c>
      <c r="M302" s="3" t="str">
        <f>HYPERLINK("https://ceds.ed.gov/cedselementdetails.aspx?termid=6076")</f>
        <v>https://ceds.ed.gov/cedselementdetails.aspx?termid=6076</v>
      </c>
      <c r="N302" s="3" t="str">
        <f>HYPERLINK("https://ceds.ed.gov/elementComment.aspx?elementName=Assessment Subtest Result Descriptive Feedback Source &amp;elementID=6076", "Click here to submit comment")</f>
        <v>Click here to submit comment</v>
      </c>
    </row>
    <row r="303" spans="1:14" ht="120">
      <c r="A303" s="3" t="s">
        <v>1344</v>
      </c>
      <c r="B303" s="3" t="s">
        <v>1345</v>
      </c>
      <c r="C303" s="3" t="s">
        <v>13</v>
      </c>
      <c r="D303" s="3" t="s">
        <v>6067</v>
      </c>
      <c r="E303" s="3"/>
      <c r="F303" s="3"/>
      <c r="G303" s="3" t="s">
        <v>319</v>
      </c>
      <c r="H303" s="3"/>
      <c r="I303" s="3"/>
      <c r="J303" s="3" t="s">
        <v>1346</v>
      </c>
      <c r="K303" s="3"/>
      <c r="L303" s="3" t="s">
        <v>1347</v>
      </c>
      <c r="M303" s="3" t="str">
        <f>HYPERLINK("https://ceds.ed.gov/cedselementdetails.aspx?termid=6185")</f>
        <v>https://ceds.ed.gov/cedselementdetails.aspx?termid=6185</v>
      </c>
      <c r="N303" s="3" t="str">
        <f>HYPERLINK("https://ceds.ed.gov/elementComment.aspx?elementName=Assessment Subtest Result Diagnostic Statement &amp;elementID=6185", "Click here to submit comment")</f>
        <v>Click here to submit comment</v>
      </c>
    </row>
    <row r="304" spans="1:14" ht="60">
      <c r="A304" s="3" t="s">
        <v>1348</v>
      </c>
      <c r="B304" s="3" t="s">
        <v>1349</v>
      </c>
      <c r="C304" s="3" t="s">
        <v>5963</v>
      </c>
      <c r="D304" s="3" t="s">
        <v>1350</v>
      </c>
      <c r="E304" s="3" t="s">
        <v>218</v>
      </c>
      <c r="F304" s="3"/>
      <c r="G304" s="3"/>
      <c r="H304" s="3"/>
      <c r="I304" s="3"/>
      <c r="J304" s="3" t="s">
        <v>1351</v>
      </c>
      <c r="K304" s="3" t="s">
        <v>1352</v>
      </c>
      <c r="L304" s="3" t="s">
        <v>1353</v>
      </c>
      <c r="M304" s="3" t="str">
        <f>HYPERLINK("https://ceds.ed.gov/cedselementdetails.aspx?termid=5568")</f>
        <v>https://ceds.ed.gov/cedselementdetails.aspx?termid=5568</v>
      </c>
      <c r="N304" s="3" t="str">
        <f>HYPERLINK("https://ceds.ed.gov/elementComment.aspx?elementName=Assessment Subtest Result Included in Adequate Yearly Progress Calculation &amp;elementID=5568", "Click here to submit comment")</f>
        <v>Click here to submit comment</v>
      </c>
    </row>
    <row r="305" spans="1:14" ht="120">
      <c r="A305" s="3" t="s">
        <v>1354</v>
      </c>
      <c r="B305" s="3" t="s">
        <v>1355</v>
      </c>
      <c r="C305" s="3" t="s">
        <v>13</v>
      </c>
      <c r="D305" s="3" t="s">
        <v>6067</v>
      </c>
      <c r="E305" s="3"/>
      <c r="F305" s="3"/>
      <c r="G305" s="3" t="s">
        <v>1173</v>
      </c>
      <c r="H305" s="3"/>
      <c r="I305" s="3"/>
      <c r="J305" s="3" t="s">
        <v>1356</v>
      </c>
      <c r="K305" s="3"/>
      <c r="L305" s="3" t="s">
        <v>1357</v>
      </c>
      <c r="M305" s="3" t="str">
        <f>HYPERLINK("https://ceds.ed.gov/cedselementdetails.aspx?termid=6012")</f>
        <v>https://ceds.ed.gov/cedselementdetails.aspx?termid=6012</v>
      </c>
      <c r="N305" s="3" t="str">
        <f>HYPERLINK("https://ceds.ed.gov/elementComment.aspx?elementName=Assessment Subtest Result Number of Responses &amp;elementID=6012", "Click here to submit comment")</f>
        <v>Click here to submit comment</v>
      </c>
    </row>
    <row r="306" spans="1:14" ht="75">
      <c r="A306" s="3" t="s">
        <v>1358</v>
      </c>
      <c r="B306" s="3" t="s">
        <v>1359</v>
      </c>
      <c r="C306" s="3" t="s">
        <v>5963</v>
      </c>
      <c r="D306" s="3" t="s">
        <v>6067</v>
      </c>
      <c r="E306" s="3"/>
      <c r="F306" s="3"/>
      <c r="G306" s="3"/>
      <c r="H306" s="3"/>
      <c r="I306" s="3"/>
      <c r="J306" s="3" t="s">
        <v>1360</v>
      </c>
      <c r="K306" s="3"/>
      <c r="L306" s="3" t="s">
        <v>1361</v>
      </c>
      <c r="M306" s="3" t="str">
        <f>HYPERLINK("https://ceds.ed.gov/cedselementdetails.aspx?termid=6010")</f>
        <v>https://ceds.ed.gov/cedselementdetails.aspx?termid=6010</v>
      </c>
      <c r="N306" s="3" t="str">
        <f>HYPERLINK("https://ceds.ed.gov/elementComment.aspx?elementName=Assessment Subtest Result Preliminary Indicator &amp;elementID=6010", "Click here to submit comment")</f>
        <v>Click here to submit comment</v>
      </c>
    </row>
    <row r="307" spans="1:14" ht="120">
      <c r="A307" s="3" t="s">
        <v>1362</v>
      </c>
      <c r="B307" s="3" t="s">
        <v>1363</v>
      </c>
      <c r="C307" s="4" t="s">
        <v>6404</v>
      </c>
      <c r="D307" s="3" t="s">
        <v>6068</v>
      </c>
      <c r="E307" s="3" t="s">
        <v>6069</v>
      </c>
      <c r="F307" s="3"/>
      <c r="G307" s="3"/>
      <c r="H307" s="3"/>
      <c r="I307" s="3"/>
      <c r="J307" s="3" t="s">
        <v>1364</v>
      </c>
      <c r="K307" s="3"/>
      <c r="L307" s="3" t="s">
        <v>1365</v>
      </c>
      <c r="M307" s="3" t="str">
        <f>HYPERLINK("https://ceds.ed.gov/cedselementdetails.aspx?termid=5564")</f>
        <v>https://ceds.ed.gov/cedselementdetails.aspx?termid=5564</v>
      </c>
      <c r="N307" s="3" t="str">
        <f>HYPERLINK("https://ceds.ed.gov/elementComment.aspx?elementName=Assessment Subtest Result Pretest Outcome &amp;elementID=5564", "Click here to submit comment")</f>
        <v>Click here to submit comment</v>
      </c>
    </row>
    <row r="308" spans="1:14" ht="195">
      <c r="A308" s="3" t="s">
        <v>1366</v>
      </c>
      <c r="B308" s="3" t="s">
        <v>1367</v>
      </c>
      <c r="C308" s="3" t="s">
        <v>13</v>
      </c>
      <c r="D308" s="3" t="s">
        <v>6070</v>
      </c>
      <c r="E308" s="3" t="s">
        <v>6071</v>
      </c>
      <c r="F308" s="3"/>
      <c r="G308" s="3" t="s">
        <v>1368</v>
      </c>
      <c r="H308" s="3"/>
      <c r="I308" s="3"/>
      <c r="J308" s="3" t="s">
        <v>1369</v>
      </c>
      <c r="K308" s="3"/>
      <c r="L308" s="3" t="s">
        <v>1370</v>
      </c>
      <c r="M308" s="3" t="str">
        <f>HYPERLINK("https://ceds.ed.gov/cedselementdetails.aspx?termid=5245")</f>
        <v>https://ceds.ed.gov/cedselementdetails.aspx?termid=5245</v>
      </c>
      <c r="N308" s="3" t="str">
        <f>HYPERLINK("https://ceds.ed.gov/elementComment.aspx?elementName=Assessment Subtest Result Score Value &amp;elementID=5245", "Click here to submit comment")</f>
        <v>Click here to submit comment</v>
      </c>
    </row>
    <row r="309" spans="1:14" ht="105">
      <c r="A309" s="3" t="s">
        <v>1371</v>
      </c>
      <c r="B309" s="3" t="s">
        <v>1372</v>
      </c>
      <c r="C309" s="3" t="s">
        <v>13</v>
      </c>
      <c r="D309" s="3" t="s">
        <v>6066</v>
      </c>
      <c r="E309" s="3"/>
      <c r="F309" s="3"/>
      <c r="G309" s="3" t="s">
        <v>319</v>
      </c>
      <c r="H309" s="3"/>
      <c r="I309" s="3"/>
      <c r="J309" s="3" t="s">
        <v>1373</v>
      </c>
      <c r="K309" s="3"/>
      <c r="L309" s="3" t="s">
        <v>1374</v>
      </c>
      <c r="M309" s="3" t="str">
        <f>HYPERLINK("https://ceds.ed.gov/cedselementdetails.aspx?termid=5695")</f>
        <v>https://ceds.ed.gov/cedselementdetails.aspx?termid=5695</v>
      </c>
      <c r="N309" s="3" t="str">
        <f>HYPERLINK("https://ceds.ed.gov/elementComment.aspx?elementName=Assessment Subtest Rules &amp;elementID=5695", "Click here to submit comment")</f>
        <v>Click here to submit comment</v>
      </c>
    </row>
    <row r="310" spans="1:14" ht="409.5">
      <c r="A310" s="3" t="s">
        <v>1375</v>
      </c>
      <c r="B310" s="3" t="s">
        <v>1376</v>
      </c>
      <c r="C310" s="4" t="s">
        <v>6398</v>
      </c>
      <c r="D310" s="3" t="s">
        <v>6072</v>
      </c>
      <c r="E310" s="3" t="s">
        <v>6064</v>
      </c>
      <c r="F310" s="3"/>
      <c r="G310" s="3"/>
      <c r="H310" s="3"/>
      <c r="I310" s="3"/>
      <c r="J310" s="3" t="s">
        <v>1377</v>
      </c>
      <c r="K310" s="3"/>
      <c r="L310" s="3" t="s">
        <v>1378</v>
      </c>
      <c r="M310" s="3" t="str">
        <f>HYPERLINK("https://ceds.ed.gov/cedselementdetails.aspx?termid=5368")</f>
        <v>https://ceds.ed.gov/cedselementdetails.aspx?termid=5368</v>
      </c>
      <c r="N310" s="3" t="str">
        <f>HYPERLINK("https://ceds.ed.gov/elementComment.aspx?elementName=Assessment Subtest Score Metric Type &amp;elementID=5368", "Click here to submit comment")</f>
        <v>Click here to submit comment</v>
      </c>
    </row>
    <row r="311" spans="1:14" ht="165">
      <c r="A311" s="3" t="s">
        <v>1379</v>
      </c>
      <c r="B311" s="3" t="s">
        <v>1380</v>
      </c>
      <c r="C311" s="3" t="s">
        <v>13</v>
      </c>
      <c r="D311" s="3" t="s">
        <v>5999</v>
      </c>
      <c r="E311" s="3" t="s">
        <v>6073</v>
      </c>
      <c r="F311" s="3"/>
      <c r="G311" s="3" t="s">
        <v>106</v>
      </c>
      <c r="H311" s="3"/>
      <c r="I311" s="3"/>
      <c r="J311" s="3" t="s">
        <v>1381</v>
      </c>
      <c r="K311" s="3"/>
      <c r="L311" s="3" t="s">
        <v>1382</v>
      </c>
      <c r="M311" s="3" t="str">
        <f>HYPERLINK("https://ceds.ed.gov/cedselementdetails.aspx?termid=5275")</f>
        <v>https://ceds.ed.gov/cedselementdetails.aspx?termid=5275</v>
      </c>
      <c r="N311" s="3" t="str">
        <f>HYPERLINK("https://ceds.ed.gov/elementComment.aspx?elementName=Assessment Subtest Title &amp;elementID=5275", "Click here to submit comment")</f>
        <v>Click here to submit comment</v>
      </c>
    </row>
    <row r="312" spans="1:14" ht="135">
      <c r="A312" s="3" t="s">
        <v>1383</v>
      </c>
      <c r="B312" s="3" t="s">
        <v>1384</v>
      </c>
      <c r="C312" s="3" t="s">
        <v>13</v>
      </c>
      <c r="D312" s="3" t="s">
        <v>5999</v>
      </c>
      <c r="E312" s="3" t="s">
        <v>6064</v>
      </c>
      <c r="F312" s="3"/>
      <c r="G312" s="3" t="s">
        <v>100</v>
      </c>
      <c r="H312" s="3"/>
      <c r="I312" s="3"/>
      <c r="J312" s="3" t="s">
        <v>1385</v>
      </c>
      <c r="K312" s="3"/>
      <c r="L312" s="3" t="s">
        <v>1386</v>
      </c>
      <c r="M312" s="3" t="str">
        <f>HYPERLINK("https://ceds.ed.gov/cedselementdetails.aspx?termid=5379")</f>
        <v>https://ceds.ed.gov/cedselementdetails.aspx?termid=5379</v>
      </c>
      <c r="N312" s="3" t="str">
        <f>HYPERLINK("https://ceds.ed.gov/elementComment.aspx?elementName=Assessment Subtest Version &amp;elementID=5379", "Click here to submit comment")</f>
        <v>Click here to submit comment</v>
      </c>
    </row>
    <row r="313" spans="1:14" ht="165">
      <c r="A313" s="3" t="s">
        <v>1387</v>
      </c>
      <c r="B313" s="3" t="s">
        <v>1388</v>
      </c>
      <c r="C313" s="3" t="s">
        <v>13</v>
      </c>
      <c r="D313" s="3" t="s">
        <v>6074</v>
      </c>
      <c r="E313" s="3" t="s">
        <v>6073</v>
      </c>
      <c r="F313" s="3"/>
      <c r="G313" s="3" t="s">
        <v>106</v>
      </c>
      <c r="H313" s="3"/>
      <c r="I313" s="3"/>
      <c r="J313" s="3" t="s">
        <v>1389</v>
      </c>
      <c r="K313" s="3"/>
      <c r="L313" s="3" t="s">
        <v>1390</v>
      </c>
      <c r="M313" s="3" t="str">
        <f>HYPERLINK("https://ceds.ed.gov/cedselementdetails.aspx?termid=5028")</f>
        <v>https://ceds.ed.gov/cedselementdetails.aspx?termid=5028</v>
      </c>
      <c r="N313" s="3" t="str">
        <f>HYPERLINK("https://ceds.ed.gov/elementComment.aspx?elementName=Assessment Title &amp;elementID=5028", "Click here to submit comment")</f>
        <v>Click here to submit comment</v>
      </c>
    </row>
    <row r="314" spans="1:14" ht="409.5">
      <c r="A314" s="3" t="s">
        <v>1391</v>
      </c>
      <c r="B314" s="3" t="s">
        <v>1392</v>
      </c>
      <c r="C314" s="4" t="s">
        <v>6405</v>
      </c>
      <c r="D314" s="3" t="s">
        <v>6074</v>
      </c>
      <c r="E314" s="3" t="s">
        <v>6000</v>
      </c>
      <c r="F314" s="3"/>
      <c r="G314" s="3"/>
      <c r="H314" s="3"/>
      <c r="I314" s="3"/>
      <c r="J314" s="3" t="s">
        <v>1393</v>
      </c>
      <c r="K314" s="3"/>
      <c r="L314" s="3" t="s">
        <v>1394</v>
      </c>
      <c r="M314" s="3" t="str">
        <f>HYPERLINK("https://ceds.ed.gov/cedselementdetails.aspx?termid=5029")</f>
        <v>https://ceds.ed.gov/cedselementdetails.aspx?termid=5029</v>
      </c>
      <c r="N314" s="3" t="str">
        <f>HYPERLINK("https://ceds.ed.gov/elementComment.aspx?elementName=Assessment Type &amp;elementID=5029", "Click here to submit comment")</f>
        <v>Click here to submit comment</v>
      </c>
    </row>
    <row r="315" spans="1:14" ht="409.5">
      <c r="A315" s="3" t="s">
        <v>1395</v>
      </c>
      <c r="B315" s="3" t="s">
        <v>1396</v>
      </c>
      <c r="C315" s="4" t="s">
        <v>6406</v>
      </c>
      <c r="D315" s="3" t="s">
        <v>6043</v>
      </c>
      <c r="E315" s="3" t="s">
        <v>6052</v>
      </c>
      <c r="F315" s="3"/>
      <c r="G315" s="3"/>
      <c r="H315" s="3"/>
      <c r="I315" s="3"/>
      <c r="J315" s="3" t="s">
        <v>1397</v>
      </c>
      <c r="K315" s="3"/>
      <c r="L315" s="3" t="s">
        <v>1398</v>
      </c>
      <c r="M315" s="3" t="str">
        <f>HYPERLINK("https://ceds.ed.gov/cedselementdetails.aspx?termid=5405")</f>
        <v>https://ceds.ed.gov/cedselementdetails.aspx?termid=5405</v>
      </c>
      <c r="N315" s="3" t="str">
        <f>HYPERLINK("https://ceds.ed.gov/elementComment.aspx?elementName=Assessment Type Administered to Children With Disabilities &amp;elementID=5405", "Click here to submit comment")</f>
        <v>Click here to submit comment</v>
      </c>
    </row>
    <row r="316" spans="1:14" ht="45">
      <c r="A316" s="3" t="s">
        <v>1399</v>
      </c>
      <c r="B316" s="3" t="s">
        <v>1400</v>
      </c>
      <c r="C316" s="3" t="s">
        <v>13</v>
      </c>
      <c r="D316" s="3" t="s">
        <v>6075</v>
      </c>
      <c r="E316" s="3"/>
      <c r="F316" s="3"/>
      <c r="G316" s="3" t="s">
        <v>73</v>
      </c>
      <c r="H316" s="3"/>
      <c r="I316" s="3"/>
      <c r="J316" s="3" t="s">
        <v>1401</v>
      </c>
      <c r="K316" s="3"/>
      <c r="L316" s="3" t="s">
        <v>1402</v>
      </c>
      <c r="M316" s="3" t="str">
        <f>HYPERLINK("https://ceds.ed.gov/cedselementdetails.aspx?termid=5518")</f>
        <v>https://ceds.ed.gov/cedselementdetails.aspx?termid=5518</v>
      </c>
      <c r="N316" s="3" t="str">
        <f>HYPERLINK("https://ceds.ed.gov/elementComment.aspx?elementName=Assignment End Date &amp;elementID=5518", "Click here to submit comment")</f>
        <v>Click here to submit comment</v>
      </c>
    </row>
    <row r="317" spans="1:14" ht="45">
      <c r="A317" s="3" t="s">
        <v>1403</v>
      </c>
      <c r="B317" s="3" t="s">
        <v>1404</v>
      </c>
      <c r="C317" s="3" t="s">
        <v>13</v>
      </c>
      <c r="D317" s="3" t="s">
        <v>6075</v>
      </c>
      <c r="E317" s="3"/>
      <c r="F317" s="3"/>
      <c r="G317" s="3" t="s">
        <v>73</v>
      </c>
      <c r="H317" s="3"/>
      <c r="I317" s="3"/>
      <c r="J317" s="3" t="s">
        <v>1405</v>
      </c>
      <c r="K317" s="3"/>
      <c r="L317" s="3" t="s">
        <v>1406</v>
      </c>
      <c r="M317" s="3" t="str">
        <f>HYPERLINK("https://ceds.ed.gov/cedselementdetails.aspx?termid=5517")</f>
        <v>https://ceds.ed.gov/cedselementdetails.aspx?termid=5517</v>
      </c>
      <c r="N317" s="3" t="str">
        <f>HYPERLINK("https://ceds.ed.gov/elementComment.aspx?elementName=Assignment Start Date &amp;elementID=5517", "Click here to submit comment")</f>
        <v>Click here to submit comment</v>
      </c>
    </row>
    <row r="318" spans="1:14" ht="120">
      <c r="A318" s="3" t="s">
        <v>1407</v>
      </c>
      <c r="B318" s="3" t="s">
        <v>1408</v>
      </c>
      <c r="C318" s="4" t="s">
        <v>6407</v>
      </c>
      <c r="D318" s="3" t="s">
        <v>8</v>
      </c>
      <c r="E318" s="3"/>
      <c r="F318" s="3"/>
      <c r="G318" s="3"/>
      <c r="H318" s="3"/>
      <c r="I318" s="3"/>
      <c r="J318" s="3" t="s">
        <v>1409</v>
      </c>
      <c r="K318" s="3"/>
      <c r="L318" s="3" t="s">
        <v>1410</v>
      </c>
      <c r="M318" s="3" t="str">
        <f>HYPERLINK("https://ceds.ed.gov/cedselementdetails.aspx?termid=5594")</f>
        <v>https://ceds.ed.gov/cedselementdetails.aspx?termid=5594</v>
      </c>
      <c r="N318" s="3" t="str">
        <f>HYPERLINK("https://ceds.ed.gov/elementComment.aspx?elementName=Attendance Event Type &amp;elementID=5594", "Click here to submit comment")</f>
        <v>Click here to submit comment</v>
      </c>
    </row>
    <row r="319" spans="1:14" ht="105">
      <c r="A319" s="3" t="s">
        <v>1411</v>
      </c>
      <c r="B319" s="3" t="s">
        <v>1412</v>
      </c>
      <c r="C319" s="4" t="s">
        <v>6408</v>
      </c>
      <c r="D319" s="3" t="s">
        <v>6076</v>
      </c>
      <c r="E319" s="3"/>
      <c r="F319" s="3" t="s">
        <v>66</v>
      </c>
      <c r="G319" s="3"/>
      <c r="H319" s="3" t="s">
        <v>1413</v>
      </c>
      <c r="I319" s="3"/>
      <c r="J319" s="3" t="s">
        <v>1414</v>
      </c>
      <c r="K319" s="3"/>
      <c r="L319" s="3" t="s">
        <v>1415</v>
      </c>
      <c r="M319" s="3" t="str">
        <f>HYPERLINK("https://ceds.ed.gov/cedselementdetails.aspx?termid=5076")</f>
        <v>https://ceds.ed.gov/cedselementdetails.aspx?termid=5076</v>
      </c>
      <c r="N319" s="3" t="str">
        <f>HYPERLINK("https://ceds.ed.gov/elementComment.aspx?elementName=Attendance Status &amp;elementID=5076", "Click here to submit comment")</f>
        <v>Click here to submit comment</v>
      </c>
    </row>
    <row r="320" spans="1:14" ht="60">
      <c r="A320" s="3" t="s">
        <v>1416</v>
      </c>
      <c r="B320" s="3" t="s">
        <v>1417</v>
      </c>
      <c r="C320" s="3" t="s">
        <v>13</v>
      </c>
      <c r="D320" s="3" t="s">
        <v>1418</v>
      </c>
      <c r="E320" s="3"/>
      <c r="F320" s="3"/>
      <c r="G320" s="3" t="s">
        <v>73</v>
      </c>
      <c r="H320" s="3"/>
      <c r="I320" s="3"/>
      <c r="J320" s="3" t="s">
        <v>1419</v>
      </c>
      <c r="K320" s="3"/>
      <c r="L320" s="3" t="s">
        <v>1420</v>
      </c>
      <c r="M320" s="3" t="str">
        <f>HYPERLINK("https://ceds.ed.gov/cedselementdetails.aspx?termid=6126")</f>
        <v>https://ceds.ed.gov/cedselementdetails.aspx?termid=6126</v>
      </c>
      <c r="N320" s="3" t="str">
        <f>HYPERLINK("https://ceds.ed.gov/elementComment.aspx?elementName=Authentication Identity Provider End Date &amp;elementID=6126", "Click here to submit comment")</f>
        <v>Click here to submit comment</v>
      </c>
    </row>
    <row r="321" spans="1:14" ht="45">
      <c r="A321" s="3" t="s">
        <v>1421</v>
      </c>
      <c r="B321" s="3" t="s">
        <v>1422</v>
      </c>
      <c r="C321" s="3" t="s">
        <v>13</v>
      </c>
      <c r="D321" s="3" t="s">
        <v>1418</v>
      </c>
      <c r="E321" s="3"/>
      <c r="F321" s="3"/>
      <c r="G321" s="3" t="s">
        <v>106</v>
      </c>
      <c r="H321" s="3"/>
      <c r="I321" s="3"/>
      <c r="J321" s="3" t="s">
        <v>1423</v>
      </c>
      <c r="K321" s="3"/>
      <c r="L321" s="3" t="s">
        <v>1424</v>
      </c>
      <c r="M321" s="3" t="str">
        <f>HYPERLINK("https://ceds.ed.gov/cedselementdetails.aspx?termid=6124")</f>
        <v>https://ceds.ed.gov/cedselementdetails.aspx?termid=6124</v>
      </c>
      <c r="N321" s="3" t="str">
        <f>HYPERLINK("https://ceds.ed.gov/elementComment.aspx?elementName=Authentication Identity Provider Login Identifier &amp;elementID=6124", "Click here to submit comment")</f>
        <v>Click here to submit comment</v>
      </c>
    </row>
    <row r="322" spans="1:14" ht="45">
      <c r="A322" s="3" t="s">
        <v>1425</v>
      </c>
      <c r="B322" s="3" t="s">
        <v>1426</v>
      </c>
      <c r="C322" s="3" t="s">
        <v>13</v>
      </c>
      <c r="D322" s="3" t="s">
        <v>1418</v>
      </c>
      <c r="E322" s="3"/>
      <c r="F322" s="3"/>
      <c r="G322" s="3" t="s">
        <v>106</v>
      </c>
      <c r="H322" s="3"/>
      <c r="I322" s="3"/>
      <c r="J322" s="3" t="s">
        <v>1427</v>
      </c>
      <c r="K322" s="3"/>
      <c r="L322" s="3" t="s">
        <v>1428</v>
      </c>
      <c r="M322" s="3" t="str">
        <f>HYPERLINK("https://ceds.ed.gov/cedselementdetails.aspx?termid=6122")</f>
        <v>https://ceds.ed.gov/cedselementdetails.aspx?termid=6122</v>
      </c>
      <c r="N322" s="3" t="str">
        <f>HYPERLINK("https://ceds.ed.gov/elementComment.aspx?elementName=Authentication Identity Provider Name &amp;elementID=6122", "Click here to submit comment")</f>
        <v>Click here to submit comment</v>
      </c>
    </row>
    <row r="323" spans="1:14" ht="60">
      <c r="A323" s="3" t="s">
        <v>1429</v>
      </c>
      <c r="B323" s="3" t="s">
        <v>1430</v>
      </c>
      <c r="C323" s="3" t="s">
        <v>13</v>
      </c>
      <c r="D323" s="3" t="s">
        <v>1418</v>
      </c>
      <c r="E323" s="3"/>
      <c r="F323" s="3"/>
      <c r="G323" s="3" t="s">
        <v>73</v>
      </c>
      <c r="H323" s="3"/>
      <c r="I323" s="3"/>
      <c r="J323" s="3" t="s">
        <v>1431</v>
      </c>
      <c r="K323" s="3"/>
      <c r="L323" s="3" t="s">
        <v>1432</v>
      </c>
      <c r="M323" s="3" t="str">
        <f>HYPERLINK("https://ceds.ed.gov/cedselementdetails.aspx?termid=6125")</f>
        <v>https://ceds.ed.gov/cedselementdetails.aspx?termid=6125</v>
      </c>
      <c r="N323" s="3" t="str">
        <f>HYPERLINK("https://ceds.ed.gov/elementComment.aspx?elementName=Authentication Identity Provider Start Date &amp;elementID=6125", "Click here to submit comment")</f>
        <v>Click here to submit comment</v>
      </c>
    </row>
    <row r="324" spans="1:14" ht="45">
      <c r="A324" s="3" t="s">
        <v>1433</v>
      </c>
      <c r="B324" s="3" t="s">
        <v>1434</v>
      </c>
      <c r="C324" s="3" t="s">
        <v>13</v>
      </c>
      <c r="D324" s="3" t="s">
        <v>1418</v>
      </c>
      <c r="E324" s="3"/>
      <c r="F324" s="3"/>
      <c r="G324" s="3" t="s">
        <v>93</v>
      </c>
      <c r="H324" s="3"/>
      <c r="I324" s="3"/>
      <c r="J324" s="3" t="s">
        <v>1435</v>
      </c>
      <c r="K324" s="3"/>
      <c r="L324" s="3" t="s">
        <v>1436</v>
      </c>
      <c r="M324" s="3" t="str">
        <f>HYPERLINK("https://ceds.ed.gov/cedselementdetails.aspx?termid=6123")</f>
        <v>https://ceds.ed.gov/cedselementdetails.aspx?termid=6123</v>
      </c>
      <c r="N324" s="3" t="str">
        <f>HYPERLINK("https://ceds.ed.gov/elementComment.aspx?elementName=Authentication Identity Provider URI &amp;elementID=6123", "Click here to submit comment")</f>
        <v>Click here to submit comment</v>
      </c>
    </row>
    <row r="325" spans="1:14" ht="45">
      <c r="A325" s="3" t="s">
        <v>1437</v>
      </c>
      <c r="B325" s="3" t="s">
        <v>1438</v>
      </c>
      <c r="C325" s="3" t="s">
        <v>13</v>
      </c>
      <c r="D325" s="3" t="s">
        <v>1439</v>
      </c>
      <c r="E325" s="3"/>
      <c r="F325" s="3"/>
      <c r="G325" s="3" t="s">
        <v>1440</v>
      </c>
      <c r="H325" s="3"/>
      <c r="I325" s="3"/>
      <c r="J325" s="3" t="s">
        <v>1441</v>
      </c>
      <c r="K325" s="3"/>
      <c r="L325" s="3" t="s">
        <v>1442</v>
      </c>
      <c r="M325" s="3" t="str">
        <f>HYPERLINK("https://ceds.ed.gov/cedselementdetails.aspx?termid=6127")</f>
        <v>https://ceds.ed.gov/cedselementdetails.aspx?termid=6127</v>
      </c>
      <c r="N325" s="3" t="str">
        <f>HYPERLINK("https://ceds.ed.gov/elementComment.aspx?elementName=Authorization Application Name &amp;elementID=6127", "Click here to submit comment")</f>
        <v>Click here to submit comment</v>
      </c>
    </row>
    <row r="326" spans="1:14" ht="30">
      <c r="A326" s="3" t="s">
        <v>1443</v>
      </c>
      <c r="B326" s="3" t="s">
        <v>1444</v>
      </c>
      <c r="C326" s="3" t="s">
        <v>13</v>
      </c>
      <c r="D326" s="3" t="s">
        <v>1439</v>
      </c>
      <c r="E326" s="3"/>
      <c r="F326" s="3"/>
      <c r="G326" s="3" t="s">
        <v>106</v>
      </c>
      <c r="H326" s="3"/>
      <c r="I326" s="3"/>
      <c r="J326" s="3" t="s">
        <v>1445</v>
      </c>
      <c r="K326" s="3"/>
      <c r="L326" s="3" t="s">
        <v>1446</v>
      </c>
      <c r="M326" s="3" t="str">
        <f>HYPERLINK("https://ceds.ed.gov/cedselementdetails.aspx?termid=6129")</f>
        <v>https://ceds.ed.gov/cedselementdetails.aspx?termid=6129</v>
      </c>
      <c r="N326" s="3" t="str">
        <f>HYPERLINK("https://ceds.ed.gov/elementComment.aspx?elementName=Authorization Application Role Name &amp;elementID=6129", "Click here to submit comment")</f>
        <v>Click here to submit comment</v>
      </c>
    </row>
    <row r="327" spans="1:14" ht="45">
      <c r="A327" s="3" t="s">
        <v>1447</v>
      </c>
      <c r="B327" s="3" t="s">
        <v>1448</v>
      </c>
      <c r="C327" s="3" t="s">
        <v>13</v>
      </c>
      <c r="D327" s="3" t="s">
        <v>1439</v>
      </c>
      <c r="E327" s="3"/>
      <c r="F327" s="3"/>
      <c r="G327" s="3" t="s">
        <v>93</v>
      </c>
      <c r="H327" s="3"/>
      <c r="I327" s="3"/>
      <c r="J327" s="3" t="s">
        <v>1449</v>
      </c>
      <c r="K327" s="3"/>
      <c r="L327" s="3" t="s">
        <v>1450</v>
      </c>
      <c r="M327" s="3" t="str">
        <f>HYPERLINK("https://ceds.ed.gov/cedselementdetails.aspx?termid=6128")</f>
        <v>https://ceds.ed.gov/cedselementdetails.aspx?termid=6128</v>
      </c>
      <c r="N327" s="3" t="str">
        <f>HYPERLINK("https://ceds.ed.gov/elementComment.aspx?elementName=Authorization Application URI &amp;elementID=6128", "Click here to submit comment")</f>
        <v>Click here to submit comment</v>
      </c>
    </row>
    <row r="328" spans="1:14" ht="45">
      <c r="A328" s="3" t="s">
        <v>1451</v>
      </c>
      <c r="B328" s="3" t="s">
        <v>1452</v>
      </c>
      <c r="C328" s="3" t="s">
        <v>13</v>
      </c>
      <c r="D328" s="3" t="s">
        <v>1439</v>
      </c>
      <c r="E328" s="3"/>
      <c r="F328" s="3"/>
      <c r="G328" s="3" t="s">
        <v>73</v>
      </c>
      <c r="H328" s="3"/>
      <c r="I328" s="3"/>
      <c r="J328" s="3" t="s">
        <v>1453</v>
      </c>
      <c r="K328" s="3"/>
      <c r="L328" s="3" t="s">
        <v>1454</v>
      </c>
      <c r="M328" s="3" t="str">
        <f>HYPERLINK("https://ceds.ed.gov/cedselementdetails.aspx?termid=6131")</f>
        <v>https://ceds.ed.gov/cedselementdetails.aspx?termid=6131</v>
      </c>
      <c r="N328" s="3" t="str">
        <f>HYPERLINK("https://ceds.ed.gov/elementComment.aspx?elementName=Authorization End Date &amp;elementID=6131", "Click here to submit comment")</f>
        <v>Click here to submit comment</v>
      </c>
    </row>
    <row r="329" spans="1:14" ht="45">
      <c r="A329" s="3" t="s">
        <v>1455</v>
      </c>
      <c r="B329" s="3" t="s">
        <v>1456</v>
      </c>
      <c r="C329" s="3" t="s">
        <v>13</v>
      </c>
      <c r="D329" s="3" t="s">
        <v>1439</v>
      </c>
      <c r="E329" s="3"/>
      <c r="F329" s="3"/>
      <c r="G329" s="3" t="s">
        <v>73</v>
      </c>
      <c r="H329" s="3"/>
      <c r="I329" s="3"/>
      <c r="J329" s="3" t="s">
        <v>1457</v>
      </c>
      <c r="K329" s="3"/>
      <c r="L329" s="3" t="s">
        <v>1458</v>
      </c>
      <c r="M329" s="3" t="str">
        <f>HYPERLINK("https://ceds.ed.gov/cedselementdetails.aspx?termid=6130")</f>
        <v>https://ceds.ed.gov/cedselementdetails.aspx?termid=6130</v>
      </c>
      <c r="N329" s="3" t="str">
        <f>HYPERLINK("https://ceds.ed.gov/elementComment.aspx?elementName=Authorization Start Date &amp;elementID=6130", "Click here to submit comment")</f>
        <v>Click here to submit comment</v>
      </c>
    </row>
    <row r="330" spans="1:14" ht="150">
      <c r="A330" s="3" t="s">
        <v>1459</v>
      </c>
      <c r="B330" s="3" t="s">
        <v>1460</v>
      </c>
      <c r="C330" s="3" t="s">
        <v>13</v>
      </c>
      <c r="D330" s="3" t="s">
        <v>6077</v>
      </c>
      <c r="E330" s="3" t="s">
        <v>6078</v>
      </c>
      <c r="F330" s="3"/>
      <c r="G330" s="3" t="s">
        <v>1461</v>
      </c>
      <c r="H330" s="3"/>
      <c r="I330" s="3"/>
      <c r="J330" s="3" t="s">
        <v>1462</v>
      </c>
      <c r="K330" s="3"/>
      <c r="L330" s="3" t="s">
        <v>1463</v>
      </c>
      <c r="M330" s="3" t="str">
        <f>HYPERLINK("https://ceds.ed.gov/cedselementdetails.aspx?termid=5030")</f>
        <v>https://ceds.ed.gov/cedselementdetails.aspx?termid=5030</v>
      </c>
      <c r="N330" s="3" t="str">
        <f>HYPERLINK("https://ceds.ed.gov/elementComment.aspx?elementName=Available Carnegie Unit Credit &amp;elementID=5030", "Click here to submit comment")</f>
        <v>Click here to submit comment</v>
      </c>
    </row>
    <row r="331" spans="1:14" ht="60">
      <c r="A331" s="3" t="s">
        <v>1464</v>
      </c>
      <c r="B331" s="3" t="s">
        <v>1465</v>
      </c>
      <c r="C331" s="3" t="s">
        <v>5963</v>
      </c>
      <c r="D331" s="3" t="s">
        <v>1466</v>
      </c>
      <c r="E331" s="3" t="s">
        <v>2</v>
      </c>
      <c r="F331" s="3"/>
      <c r="G331" s="3"/>
      <c r="H331" s="3"/>
      <c r="I331" s="3"/>
      <c r="J331" s="3" t="s">
        <v>1467</v>
      </c>
      <c r="K331" s="3"/>
      <c r="L331" s="3" t="s">
        <v>1468</v>
      </c>
      <c r="M331" s="3" t="str">
        <f>HYPERLINK("https://ceds.ed.gov/cedselementdetails.aspx?termid=5031")</f>
        <v>https://ceds.ed.gov/cedselementdetails.aspx?termid=5031</v>
      </c>
      <c r="N331" s="3" t="str">
        <f>HYPERLINK("https://ceds.ed.gov/elementComment.aspx?elementName=Awaiting Initial IDEA Evaluation Status &amp;elementID=5031", "Click here to submit comment")</f>
        <v>Click here to submit comment</v>
      </c>
    </row>
    <row r="332" spans="1:14" ht="150">
      <c r="A332" s="3" t="s">
        <v>1469</v>
      </c>
      <c r="B332" s="3" t="s">
        <v>1470</v>
      </c>
      <c r="C332" s="4" t="s">
        <v>6409</v>
      </c>
      <c r="D332" s="3" t="s">
        <v>1471</v>
      </c>
      <c r="E332" s="3" t="s">
        <v>207</v>
      </c>
      <c r="F332" s="3"/>
      <c r="G332" s="3"/>
      <c r="H332" s="3"/>
      <c r="I332" s="3"/>
      <c r="J332" s="3" t="s">
        <v>1472</v>
      </c>
      <c r="K332" s="3"/>
      <c r="L332" s="3" t="s">
        <v>1473</v>
      </c>
      <c r="M332" s="3" t="str">
        <f>HYPERLINK("https://ceds.ed.gov/cedselementdetails.aspx?termid=5439")</f>
        <v>https://ceds.ed.gov/cedselementdetails.aspx?termid=5439</v>
      </c>
      <c r="N332" s="3" t="str">
        <f>HYPERLINK("https://ceds.ed.gov/elementComment.aspx?elementName=Barrier to Educating Homeless &amp;elementID=5439", "Click here to submit comment")</f>
        <v>Click here to submit comment</v>
      </c>
    </row>
    <row r="333" spans="1:14" ht="360">
      <c r="A333" s="3" t="s">
        <v>1474</v>
      </c>
      <c r="B333" s="3" t="s">
        <v>1475</v>
      </c>
      <c r="C333" s="3" t="s">
        <v>13</v>
      </c>
      <c r="D333" s="3" t="s">
        <v>6079</v>
      </c>
      <c r="E333" s="3" t="s">
        <v>6080</v>
      </c>
      <c r="F333" s="3" t="s">
        <v>3</v>
      </c>
      <c r="G333" s="3" t="s">
        <v>73</v>
      </c>
      <c r="H333" s="3"/>
      <c r="I333" s="3"/>
      <c r="J333" s="3" t="s">
        <v>1476</v>
      </c>
      <c r="K333" s="3"/>
      <c r="L333" s="3" t="s">
        <v>1474</v>
      </c>
      <c r="M333" s="3" t="str">
        <f>HYPERLINK("https://ceds.ed.gov/cedselementdetails.aspx?termid=5033")</f>
        <v>https://ceds.ed.gov/cedselementdetails.aspx?termid=5033</v>
      </c>
      <c r="N333" s="3" t="str">
        <f>HYPERLINK("https://ceds.ed.gov/elementComment.aspx?elementName=Birthdate &amp;elementID=5033", "Click here to submit comment")</f>
        <v>Click here to submit comment</v>
      </c>
    </row>
    <row r="334" spans="1:14" ht="30">
      <c r="A334" s="3" t="s">
        <v>1477</v>
      </c>
      <c r="B334" s="3" t="s">
        <v>1478</v>
      </c>
      <c r="C334" s="3" t="s">
        <v>13</v>
      </c>
      <c r="D334" s="3" t="s">
        <v>1479</v>
      </c>
      <c r="E334" s="3" t="s">
        <v>1480</v>
      </c>
      <c r="F334" s="3"/>
      <c r="G334" s="3" t="s">
        <v>106</v>
      </c>
      <c r="H334" s="3"/>
      <c r="I334" s="3"/>
      <c r="J334" s="3" t="s">
        <v>1481</v>
      </c>
      <c r="K334" s="3"/>
      <c r="L334" s="3" t="s">
        <v>1482</v>
      </c>
      <c r="M334" s="3" t="str">
        <f>HYPERLINK("https://ceds.ed.gov/cedselementdetails.aspx?termid=5418")</f>
        <v>https://ceds.ed.gov/cedselementdetails.aspx?termid=5418</v>
      </c>
      <c r="N334" s="3" t="str">
        <f>HYPERLINK("https://ceds.ed.gov/elementComment.aspx?elementName=Birthdate Verification &amp;elementID=5418", "Click here to submit comment")</f>
        <v>Click here to submit comment</v>
      </c>
    </row>
    <row r="335" spans="1:14" ht="315">
      <c r="A335" s="3" t="s">
        <v>1483</v>
      </c>
      <c r="B335" s="3" t="s">
        <v>1484</v>
      </c>
      <c r="C335" s="4" t="s">
        <v>6373</v>
      </c>
      <c r="D335" s="3" t="s">
        <v>5985</v>
      </c>
      <c r="E335" s="3" t="s">
        <v>5986</v>
      </c>
      <c r="F335" s="3"/>
      <c r="G335" s="3"/>
      <c r="H335" s="3"/>
      <c r="I335" s="3" t="s">
        <v>353</v>
      </c>
      <c r="J335" s="3" t="s">
        <v>1485</v>
      </c>
      <c r="K335" s="3"/>
      <c r="L335" s="3" t="s">
        <v>1486</v>
      </c>
      <c r="M335" s="3" t="str">
        <f>HYPERLINK("https://ceds.ed.gov/cedselementdetails.aspx?termid=5657")</f>
        <v>https://ceds.ed.gov/cedselementdetails.aspx?termid=5657</v>
      </c>
      <c r="N335" s="3" t="str">
        <f>HYPERLINK("https://ceds.ed.gov/elementComment.aspx?elementName=Black or African American &amp;elementID=5657", "Click here to submit comment")</f>
        <v>Click here to submit comment</v>
      </c>
    </row>
    <row r="336" spans="1:14" ht="165">
      <c r="A336" s="3" t="s">
        <v>1487</v>
      </c>
      <c r="B336" s="3" t="s">
        <v>1488</v>
      </c>
      <c r="C336" s="4" t="s">
        <v>6410</v>
      </c>
      <c r="D336" s="3" t="s">
        <v>6081</v>
      </c>
      <c r="E336" s="3"/>
      <c r="F336" s="3" t="s">
        <v>54</v>
      </c>
      <c r="G336" s="3"/>
      <c r="H336" s="3"/>
      <c r="I336" s="3" t="s">
        <v>1489</v>
      </c>
      <c r="J336" s="3" t="s">
        <v>1490</v>
      </c>
      <c r="K336" s="3"/>
      <c r="L336" s="3" t="s">
        <v>1491</v>
      </c>
      <c r="M336" s="3" t="str">
        <f>HYPERLINK("https://ceds.ed.gov/cedselementdetails.aspx?termid=6253")</f>
        <v>https://ceds.ed.gov/cedselementdetails.aspx?termid=6253</v>
      </c>
      <c r="N336" s="3" t="str">
        <f>HYPERLINK("https://ceds.ed.gov/elementComment.aspx?elementName=Blended Learning Model Type &amp;elementID=6253", "Click here to submit comment")</f>
        <v>Click here to submit comment</v>
      </c>
    </row>
    <row r="337" spans="1:14" ht="45">
      <c r="A337" s="3" t="s">
        <v>1492</v>
      </c>
      <c r="B337" s="3" t="s">
        <v>1493</v>
      </c>
      <c r="C337" s="3" t="s">
        <v>13</v>
      </c>
      <c r="D337" s="3" t="s">
        <v>1494</v>
      </c>
      <c r="E337" s="3" t="s">
        <v>1495</v>
      </c>
      <c r="F337" s="3"/>
      <c r="G337" s="3" t="s">
        <v>1461</v>
      </c>
      <c r="H337" s="3"/>
      <c r="I337" s="3" t="s">
        <v>358</v>
      </c>
      <c r="J337" s="3" t="s">
        <v>1496</v>
      </c>
      <c r="K337" s="3"/>
      <c r="L337" s="3" t="s">
        <v>1497</v>
      </c>
      <c r="M337" s="3" t="str">
        <f>HYPERLINK("https://ceds.ed.gov/cedselementdetails.aspx?termid=5729")</f>
        <v>https://ceds.ed.gov/cedselementdetails.aspx?termid=5729</v>
      </c>
      <c r="N337" s="3" t="str">
        <f>HYPERLINK("https://ceds.ed.gov/elementComment.aspx?elementName=Board Charges &amp;elementID=5729", "Click here to submit comment")</f>
        <v>Click here to submit comment</v>
      </c>
    </row>
    <row r="338" spans="1:14" ht="120">
      <c r="A338" s="3" t="s">
        <v>1498</v>
      </c>
      <c r="B338" s="3" t="s">
        <v>1499</v>
      </c>
      <c r="C338" s="3" t="s">
        <v>13</v>
      </c>
      <c r="D338" s="3" t="s">
        <v>1494</v>
      </c>
      <c r="E338" s="3" t="s">
        <v>1495</v>
      </c>
      <c r="F338" s="3"/>
      <c r="G338" s="3" t="s">
        <v>1461</v>
      </c>
      <c r="H338" s="3"/>
      <c r="I338" s="3" t="s">
        <v>358</v>
      </c>
      <c r="J338" s="3" t="s">
        <v>1500</v>
      </c>
      <c r="K338" s="3"/>
      <c r="L338" s="3" t="s">
        <v>1501</v>
      </c>
      <c r="M338" s="3" t="str">
        <f>HYPERLINK("https://ceds.ed.gov/cedselementdetails.aspx?termid=5730")</f>
        <v>https://ceds.ed.gov/cedselementdetails.aspx?termid=5730</v>
      </c>
      <c r="N338" s="3" t="str">
        <f>HYPERLINK("https://ceds.ed.gov/elementComment.aspx?elementName=Books and Supplies Costs &amp;elementID=5730", "Click here to submit comment")</f>
        <v>Click here to submit comment</v>
      </c>
    </row>
    <row r="339" spans="1:14" ht="45">
      <c r="A339" s="3" t="s">
        <v>1502</v>
      </c>
      <c r="B339" s="3" t="s">
        <v>1503</v>
      </c>
      <c r="C339" s="3" t="s">
        <v>13</v>
      </c>
      <c r="D339" s="3" t="s">
        <v>1504</v>
      </c>
      <c r="E339" s="3"/>
      <c r="F339" s="3"/>
      <c r="G339" s="3" t="s">
        <v>100</v>
      </c>
      <c r="H339" s="3"/>
      <c r="I339" s="3"/>
      <c r="J339" s="3" t="s">
        <v>1505</v>
      </c>
      <c r="K339" s="3"/>
      <c r="L339" s="3" t="s">
        <v>1506</v>
      </c>
      <c r="M339" s="3" t="str">
        <f>HYPERLINK("https://ceds.ed.gov/cedselementdetails.aspx?termid=5595")</f>
        <v>https://ceds.ed.gov/cedselementdetails.aspx?termid=5595</v>
      </c>
      <c r="N339" s="3" t="str">
        <f>HYPERLINK("https://ceds.ed.gov/elementComment.aspx?elementName=Building Site Number &amp;elementID=5595", "Click here to submit comment")</f>
        <v>Click here to submit comment</v>
      </c>
    </row>
    <row r="340" spans="1:14" ht="360">
      <c r="A340" s="3" t="s">
        <v>1507</v>
      </c>
      <c r="B340" s="3" t="s">
        <v>1508</v>
      </c>
      <c r="C340" s="4" t="s">
        <v>6411</v>
      </c>
      <c r="D340" s="3" t="s">
        <v>1509</v>
      </c>
      <c r="E340" s="3"/>
      <c r="F340" s="3"/>
      <c r="G340" s="3"/>
      <c r="H340" s="3"/>
      <c r="I340" s="3"/>
      <c r="J340" s="3" t="s">
        <v>1510</v>
      </c>
      <c r="K340" s="3"/>
      <c r="L340" s="3" t="s">
        <v>1511</v>
      </c>
      <c r="M340" s="3" t="str">
        <f>HYPERLINK("https://ceds.ed.gov/cedselementdetails.aspx?termid=6173")</f>
        <v>https://ceds.ed.gov/cedselementdetails.aspx?termid=6173</v>
      </c>
      <c r="N340" s="3" t="str">
        <f>HYPERLINK("https://ceds.ed.gov/elementComment.aspx?elementName=Building Use Type &amp;elementID=6173", "Click here to submit comment")</f>
        <v>Click here to submit comment</v>
      </c>
    </row>
    <row r="341" spans="1:14" ht="30">
      <c r="A341" s="3" t="s">
        <v>1512</v>
      </c>
      <c r="B341" s="3" t="s">
        <v>1513</v>
      </c>
      <c r="C341" s="3" t="s">
        <v>13</v>
      </c>
      <c r="D341" s="3" t="s">
        <v>338</v>
      </c>
      <c r="E341" s="3"/>
      <c r="F341" s="3"/>
      <c r="G341" s="3" t="s">
        <v>100</v>
      </c>
      <c r="H341" s="3"/>
      <c r="I341" s="3"/>
      <c r="J341" s="3" t="s">
        <v>1514</v>
      </c>
      <c r="K341" s="3"/>
      <c r="L341" s="3" t="s">
        <v>1515</v>
      </c>
      <c r="M341" s="3" t="str">
        <f>HYPERLINK("https://ceds.ed.gov/cedselementdetails.aspx?termid=5485")</f>
        <v>https://ceds.ed.gov/cedselementdetails.aspx?termid=5485</v>
      </c>
      <c r="N341" s="3" t="str">
        <f>HYPERLINK("https://ceds.ed.gov/elementComment.aspx?elementName=Calendar Code &amp;elementID=5485", "Click here to submit comment")</f>
        <v>Click here to submit comment</v>
      </c>
    </row>
    <row r="342" spans="1:14" ht="30">
      <c r="A342" s="3" t="s">
        <v>1516</v>
      </c>
      <c r="B342" s="3" t="s">
        <v>1517</v>
      </c>
      <c r="C342" s="3" t="s">
        <v>13</v>
      </c>
      <c r="D342" s="3" t="s">
        <v>338</v>
      </c>
      <c r="E342" s="3"/>
      <c r="F342" s="3"/>
      <c r="G342" s="3" t="s">
        <v>106</v>
      </c>
      <c r="H342" s="3"/>
      <c r="I342" s="3"/>
      <c r="J342" s="3" t="s">
        <v>1518</v>
      </c>
      <c r="K342" s="3"/>
      <c r="L342" s="3" t="s">
        <v>1519</v>
      </c>
      <c r="M342" s="3" t="str">
        <f>HYPERLINK("https://ceds.ed.gov/cedselementdetails.aspx?termid=5486")</f>
        <v>https://ceds.ed.gov/cedselementdetails.aspx?termid=5486</v>
      </c>
      <c r="N342" s="3" t="str">
        <f>HYPERLINK("https://ceds.ed.gov/elementComment.aspx?elementName=Calendar Description &amp;elementID=5486", "Click here to submit comment")</f>
        <v>Click here to submit comment</v>
      </c>
    </row>
    <row r="343" spans="1:14" ht="60">
      <c r="A343" s="3" t="s">
        <v>1520</v>
      </c>
      <c r="B343" s="3" t="s">
        <v>1521</v>
      </c>
      <c r="C343" s="3" t="s">
        <v>13</v>
      </c>
      <c r="D343" s="3" t="s">
        <v>6082</v>
      </c>
      <c r="E343" s="3"/>
      <c r="F343" s="3" t="s">
        <v>66</v>
      </c>
      <c r="G343" s="3" t="s">
        <v>73</v>
      </c>
      <c r="H343" s="3" t="s">
        <v>1522</v>
      </c>
      <c r="I343" s="3"/>
      <c r="J343" s="3" t="s">
        <v>1523</v>
      </c>
      <c r="K343" s="3"/>
      <c r="L343" s="3" t="s">
        <v>1524</v>
      </c>
      <c r="M343" s="3" t="str">
        <f>HYPERLINK("https://ceds.ed.gov/cedselementdetails.aspx?termid=6241")</f>
        <v>https://ceds.ed.gov/cedselementdetails.aspx?termid=6241</v>
      </c>
      <c r="N343" s="3" t="str">
        <f>HYPERLINK("https://ceds.ed.gov/elementComment.aspx?elementName=Calendar Event Date &amp;elementID=6241", "Click here to submit comment")</f>
        <v>Click here to submit comment</v>
      </c>
    </row>
    <row r="344" spans="1:14" ht="30">
      <c r="A344" s="3" t="s">
        <v>1525</v>
      </c>
      <c r="B344" s="3" t="s">
        <v>1526</v>
      </c>
      <c r="C344" s="3" t="s">
        <v>13</v>
      </c>
      <c r="D344" s="3" t="s">
        <v>1527</v>
      </c>
      <c r="E344" s="3"/>
      <c r="F344" s="3"/>
      <c r="G344" s="3" t="s">
        <v>100</v>
      </c>
      <c r="H344" s="3"/>
      <c r="I344" s="3"/>
      <c r="J344" s="3" t="s">
        <v>1528</v>
      </c>
      <c r="K344" s="3"/>
      <c r="L344" s="3" t="s">
        <v>1529</v>
      </c>
      <c r="M344" s="3" t="str">
        <f>HYPERLINK("https://ceds.ed.gov/cedselementdetails.aspx?termid=6242")</f>
        <v>https://ceds.ed.gov/cedselementdetails.aspx?termid=6242</v>
      </c>
      <c r="N344" s="3" t="str">
        <f>HYPERLINK("https://ceds.ed.gov/elementComment.aspx?elementName=Calendar Event Day Name &amp;elementID=6242", "Click here to submit comment")</f>
        <v>Click here to submit comment</v>
      </c>
    </row>
    <row r="345" spans="1:14" ht="120">
      <c r="A345" s="3" t="s">
        <v>1530</v>
      </c>
      <c r="B345" s="3" t="s">
        <v>1531</v>
      </c>
      <c r="C345" s="4" t="s">
        <v>6412</v>
      </c>
      <c r="D345" s="3" t="s">
        <v>1527</v>
      </c>
      <c r="E345" s="3"/>
      <c r="F345" s="3"/>
      <c r="G345" s="3"/>
      <c r="H345" s="3"/>
      <c r="I345" s="3"/>
      <c r="J345" s="3" t="s">
        <v>1532</v>
      </c>
      <c r="K345" s="3"/>
      <c r="L345" s="3" t="s">
        <v>1533</v>
      </c>
      <c r="M345" s="3" t="str">
        <f>HYPERLINK("https://ceds.ed.gov/cedselementdetails.aspx?termid=5596")</f>
        <v>https://ceds.ed.gov/cedselementdetails.aspx?termid=5596</v>
      </c>
      <c r="N345" s="3" t="str">
        <f>HYPERLINK("https://ceds.ed.gov/elementComment.aspx?elementName=Calendar Event Type &amp;elementID=5596", "Click here to submit comment")</f>
        <v>Click here to submit comment</v>
      </c>
    </row>
    <row r="346" spans="1:14" ht="105">
      <c r="A346" s="3" t="s">
        <v>1534</v>
      </c>
      <c r="B346" s="3" t="s">
        <v>1535</v>
      </c>
      <c r="C346" s="4" t="s">
        <v>6413</v>
      </c>
      <c r="D346" s="3" t="s">
        <v>1536</v>
      </c>
      <c r="E346" s="3" t="s">
        <v>1537</v>
      </c>
      <c r="F346" s="3"/>
      <c r="G346" s="3"/>
      <c r="H346" s="3"/>
      <c r="I346" s="3"/>
      <c r="J346" s="3" t="s">
        <v>1538</v>
      </c>
      <c r="K346" s="3"/>
      <c r="L346" s="3" t="s">
        <v>1539</v>
      </c>
      <c r="M346" s="3" t="str">
        <f>HYPERLINK("https://ceds.ed.gov/cedselementdetails.aspx?termid=5035")</f>
        <v>https://ceds.ed.gov/cedselementdetails.aspx?termid=5035</v>
      </c>
      <c r="N346" s="3" t="str">
        <f>HYPERLINK("https://ceds.ed.gov/elementComment.aspx?elementName=Campus Residency Type &amp;elementID=5035", "Click here to submit comment")</f>
        <v>Click here to submit comment</v>
      </c>
    </row>
    <row r="347" spans="1:14" ht="45">
      <c r="A347" s="3" t="s">
        <v>1540</v>
      </c>
      <c r="B347" s="3" t="s">
        <v>1541</v>
      </c>
      <c r="C347" s="3" t="s">
        <v>13</v>
      </c>
      <c r="D347" s="3" t="s">
        <v>1542</v>
      </c>
      <c r="E347" s="3" t="s">
        <v>202</v>
      </c>
      <c r="F347" s="3"/>
      <c r="G347" s="3" t="s">
        <v>73</v>
      </c>
      <c r="H347" s="3"/>
      <c r="I347" s="3"/>
      <c r="J347" s="3" t="s">
        <v>1543</v>
      </c>
      <c r="K347" s="3" t="s">
        <v>1544</v>
      </c>
      <c r="L347" s="3" t="s">
        <v>1545</v>
      </c>
      <c r="M347" s="3" t="str">
        <f>HYPERLINK("https://ceds.ed.gov/cedselementdetails.aspx?termid=6065")</f>
        <v>https://ceds.ed.gov/cedselementdetails.aspx?termid=6065</v>
      </c>
      <c r="N347" s="3" t="str">
        <f>HYPERLINK("https://ceds.ed.gov/elementComment.aspx?elementName=Cardiopulmonary Resuscitation Certification Expiration Date &amp;elementID=6065", "Click here to submit comment")</f>
        <v>Click here to submit comment</v>
      </c>
    </row>
    <row r="348" spans="1:14" ht="105">
      <c r="A348" s="3" t="s">
        <v>1546</v>
      </c>
      <c r="B348" s="3" t="s">
        <v>1547</v>
      </c>
      <c r="C348" s="3" t="s">
        <v>5963</v>
      </c>
      <c r="D348" s="3" t="s">
        <v>6083</v>
      </c>
      <c r="E348" s="3" t="s">
        <v>6084</v>
      </c>
      <c r="F348" s="3"/>
      <c r="G348" s="3"/>
      <c r="H348" s="3"/>
      <c r="I348" s="3"/>
      <c r="J348" s="3" t="s">
        <v>1548</v>
      </c>
      <c r="K348" s="3" t="s">
        <v>1549</v>
      </c>
      <c r="L348" s="3" t="s">
        <v>1550</v>
      </c>
      <c r="M348" s="3" t="str">
        <f>HYPERLINK("https://ceds.ed.gov/cedselementdetails.aspx?termid=5036")</f>
        <v>https://ceds.ed.gov/cedselementdetails.aspx?termid=5036</v>
      </c>
      <c r="N348" s="3" t="str">
        <f>HYPERLINK("https://ceds.ed.gov/elementComment.aspx?elementName=Career and Technical Education Completer &amp;elementID=5036", "Click here to submit comment")</f>
        <v>Click here to submit comment</v>
      </c>
    </row>
    <row r="349" spans="1:14" ht="105">
      <c r="A349" s="3" t="s">
        <v>1551</v>
      </c>
      <c r="B349" s="3" t="s">
        <v>1552</v>
      </c>
      <c r="C349" s="3" t="s">
        <v>5963</v>
      </c>
      <c r="D349" s="3" t="s">
        <v>6085</v>
      </c>
      <c r="E349" s="3" t="s">
        <v>6084</v>
      </c>
      <c r="F349" s="3"/>
      <c r="G349" s="3"/>
      <c r="H349" s="3"/>
      <c r="I349" s="3"/>
      <c r="J349" s="3" t="s">
        <v>1553</v>
      </c>
      <c r="K349" s="3" t="s">
        <v>1554</v>
      </c>
      <c r="L349" s="3" t="s">
        <v>1555</v>
      </c>
      <c r="M349" s="3" t="str">
        <f>HYPERLINK("https://ceds.ed.gov/cedselementdetails.aspx?termid=5037")</f>
        <v>https://ceds.ed.gov/cedselementdetails.aspx?termid=5037</v>
      </c>
      <c r="N349" s="3" t="str">
        <f>HYPERLINK("https://ceds.ed.gov/elementComment.aspx?elementName=Career and Technical Education Concentrator &amp;elementID=5037", "Click here to submit comment")</f>
        <v>Click here to submit comment</v>
      </c>
    </row>
    <row r="350" spans="1:14" ht="75">
      <c r="A350" s="3" t="s">
        <v>1556</v>
      </c>
      <c r="B350" s="3" t="s">
        <v>1557</v>
      </c>
      <c r="C350" s="4" t="s">
        <v>6414</v>
      </c>
      <c r="D350" s="3" t="s">
        <v>1558</v>
      </c>
      <c r="E350" s="3" t="s">
        <v>218</v>
      </c>
      <c r="F350" s="3"/>
      <c r="G350" s="3"/>
      <c r="H350" s="3"/>
      <c r="I350" s="3"/>
      <c r="J350" s="3" t="s">
        <v>1559</v>
      </c>
      <c r="K350" s="3" t="s">
        <v>1560</v>
      </c>
      <c r="L350" s="3" t="s">
        <v>1561</v>
      </c>
      <c r="M350" s="3" t="str">
        <f>HYPERLINK("https://ceds.ed.gov/cedselementdetails.aspx?termid=5075")</f>
        <v>https://ceds.ed.gov/cedselementdetails.aspx?termid=5075</v>
      </c>
      <c r="N350" s="3" t="str">
        <f>HYPERLINK("https://ceds.ed.gov/elementComment.aspx?elementName=Career and Technical Education Graduation Rate Inclusion &amp;elementID=5075", "Click here to submit comment")</f>
        <v>Click here to submit comment</v>
      </c>
    </row>
    <row r="351" spans="1:14" ht="90">
      <c r="A351" s="3" t="s">
        <v>1562</v>
      </c>
      <c r="B351" s="3" t="s">
        <v>1563</v>
      </c>
      <c r="C351" s="3" t="s">
        <v>5963</v>
      </c>
      <c r="D351" s="3" t="s">
        <v>6086</v>
      </c>
      <c r="E351" s="3"/>
      <c r="F351" s="3" t="s">
        <v>54</v>
      </c>
      <c r="G351" s="3"/>
      <c r="H351" s="3"/>
      <c r="I351" s="3"/>
      <c r="J351" s="3" t="s">
        <v>1564</v>
      </c>
      <c r="K351" s="3" t="s">
        <v>1565</v>
      </c>
      <c r="L351" s="3" t="s">
        <v>1566</v>
      </c>
      <c r="M351" s="3" t="str">
        <f>HYPERLINK("https://ceds.ed.gov/cedselementdetails.aspx?termid=6284")</f>
        <v>https://ceds.ed.gov/cedselementdetails.aspx?termid=6284</v>
      </c>
      <c r="N351" s="3" t="str">
        <f>HYPERLINK("https://ceds.ed.gov/elementComment.aspx?elementName=Career and Technical Education Instructor Industry Certification &amp;elementID=6284", "Click here to submit comment")</f>
        <v>Click here to submit comment</v>
      </c>
    </row>
    <row r="352" spans="1:14" ht="90">
      <c r="A352" s="3" t="s">
        <v>1567</v>
      </c>
      <c r="B352" s="3" t="s">
        <v>1568</v>
      </c>
      <c r="C352" s="3" t="s">
        <v>5963</v>
      </c>
      <c r="D352" s="3" t="s">
        <v>6087</v>
      </c>
      <c r="E352" s="3" t="s">
        <v>218</v>
      </c>
      <c r="F352" s="3"/>
      <c r="G352" s="3"/>
      <c r="H352" s="3"/>
      <c r="I352" s="3"/>
      <c r="J352" s="3" t="s">
        <v>1569</v>
      </c>
      <c r="K352" s="3" t="s">
        <v>1570</v>
      </c>
      <c r="L352" s="3" t="s">
        <v>1571</v>
      </c>
      <c r="M352" s="3" t="str">
        <f>HYPERLINK("https://ceds.ed.gov/cedselementdetails.aspx?termid=5586")</f>
        <v>https://ceds.ed.gov/cedselementdetails.aspx?termid=5586</v>
      </c>
      <c r="N352" s="3" t="str">
        <f>HYPERLINK("https://ceds.ed.gov/elementComment.aspx?elementName=Career and Technical Education Nontraditional Completion &amp;elementID=5586", "Click here to submit comment")</f>
        <v>Click here to submit comment</v>
      </c>
    </row>
    <row r="353" spans="1:14" ht="90">
      <c r="A353" s="3" t="s">
        <v>1572</v>
      </c>
      <c r="B353" s="3" t="s">
        <v>1573</v>
      </c>
      <c r="C353" s="3" t="s">
        <v>5963</v>
      </c>
      <c r="D353" s="3" t="s">
        <v>6085</v>
      </c>
      <c r="E353" s="3" t="s">
        <v>218</v>
      </c>
      <c r="F353" s="3"/>
      <c r="G353" s="3"/>
      <c r="H353" s="3"/>
      <c r="I353" s="3"/>
      <c r="J353" s="3" t="s">
        <v>1574</v>
      </c>
      <c r="K353" s="3" t="s">
        <v>1575</v>
      </c>
      <c r="L353" s="3" t="s">
        <v>1576</v>
      </c>
      <c r="M353" s="3" t="str">
        <f>HYPERLINK("https://ceds.ed.gov/cedselementdetails.aspx?termid=5585")</f>
        <v>https://ceds.ed.gov/cedselementdetails.aspx?termid=5585</v>
      </c>
      <c r="N353" s="3" t="str">
        <f>HYPERLINK("https://ceds.ed.gov/elementComment.aspx?elementName=Career and Technical Education Participant &amp;elementID=5585", "Click here to submit comment")</f>
        <v>Click here to submit comment</v>
      </c>
    </row>
    <row r="354" spans="1:14" ht="360">
      <c r="A354" s="3" t="s">
        <v>1577</v>
      </c>
      <c r="B354" s="3" t="s">
        <v>1578</v>
      </c>
      <c r="C354" s="4" t="s">
        <v>6415</v>
      </c>
      <c r="D354" s="3" t="s">
        <v>6088</v>
      </c>
      <c r="E354" s="3"/>
      <c r="F354" s="3" t="s">
        <v>54</v>
      </c>
      <c r="G354" s="3"/>
      <c r="H354" s="3"/>
      <c r="I354" s="3" t="s">
        <v>1579</v>
      </c>
      <c r="J354" s="3" t="s">
        <v>1580</v>
      </c>
      <c r="K354" s="3"/>
      <c r="L354" s="3" t="s">
        <v>1581</v>
      </c>
      <c r="M354" s="3" t="str">
        <f>HYPERLINK("https://ceds.ed.gov/cedselementdetails.aspx?termid=6254")</f>
        <v>https://ceds.ed.gov/cedselementdetails.aspx?termid=6254</v>
      </c>
      <c r="N354" s="3" t="str">
        <f>HYPERLINK("https://ceds.ed.gov/elementComment.aspx?elementName=Career Cluster &amp;elementID=6254", "Click here to submit comment")</f>
        <v>Click here to submit comment</v>
      </c>
    </row>
    <row r="355" spans="1:14" ht="150">
      <c r="A355" s="3" t="s">
        <v>1582</v>
      </c>
      <c r="B355" s="3" t="s">
        <v>1583</v>
      </c>
      <c r="C355" s="3" t="s">
        <v>13</v>
      </c>
      <c r="D355" s="3" t="s">
        <v>6089</v>
      </c>
      <c r="E355" s="3"/>
      <c r="F355" s="3" t="s">
        <v>54</v>
      </c>
      <c r="G355" s="3" t="s">
        <v>73</v>
      </c>
      <c r="H355" s="3"/>
      <c r="I355" s="3"/>
      <c r="J355" s="3" t="s">
        <v>1584</v>
      </c>
      <c r="K355" s="3"/>
      <c r="L355" s="3" t="s">
        <v>1585</v>
      </c>
      <c r="M355" s="3" t="str">
        <f>HYPERLINK("https://ceds.ed.gov/cedselementdetails.aspx?termid=6255")</f>
        <v>https://ceds.ed.gov/cedselementdetails.aspx?termid=6255</v>
      </c>
      <c r="N355" s="3" t="str">
        <f>HYPERLINK("https://ceds.ed.gov/elementComment.aspx?elementName=Career Education Plan Date &amp;elementID=6255", "Click here to submit comment")</f>
        <v>Click here to submit comment</v>
      </c>
    </row>
    <row r="356" spans="1:14" ht="150">
      <c r="A356" s="3" t="s">
        <v>1586</v>
      </c>
      <c r="B356" s="3" t="s">
        <v>1587</v>
      </c>
      <c r="C356" s="4" t="s">
        <v>6416</v>
      </c>
      <c r="D356" s="3" t="s">
        <v>6089</v>
      </c>
      <c r="E356" s="3"/>
      <c r="F356" s="3" t="s">
        <v>54</v>
      </c>
      <c r="G356" s="3"/>
      <c r="H356" s="3"/>
      <c r="I356" s="3"/>
      <c r="J356" s="3" t="s">
        <v>1588</v>
      </c>
      <c r="K356" s="3"/>
      <c r="L356" s="3" t="s">
        <v>1589</v>
      </c>
      <c r="M356" s="3" t="str">
        <f>HYPERLINK("https://ceds.ed.gov/cedselementdetails.aspx?termid=6256")</f>
        <v>https://ceds.ed.gov/cedselementdetails.aspx?termid=6256</v>
      </c>
      <c r="N356" s="3" t="str">
        <f>HYPERLINK("https://ceds.ed.gov/elementComment.aspx?elementName=Career Education Plan Type &amp;elementID=6256", "Click here to submit comment")</f>
        <v>Click here to submit comment</v>
      </c>
    </row>
    <row r="357" spans="1:14" ht="75">
      <c r="A357" s="3" t="s">
        <v>1590</v>
      </c>
      <c r="B357" s="3" t="s">
        <v>1591</v>
      </c>
      <c r="C357" s="3" t="s">
        <v>5963</v>
      </c>
      <c r="D357" s="3" t="s">
        <v>6090</v>
      </c>
      <c r="E357" s="3"/>
      <c r="F357" s="3" t="s">
        <v>54</v>
      </c>
      <c r="G357" s="3"/>
      <c r="H357" s="3"/>
      <c r="I357" s="3"/>
      <c r="J357" s="3" t="s">
        <v>1592</v>
      </c>
      <c r="K357" s="3"/>
      <c r="L357" s="3" t="s">
        <v>1593</v>
      </c>
      <c r="M357" s="3" t="str">
        <f>HYPERLINK("https://ceds.ed.gov/cedselementdetails.aspx?termid=6257")</f>
        <v>https://ceds.ed.gov/cedselementdetails.aspx?termid=6257</v>
      </c>
      <c r="N357" s="3" t="str">
        <f>HYPERLINK("https://ceds.ed.gov/elementComment.aspx?elementName=Career Pathways Program Participation Indicator &amp;elementID=6257", "Click here to submit comment")</f>
        <v>Click here to submit comment</v>
      </c>
    </row>
    <row r="358" spans="1:14" ht="90">
      <c r="A358" s="3" t="s">
        <v>1594</v>
      </c>
      <c r="B358" s="3" t="s">
        <v>1595</v>
      </c>
      <c r="C358" s="4" t="s">
        <v>6417</v>
      </c>
      <c r="D358" s="3" t="s">
        <v>6091</v>
      </c>
      <c r="E358" s="3" t="s">
        <v>218</v>
      </c>
      <c r="F358" s="3"/>
      <c r="G358" s="3"/>
      <c r="H358" s="3"/>
      <c r="I358" s="3"/>
      <c r="J358" s="3" t="s">
        <v>1596</v>
      </c>
      <c r="K358" s="3" t="s">
        <v>1597</v>
      </c>
      <c r="L358" s="3" t="s">
        <v>1598</v>
      </c>
      <c r="M358" s="3" t="str">
        <f>HYPERLINK("https://ceds.ed.gov/cedselementdetails.aspx?termid=5581")</f>
        <v>https://ceds.ed.gov/cedselementdetails.aspx?termid=5581</v>
      </c>
      <c r="N358" s="3" t="str">
        <f>HYPERLINK("https://ceds.ed.gov/elementComment.aspx?elementName=Career Technical Education Nontraditional Gender Status &amp;elementID=5581", "Click here to submit comment")</f>
        <v>Click here to submit comment</v>
      </c>
    </row>
    <row r="359" spans="1:14" ht="270">
      <c r="A359" s="3" t="s">
        <v>1599</v>
      </c>
      <c r="B359" s="3" t="s">
        <v>1600</v>
      </c>
      <c r="C359" s="3" t="s">
        <v>5963</v>
      </c>
      <c r="D359" s="3" t="s">
        <v>6092</v>
      </c>
      <c r="E359" s="3" t="s">
        <v>218</v>
      </c>
      <c r="F359" s="3"/>
      <c r="G359" s="3"/>
      <c r="H359" s="3"/>
      <c r="I359" s="3"/>
      <c r="J359" s="3" t="s">
        <v>1601</v>
      </c>
      <c r="K359" s="3" t="s">
        <v>1602</v>
      </c>
      <c r="L359" s="3" t="s">
        <v>1603</v>
      </c>
      <c r="M359" s="3" t="str">
        <f>HYPERLINK("https://ceds.ed.gov/cedselementdetails.aspx?termid=5084")</f>
        <v>https://ceds.ed.gov/cedselementdetails.aspx?termid=5084</v>
      </c>
      <c r="N359" s="3" t="str">
        <f>HYPERLINK("https://ceds.ed.gov/elementComment.aspx?elementName=Career-Technical-Adult Education Displaced Homemaker Indicator &amp;elementID=5084", "Click here to submit comment")</f>
        <v>Click here to submit comment</v>
      </c>
    </row>
    <row r="360" spans="1:14" ht="409.5">
      <c r="A360" s="3" t="s">
        <v>1604</v>
      </c>
      <c r="B360" s="3" t="s">
        <v>1605</v>
      </c>
      <c r="C360" s="4" t="s">
        <v>6418</v>
      </c>
      <c r="D360" s="3" t="s">
        <v>1606</v>
      </c>
      <c r="E360" s="3" t="s">
        <v>6093</v>
      </c>
      <c r="F360" s="3" t="s">
        <v>66</v>
      </c>
      <c r="G360" s="3"/>
      <c r="H360" s="3" t="s">
        <v>1607</v>
      </c>
      <c r="I360" s="3"/>
      <c r="J360" s="3" t="s">
        <v>1608</v>
      </c>
      <c r="K360" s="3"/>
      <c r="L360" s="3" t="s">
        <v>1609</v>
      </c>
      <c r="M360" s="3" t="str">
        <f>HYPERLINK("https://ceds.ed.gov/cedselementdetails.aspx?termid=5038")</f>
        <v>https://ceds.ed.gov/cedselementdetails.aspx?termid=5038</v>
      </c>
      <c r="N360" s="3" t="str">
        <f>HYPERLINK("https://ceds.ed.gov/elementComment.aspx?elementName=Carnegie Basic Classification &amp;elementID=5038", "Click here to submit comment")</f>
        <v>Click here to submit comment</v>
      </c>
    </row>
    <row r="361" spans="1:14" ht="90">
      <c r="A361" s="3" t="s">
        <v>1610</v>
      </c>
      <c r="B361" s="3" t="s">
        <v>1611</v>
      </c>
      <c r="C361" s="4" t="s">
        <v>6419</v>
      </c>
      <c r="D361" s="3" t="s">
        <v>224</v>
      </c>
      <c r="E361" s="3"/>
      <c r="F361" s="3" t="s">
        <v>54</v>
      </c>
      <c r="G361" s="3"/>
      <c r="H361" s="3"/>
      <c r="I361" s="3"/>
      <c r="J361" s="3" t="s">
        <v>1612</v>
      </c>
      <c r="K361" s="3"/>
      <c r="L361" s="3" t="s">
        <v>1613</v>
      </c>
      <c r="M361" s="3" t="str">
        <f>HYPERLINK("https://ceds.ed.gov/cedselementdetails.aspx?termid=6258")</f>
        <v>https://ceds.ed.gov/cedselementdetails.aspx?termid=6258</v>
      </c>
      <c r="N361" s="3" t="str">
        <f>HYPERLINK("https://ceds.ed.gov/elementComment.aspx?elementName=Charter School Approval Agency Type &amp;elementID=6258", "Click here to submit comment")</f>
        <v>Click here to submit comment</v>
      </c>
    </row>
    <row r="362" spans="1:14" ht="30">
      <c r="A362" s="3" t="s">
        <v>1614</v>
      </c>
      <c r="B362" s="3" t="s">
        <v>1615</v>
      </c>
      <c r="C362" s="3" t="s">
        <v>13</v>
      </c>
      <c r="D362" s="3" t="s">
        <v>224</v>
      </c>
      <c r="E362" s="3"/>
      <c r="F362" s="3" t="s">
        <v>54</v>
      </c>
      <c r="G362" s="3" t="s">
        <v>1616</v>
      </c>
      <c r="H362" s="3"/>
      <c r="I362" s="3"/>
      <c r="J362" s="3" t="s">
        <v>1617</v>
      </c>
      <c r="K362" s="3"/>
      <c r="L362" s="3" t="s">
        <v>1618</v>
      </c>
      <c r="M362" s="3" t="str">
        <f>HYPERLINK("https://ceds.ed.gov/cedselementdetails.aspx?termid=6259")</f>
        <v>https://ceds.ed.gov/cedselementdetails.aspx?termid=6259</v>
      </c>
      <c r="N362" s="3" t="str">
        <f>HYPERLINK("https://ceds.ed.gov/elementComment.aspx?elementName=Charter School Approval Year &amp;elementID=6259", "Click here to submit comment")</f>
        <v>Click here to submit comment</v>
      </c>
    </row>
    <row r="363" spans="1:14" ht="105">
      <c r="A363" s="3" t="s">
        <v>1619</v>
      </c>
      <c r="B363" s="3" t="s">
        <v>1620</v>
      </c>
      <c r="C363" s="3" t="s">
        <v>5963</v>
      </c>
      <c r="D363" s="3" t="s">
        <v>6094</v>
      </c>
      <c r="E363" s="3" t="s">
        <v>5968</v>
      </c>
      <c r="F363" s="3"/>
      <c r="G363" s="3"/>
      <c r="H363" s="3"/>
      <c r="I363" s="3"/>
      <c r="J363" s="3" t="s">
        <v>1621</v>
      </c>
      <c r="K363" s="3"/>
      <c r="L363" s="3" t="s">
        <v>1622</v>
      </c>
      <c r="M363" s="3" t="str">
        <f>HYPERLINK("https://ceds.ed.gov/cedselementdetails.aspx?termid=5039")</f>
        <v>https://ceds.ed.gov/cedselementdetails.aspx?termid=5039</v>
      </c>
      <c r="N363" s="3" t="str">
        <f>HYPERLINK("https://ceds.ed.gov/elementComment.aspx?elementName=Charter School Indicator &amp;elementID=5039", "Click here to submit comment")</f>
        <v>Click here to submit comment</v>
      </c>
    </row>
    <row r="364" spans="1:14" ht="90">
      <c r="A364" s="3" t="s">
        <v>1623</v>
      </c>
      <c r="B364" s="3" t="s">
        <v>1624</v>
      </c>
      <c r="C364" s="4" t="s">
        <v>6420</v>
      </c>
      <c r="D364" s="3" t="s">
        <v>224</v>
      </c>
      <c r="E364" s="3"/>
      <c r="F364" s="3"/>
      <c r="G364" s="3"/>
      <c r="H364" s="3"/>
      <c r="I364" s="3"/>
      <c r="J364" s="3" t="s">
        <v>1625</v>
      </c>
      <c r="K364" s="3"/>
      <c r="L364" s="3" t="s">
        <v>1626</v>
      </c>
      <c r="M364" s="3" t="str">
        <f>HYPERLINK("https://ceds.ed.gov/cedselementdetails.aspx?termid=5686")</f>
        <v>https://ceds.ed.gov/cedselementdetails.aspx?termid=5686</v>
      </c>
      <c r="N364" s="3" t="str">
        <f>HYPERLINK("https://ceds.ed.gov/elementComment.aspx?elementName=Charter School Type &amp;elementID=5686", "Click here to submit comment")</f>
        <v>Click here to submit comment</v>
      </c>
    </row>
    <row r="365" spans="1:14" ht="120">
      <c r="A365" s="3" t="s">
        <v>1627</v>
      </c>
      <c r="B365" s="3" t="s">
        <v>1628</v>
      </c>
      <c r="C365" s="4" t="s">
        <v>6421</v>
      </c>
      <c r="D365" s="3" t="s">
        <v>1629</v>
      </c>
      <c r="E365" s="3" t="s">
        <v>202</v>
      </c>
      <c r="F365" s="3"/>
      <c r="G365" s="3"/>
      <c r="H365" s="3"/>
      <c r="I365" s="3"/>
      <c r="J365" s="3" t="s">
        <v>1630</v>
      </c>
      <c r="K365" s="3" t="s">
        <v>1631</v>
      </c>
      <c r="L365" s="3" t="s">
        <v>1632</v>
      </c>
      <c r="M365" s="3" t="str">
        <f>HYPERLINK("https://ceds.ed.gov/cedselementdetails.aspx?termid=5805")</f>
        <v>https://ceds.ed.gov/cedselementdetails.aspx?termid=5805</v>
      </c>
      <c r="N365" s="3" t="str">
        <f>HYPERLINK("https://ceds.ed.gov/elementComment.aspx?elementName=Child Development Associate Type &amp;elementID=5805", "Click here to submit comment")</f>
        <v>Click here to submit comment</v>
      </c>
    </row>
    <row r="366" spans="1:14" ht="225">
      <c r="A366" s="3" t="s">
        <v>1633</v>
      </c>
      <c r="B366" s="3" t="s">
        <v>1634</v>
      </c>
      <c r="C366" s="4" t="s">
        <v>6422</v>
      </c>
      <c r="D366" s="3" t="s">
        <v>1635</v>
      </c>
      <c r="E366" s="3" t="s">
        <v>6095</v>
      </c>
      <c r="F366" s="3"/>
      <c r="G366" s="3"/>
      <c r="H366" s="3"/>
      <c r="I366" s="3"/>
      <c r="J366" s="3" t="s">
        <v>1636</v>
      </c>
      <c r="K366" s="3"/>
      <c r="L366" s="3" t="s">
        <v>1637</v>
      </c>
      <c r="M366" s="3" t="str">
        <f>HYPERLINK("https://ceds.ed.gov/cedselementdetails.aspx?termid=5782")</f>
        <v>https://ceds.ed.gov/cedselementdetails.aspx?termid=5782</v>
      </c>
      <c r="N366" s="3" t="str">
        <f>HYPERLINK("https://ceds.ed.gov/elementComment.aspx?elementName=Child Identification System &amp;elementID=5782", "Click here to submit comment")</f>
        <v>Click here to submit comment</v>
      </c>
    </row>
    <row r="367" spans="1:14" ht="60">
      <c r="A367" s="3" t="s">
        <v>1638</v>
      </c>
      <c r="B367" s="3" t="s">
        <v>1639</v>
      </c>
      <c r="C367" s="3" t="s">
        <v>13</v>
      </c>
      <c r="D367" s="3" t="s">
        <v>1635</v>
      </c>
      <c r="E367" s="3" t="s">
        <v>6095</v>
      </c>
      <c r="F367" s="3"/>
      <c r="G367" s="3" t="s">
        <v>100</v>
      </c>
      <c r="H367" s="3"/>
      <c r="I367" s="3"/>
      <c r="J367" s="3" t="s">
        <v>1640</v>
      </c>
      <c r="K367" s="3"/>
      <c r="L367" s="3" t="s">
        <v>1641</v>
      </c>
      <c r="M367" s="3" t="str">
        <f>HYPERLINK("https://ceds.ed.gov/cedselementdetails.aspx?termid=5781")</f>
        <v>https://ceds.ed.gov/cedselementdetails.aspx?termid=5781</v>
      </c>
      <c r="N367" s="3" t="str">
        <f>HYPERLINK("https://ceds.ed.gov/elementComment.aspx?elementName=Child Identifier &amp;elementID=5781", "Click here to submit comment")</f>
        <v>Click here to submit comment</v>
      </c>
    </row>
    <row r="368" spans="1:14" ht="45">
      <c r="A368" s="3" t="s">
        <v>1642</v>
      </c>
      <c r="B368" s="3" t="s">
        <v>1643</v>
      </c>
      <c r="C368" s="3" t="s">
        <v>5963</v>
      </c>
      <c r="D368" s="3" t="s">
        <v>1644</v>
      </c>
      <c r="E368" s="3"/>
      <c r="F368" s="3" t="s">
        <v>54</v>
      </c>
      <c r="G368" s="3"/>
      <c r="H368" s="3"/>
      <c r="I368" s="3"/>
      <c r="J368" s="3" t="s">
        <v>1645</v>
      </c>
      <c r="K368" s="3" t="s">
        <v>1646</v>
      </c>
      <c r="L368" s="3" t="s">
        <v>1647</v>
      </c>
      <c r="M368" s="3" t="str">
        <f>HYPERLINK("https://ceds.ed.gov/cedselementdetails.aspx?termid=6476")</f>
        <v>https://ceds.ed.gov/cedselementdetails.aspx?termid=6476</v>
      </c>
      <c r="N368" s="3" t="str">
        <f>HYPERLINK("https://ceds.ed.gov/elementComment.aspx?elementName=Child Outcomes Summary Progress A Indicator &amp;elementID=6476", "Click here to submit comment")</f>
        <v>Click here to submit comment</v>
      </c>
    </row>
    <row r="369" spans="1:14" ht="60">
      <c r="A369" s="3" t="s">
        <v>1648</v>
      </c>
      <c r="B369" s="3" t="s">
        <v>1649</v>
      </c>
      <c r="C369" s="3" t="s">
        <v>5963</v>
      </c>
      <c r="D369" s="3" t="s">
        <v>1644</v>
      </c>
      <c r="E369" s="3"/>
      <c r="F369" s="3" t="s">
        <v>54</v>
      </c>
      <c r="G369" s="3"/>
      <c r="H369" s="3"/>
      <c r="I369" s="3"/>
      <c r="J369" s="3" t="s">
        <v>1650</v>
      </c>
      <c r="K369" s="3" t="s">
        <v>1651</v>
      </c>
      <c r="L369" s="3" t="s">
        <v>1652</v>
      </c>
      <c r="M369" s="3" t="str">
        <f>HYPERLINK("https://ceds.ed.gov/cedselementdetails.aspx?termid=6477")</f>
        <v>https://ceds.ed.gov/cedselementdetails.aspx?termid=6477</v>
      </c>
      <c r="N369" s="3" t="str">
        <f>HYPERLINK("https://ceds.ed.gov/elementComment.aspx?elementName=Child Outcomes Summary Progress B Indicator &amp;elementID=6477", "Click here to submit comment")</f>
        <v>Click here to submit comment</v>
      </c>
    </row>
    <row r="370" spans="1:14" ht="45">
      <c r="A370" s="3" t="s">
        <v>1653</v>
      </c>
      <c r="B370" s="3" t="s">
        <v>1654</v>
      </c>
      <c r="C370" s="3" t="s">
        <v>5963</v>
      </c>
      <c r="D370" s="3" t="s">
        <v>1644</v>
      </c>
      <c r="E370" s="3"/>
      <c r="F370" s="3" t="s">
        <v>54</v>
      </c>
      <c r="G370" s="3"/>
      <c r="H370" s="3"/>
      <c r="I370" s="3"/>
      <c r="J370" s="3" t="s">
        <v>1655</v>
      </c>
      <c r="K370" s="3" t="s">
        <v>1656</v>
      </c>
      <c r="L370" s="3" t="s">
        <v>1657</v>
      </c>
      <c r="M370" s="3" t="str">
        <f>HYPERLINK("https://ceds.ed.gov/cedselementdetails.aspx?termid=6478")</f>
        <v>https://ceds.ed.gov/cedselementdetails.aspx?termid=6478</v>
      </c>
      <c r="N370" s="3" t="str">
        <f>HYPERLINK("https://ceds.ed.gov/elementComment.aspx?elementName=Child Outcomes Summary Progress C Indicator &amp;elementID=6478", "Click here to submit comment")</f>
        <v>Click here to submit comment</v>
      </c>
    </row>
    <row r="371" spans="1:14" ht="330">
      <c r="A371" s="3" t="s">
        <v>1658</v>
      </c>
      <c r="B371" s="3" t="s">
        <v>1659</v>
      </c>
      <c r="C371" s="4" t="s">
        <v>6423</v>
      </c>
      <c r="D371" s="3" t="s">
        <v>1644</v>
      </c>
      <c r="E371" s="3"/>
      <c r="F371" s="3" t="s">
        <v>54</v>
      </c>
      <c r="G371" s="3"/>
      <c r="H371" s="3"/>
      <c r="I371" s="3"/>
      <c r="J371" s="3" t="s">
        <v>1660</v>
      </c>
      <c r="K371" s="3" t="s">
        <v>1661</v>
      </c>
      <c r="L371" s="3" t="s">
        <v>1662</v>
      </c>
      <c r="M371" s="3" t="str">
        <f>HYPERLINK("https://ceds.ed.gov/cedselementdetails.aspx?termid=6479")</f>
        <v>https://ceds.ed.gov/cedselementdetails.aspx?termid=6479</v>
      </c>
      <c r="N371" s="3" t="str">
        <f>HYPERLINK("https://ceds.ed.gov/elementComment.aspx?elementName=Child Outcomes Summary Rating A &amp;elementID=6479", "Click here to submit comment")</f>
        <v>Click here to submit comment</v>
      </c>
    </row>
    <row r="372" spans="1:14" ht="330">
      <c r="A372" s="3" t="s">
        <v>1663</v>
      </c>
      <c r="B372" s="3" t="s">
        <v>1664</v>
      </c>
      <c r="C372" s="4" t="s">
        <v>6423</v>
      </c>
      <c r="D372" s="3" t="s">
        <v>1644</v>
      </c>
      <c r="E372" s="3"/>
      <c r="F372" s="3" t="s">
        <v>54</v>
      </c>
      <c r="G372" s="3"/>
      <c r="H372" s="3"/>
      <c r="I372" s="3"/>
      <c r="J372" s="3" t="s">
        <v>1665</v>
      </c>
      <c r="K372" s="3" t="s">
        <v>1666</v>
      </c>
      <c r="L372" s="3" t="s">
        <v>1667</v>
      </c>
      <c r="M372" s="3" t="str">
        <f>HYPERLINK("https://ceds.ed.gov/cedselementdetails.aspx?termid=6480")</f>
        <v>https://ceds.ed.gov/cedselementdetails.aspx?termid=6480</v>
      </c>
      <c r="N372" s="3" t="str">
        <f>HYPERLINK("https://ceds.ed.gov/elementComment.aspx?elementName=Child Outcomes Summary Rating B &amp;elementID=6480", "Click here to submit comment")</f>
        <v>Click here to submit comment</v>
      </c>
    </row>
    <row r="373" spans="1:14" ht="330">
      <c r="A373" s="3" t="s">
        <v>1668</v>
      </c>
      <c r="B373" s="3" t="s">
        <v>1669</v>
      </c>
      <c r="C373" s="4" t="s">
        <v>6423</v>
      </c>
      <c r="D373" s="3" t="s">
        <v>1644</v>
      </c>
      <c r="E373" s="3"/>
      <c r="F373" s="3" t="s">
        <v>54</v>
      </c>
      <c r="G373" s="3"/>
      <c r="H373" s="3"/>
      <c r="I373" s="3"/>
      <c r="J373" s="3" t="s">
        <v>1670</v>
      </c>
      <c r="K373" s="3" t="s">
        <v>1671</v>
      </c>
      <c r="L373" s="3" t="s">
        <v>1672</v>
      </c>
      <c r="M373" s="3" t="str">
        <f>HYPERLINK("https://ceds.ed.gov/cedselementdetails.aspx?termid=6481")</f>
        <v>https://ceds.ed.gov/cedselementdetails.aspx?termid=6481</v>
      </c>
      <c r="N373" s="3" t="str">
        <f>HYPERLINK("https://ceds.ed.gov/elementComment.aspx?elementName=Child Outcomes Summary Rating C &amp;elementID=6481", "Click here to submit comment")</f>
        <v>Click here to submit comment</v>
      </c>
    </row>
    <row r="374" spans="1:14" ht="30">
      <c r="A374" s="3" t="s">
        <v>1673</v>
      </c>
      <c r="B374" s="3" t="s">
        <v>1674</v>
      </c>
      <c r="C374" s="3" t="s">
        <v>13</v>
      </c>
      <c r="D374" s="3" t="s">
        <v>1675</v>
      </c>
      <c r="E374" s="3" t="s">
        <v>1480</v>
      </c>
      <c r="F374" s="3"/>
      <c r="G374" s="3" t="s">
        <v>100</v>
      </c>
      <c r="H374" s="3"/>
      <c r="I374" s="3"/>
      <c r="J374" s="3" t="s">
        <v>1676</v>
      </c>
      <c r="K374" s="3"/>
      <c r="L374" s="3" t="s">
        <v>1677</v>
      </c>
      <c r="M374" s="3" t="str">
        <f>HYPERLINK("https://ceds.ed.gov/cedselementdetails.aspx?termid=5416")</f>
        <v>https://ceds.ed.gov/cedselementdetails.aspx?termid=5416</v>
      </c>
      <c r="N374" s="3" t="str">
        <f>HYPERLINK("https://ceds.ed.gov/elementComment.aspx?elementName=City of Birth &amp;elementID=5416", "Click here to submit comment")</f>
        <v>Click here to submit comment</v>
      </c>
    </row>
    <row r="375" spans="1:14" ht="90">
      <c r="A375" s="3" t="s">
        <v>1678</v>
      </c>
      <c r="B375" s="3" t="s">
        <v>1679</v>
      </c>
      <c r="C375" s="3" t="s">
        <v>13</v>
      </c>
      <c r="D375" s="3" t="s">
        <v>6096</v>
      </c>
      <c r="E375" s="3" t="s">
        <v>6097</v>
      </c>
      <c r="F375" s="3"/>
      <c r="G375" s="3" t="s">
        <v>426</v>
      </c>
      <c r="H375" s="3"/>
      <c r="I375" s="3"/>
      <c r="J375" s="3" t="s">
        <v>1680</v>
      </c>
      <c r="K375" s="3"/>
      <c r="L375" s="3" t="s">
        <v>1681</v>
      </c>
      <c r="M375" s="3" t="str">
        <f>HYPERLINK("https://ceds.ed.gov/cedselementdetails.aspx?termid=5510")</f>
        <v>https://ceds.ed.gov/cedselementdetails.aspx?termid=5510</v>
      </c>
      <c r="N375" s="3" t="str">
        <f>HYPERLINK("https://ceds.ed.gov/elementComment.aspx?elementName=Class Beginning Time &amp;elementID=5510", "Click here to submit comment")</f>
        <v>Click here to submit comment</v>
      </c>
    </row>
    <row r="376" spans="1:14" ht="90">
      <c r="A376" s="3" t="s">
        <v>1682</v>
      </c>
      <c r="B376" s="3" t="s">
        <v>1683</v>
      </c>
      <c r="C376" s="3" t="s">
        <v>13</v>
      </c>
      <c r="D376" s="3" t="s">
        <v>6096</v>
      </c>
      <c r="E376" s="3" t="s">
        <v>6097</v>
      </c>
      <c r="F376" s="3"/>
      <c r="G376" s="3" t="s">
        <v>1684</v>
      </c>
      <c r="H376" s="3"/>
      <c r="I376" s="3"/>
      <c r="J376" s="3" t="s">
        <v>1685</v>
      </c>
      <c r="K376" s="3"/>
      <c r="L376" s="3" t="s">
        <v>1686</v>
      </c>
      <c r="M376" s="3" t="str">
        <f>HYPERLINK("https://ceds.ed.gov/cedselementdetails.aspx?termid=5511")</f>
        <v>https://ceds.ed.gov/cedselementdetails.aspx?termid=5511</v>
      </c>
      <c r="N376" s="3" t="str">
        <f>HYPERLINK("https://ceds.ed.gov/elementComment.aspx?elementName=Class Ending Time &amp;elementID=5511", "Click here to submit comment")</f>
        <v>Click here to submit comment</v>
      </c>
    </row>
    <row r="377" spans="1:14" ht="60">
      <c r="A377" s="3" t="s">
        <v>1687</v>
      </c>
      <c r="B377" s="3" t="s">
        <v>1688</v>
      </c>
      <c r="C377" s="3" t="s">
        <v>13</v>
      </c>
      <c r="D377" s="3" t="s">
        <v>6098</v>
      </c>
      <c r="E377" s="3"/>
      <c r="F377" s="3"/>
      <c r="G377" s="3" t="s">
        <v>106</v>
      </c>
      <c r="H377" s="3"/>
      <c r="I377" s="3"/>
      <c r="J377" s="3" t="s">
        <v>1689</v>
      </c>
      <c r="K377" s="3"/>
      <c r="L377" s="3" t="s">
        <v>1690</v>
      </c>
      <c r="M377" s="3" t="str">
        <f>HYPERLINK("https://ceds.ed.gov/cedselementdetails.aspx?termid=5512")</f>
        <v>https://ceds.ed.gov/cedselementdetails.aspx?termid=5512</v>
      </c>
      <c r="N377" s="3" t="str">
        <f>HYPERLINK("https://ceds.ed.gov/elementComment.aspx?elementName=Class Meeting Days &amp;elementID=5512", "Click here to submit comment")</f>
        <v>Click here to submit comment</v>
      </c>
    </row>
    <row r="378" spans="1:14" ht="75">
      <c r="A378" s="3" t="s">
        <v>1691</v>
      </c>
      <c r="B378" s="3" t="s">
        <v>1692</v>
      </c>
      <c r="C378" s="3" t="s">
        <v>13</v>
      </c>
      <c r="D378" s="3" t="s">
        <v>6098</v>
      </c>
      <c r="E378" s="3"/>
      <c r="F378" s="3"/>
      <c r="G378" s="3" t="s">
        <v>100</v>
      </c>
      <c r="H378" s="3"/>
      <c r="I378" s="3"/>
      <c r="J378" s="3" t="s">
        <v>1693</v>
      </c>
      <c r="K378" s="3"/>
      <c r="L378" s="3" t="s">
        <v>1694</v>
      </c>
      <c r="M378" s="3" t="str">
        <f>HYPERLINK("https://ceds.ed.gov/cedselementdetails.aspx?termid=5513")</f>
        <v>https://ceds.ed.gov/cedselementdetails.aspx?termid=5513</v>
      </c>
      <c r="N378" s="3" t="str">
        <f>HYPERLINK("https://ceds.ed.gov/elementComment.aspx?elementName=Class Period &amp;elementID=5513", "Click here to submit comment")</f>
        <v>Click here to submit comment</v>
      </c>
    </row>
    <row r="379" spans="1:14" ht="90">
      <c r="A379" s="3" t="s">
        <v>1695</v>
      </c>
      <c r="B379" s="3" t="s">
        <v>1696</v>
      </c>
      <c r="C379" s="3" t="s">
        <v>13</v>
      </c>
      <c r="D379" s="3" t="s">
        <v>30</v>
      </c>
      <c r="E379" s="3" t="s">
        <v>5968</v>
      </c>
      <c r="F379" s="3"/>
      <c r="G379" s="3" t="s">
        <v>1697</v>
      </c>
      <c r="H379" s="3"/>
      <c r="I379" s="3"/>
      <c r="J379" s="3" t="s">
        <v>1698</v>
      </c>
      <c r="K379" s="3"/>
      <c r="L379" s="3" t="s">
        <v>1699</v>
      </c>
      <c r="M379" s="3" t="str">
        <f>HYPERLINK("https://ceds.ed.gov/cedselementdetails.aspx?termid=5042")</f>
        <v>https://ceds.ed.gov/cedselementdetails.aspx?termid=5042</v>
      </c>
      <c r="N379" s="3" t="str">
        <f>HYPERLINK("https://ceds.ed.gov/elementComment.aspx?elementName=Class Ranking Date &amp;elementID=5042", "Click here to submit comment")</f>
        <v>Click here to submit comment</v>
      </c>
    </row>
    <row r="380" spans="1:14" ht="75">
      <c r="A380" s="3" t="s">
        <v>1700</v>
      </c>
      <c r="B380" s="3" t="s">
        <v>1701</v>
      </c>
      <c r="C380" s="5" t="s">
        <v>1702</v>
      </c>
      <c r="D380" s="3" t="s">
        <v>6099</v>
      </c>
      <c r="E380" s="3" t="s">
        <v>5967</v>
      </c>
      <c r="F380" s="3" t="s">
        <v>3</v>
      </c>
      <c r="G380" s="3"/>
      <c r="H380" s="3"/>
      <c r="I380" s="3"/>
      <c r="J380" s="3" t="s">
        <v>1703</v>
      </c>
      <c r="K380" s="3" t="s">
        <v>1704</v>
      </c>
      <c r="L380" s="3" t="s">
        <v>1705</v>
      </c>
      <c r="M380" s="3" t="str">
        <f>HYPERLINK("https://ceds.ed.gov/cedselementdetails.aspx?termid=5043")</f>
        <v>https://ceds.ed.gov/cedselementdetails.aspx?termid=5043</v>
      </c>
      <c r="N380" s="3" t="str">
        <f>HYPERLINK("https://ceds.ed.gov/elementComment.aspx?elementName=Classification of Instructional Program Code &amp;elementID=5043", "Click here to submit comment")</f>
        <v>Click here to submit comment</v>
      </c>
    </row>
    <row r="381" spans="1:14" ht="135">
      <c r="A381" s="3" t="s">
        <v>1706</v>
      </c>
      <c r="B381" s="3" t="s">
        <v>1707</v>
      </c>
      <c r="C381" s="4" t="s">
        <v>6424</v>
      </c>
      <c r="D381" s="3" t="s">
        <v>1708</v>
      </c>
      <c r="E381" s="3" t="s">
        <v>5976</v>
      </c>
      <c r="F381" s="3"/>
      <c r="G381" s="3"/>
      <c r="H381" s="3"/>
      <c r="I381" s="3"/>
      <c r="J381" s="3" t="s">
        <v>1709</v>
      </c>
      <c r="K381" s="3" t="s">
        <v>1710</v>
      </c>
      <c r="L381" s="3" t="s">
        <v>1711</v>
      </c>
      <c r="M381" s="3" t="str">
        <f>HYPERLINK("https://ceds.ed.gov/cedselementdetails.aspx?termid=5044")</f>
        <v>https://ceds.ed.gov/cedselementdetails.aspx?termid=5044</v>
      </c>
      <c r="N381" s="3" t="str">
        <f>HYPERLINK("https://ceds.ed.gov/elementComment.aspx?elementName=Classification of Instructional Program Use &amp;elementID=5044", "Click here to submit comment")</f>
        <v>Click here to submit comment</v>
      </c>
    </row>
    <row r="382" spans="1:14" ht="90">
      <c r="A382" s="3" t="s">
        <v>1712</v>
      </c>
      <c r="B382" s="3" t="s">
        <v>1713</v>
      </c>
      <c r="C382" s="4" t="s">
        <v>6425</v>
      </c>
      <c r="D382" s="3" t="s">
        <v>1708</v>
      </c>
      <c r="E382" s="3" t="s">
        <v>5976</v>
      </c>
      <c r="F382" s="3"/>
      <c r="G382" s="3"/>
      <c r="H382" s="3"/>
      <c r="I382" s="3"/>
      <c r="J382" s="3" t="s">
        <v>1714</v>
      </c>
      <c r="K382" s="3" t="s">
        <v>1715</v>
      </c>
      <c r="L382" s="3" t="s">
        <v>1716</v>
      </c>
      <c r="M382" s="3" t="str">
        <f>HYPERLINK("https://ceds.ed.gov/cedselementdetails.aspx?termid=5045")</f>
        <v>https://ceds.ed.gov/cedselementdetails.aspx?termid=5045</v>
      </c>
      <c r="N382" s="3" t="str">
        <f>HYPERLINK("https://ceds.ed.gov/elementComment.aspx?elementName=Classification of Instructional Program Version &amp;elementID=5045", "Click here to submit comment")</f>
        <v>Click here to submit comment</v>
      </c>
    </row>
    <row r="383" spans="1:14" ht="60">
      <c r="A383" s="3" t="s">
        <v>1717</v>
      </c>
      <c r="B383" s="3" t="s">
        <v>1718</v>
      </c>
      <c r="C383" s="3" t="s">
        <v>13</v>
      </c>
      <c r="D383" s="3" t="s">
        <v>6098</v>
      </c>
      <c r="E383" s="3"/>
      <c r="F383" s="3"/>
      <c r="G383" s="3" t="s">
        <v>100</v>
      </c>
      <c r="H383" s="3"/>
      <c r="I383" s="3"/>
      <c r="J383" s="3" t="s">
        <v>1719</v>
      </c>
      <c r="K383" s="3"/>
      <c r="L383" s="3" t="s">
        <v>1720</v>
      </c>
      <c r="M383" s="3" t="str">
        <f>HYPERLINK("https://ceds.ed.gov/cedselementdetails.aspx?termid=5507")</f>
        <v>https://ceds.ed.gov/cedselementdetails.aspx?termid=5507</v>
      </c>
      <c r="N383" s="3" t="str">
        <f>HYPERLINK("https://ceds.ed.gov/elementComment.aspx?elementName=Classroom Identifier &amp;elementID=5507", "Click here to submit comment")</f>
        <v>Click here to submit comment</v>
      </c>
    </row>
    <row r="384" spans="1:14" ht="270">
      <c r="A384" s="3" t="s">
        <v>1721</v>
      </c>
      <c r="B384" s="3" t="s">
        <v>1722</v>
      </c>
      <c r="C384" s="4" t="s">
        <v>6426</v>
      </c>
      <c r="D384" s="3" t="s">
        <v>1723</v>
      </c>
      <c r="E384" s="3"/>
      <c r="F384" s="3"/>
      <c r="G384" s="3"/>
      <c r="H384" s="3"/>
      <c r="I384" s="3"/>
      <c r="J384" s="3" t="s">
        <v>1724</v>
      </c>
      <c r="K384" s="3"/>
      <c r="L384" s="3" t="s">
        <v>1725</v>
      </c>
      <c r="M384" s="3" t="str">
        <f>HYPERLINK("https://ceds.ed.gov/cedselementdetails.aspx?termid=5615")</f>
        <v>https://ceds.ed.gov/cedselementdetails.aspx?termid=5615</v>
      </c>
      <c r="N384" s="3" t="str">
        <f>HYPERLINK("https://ceds.ed.gov/elementComment.aspx?elementName=Classroom Position Type &amp;elementID=5615", "Click here to submit comment")</f>
        <v>Click here to submit comment</v>
      </c>
    </row>
    <row r="385" spans="1:14">
      <c r="A385" s="3" t="s">
        <v>1726</v>
      </c>
      <c r="B385" s="3" t="s">
        <v>1727</v>
      </c>
      <c r="C385" s="3" t="s">
        <v>13</v>
      </c>
      <c r="D385" s="3" t="s">
        <v>30</v>
      </c>
      <c r="E385" s="3"/>
      <c r="F385" s="3"/>
      <c r="G385" s="3" t="s">
        <v>100</v>
      </c>
      <c r="H385" s="3"/>
      <c r="I385" s="3"/>
      <c r="J385" s="3" t="s">
        <v>1728</v>
      </c>
      <c r="K385" s="3"/>
      <c r="L385" s="3" t="s">
        <v>1729</v>
      </c>
      <c r="M385" s="3" t="str">
        <f>HYPERLINK("https://ceds.ed.gov/cedselementdetails.aspx?termid=5687")</f>
        <v>https://ceds.ed.gov/cedselementdetails.aspx?termid=5687</v>
      </c>
      <c r="N385" s="3" t="str">
        <f>HYPERLINK("https://ceds.ed.gov/elementComment.aspx?elementName=Cohort Description &amp;elementID=5687", "Click here to submit comment")</f>
        <v>Click here to submit comment</v>
      </c>
    </row>
    <row r="386" spans="1:14" ht="195">
      <c r="A386" s="3" t="s">
        <v>1730</v>
      </c>
      <c r="B386" s="3" t="s">
        <v>1731</v>
      </c>
      <c r="C386" s="4" t="s">
        <v>6427</v>
      </c>
      <c r="D386" s="3" t="s">
        <v>1536</v>
      </c>
      <c r="E386" s="3" t="s">
        <v>1537</v>
      </c>
      <c r="F386" s="3"/>
      <c r="G386" s="3"/>
      <c r="H386" s="3"/>
      <c r="I386" s="3"/>
      <c r="J386" s="3" t="s">
        <v>1732</v>
      </c>
      <c r="K386" s="3"/>
      <c r="L386" s="3" t="s">
        <v>1733</v>
      </c>
      <c r="M386" s="3" t="str">
        <f>HYPERLINK("https://ceds.ed.gov/cedselementdetails.aspx?termid=5106")</f>
        <v>https://ceds.ed.gov/cedselementdetails.aspx?termid=5106</v>
      </c>
      <c r="N386" s="3" t="str">
        <f>HYPERLINK("https://ceds.ed.gov/elementComment.aspx?elementName=Cohort Exclusion &amp;elementID=5106", "Click here to submit comment")</f>
        <v>Click here to submit comment</v>
      </c>
    </row>
    <row r="387" spans="1:14" ht="60">
      <c r="A387" s="3" t="s">
        <v>1734</v>
      </c>
      <c r="B387" s="3" t="s">
        <v>1735</v>
      </c>
      <c r="C387" s="3" t="s">
        <v>13</v>
      </c>
      <c r="D387" s="3" t="s">
        <v>6100</v>
      </c>
      <c r="E387" s="3" t="s">
        <v>6101</v>
      </c>
      <c r="F387" s="3" t="s">
        <v>3</v>
      </c>
      <c r="G387" s="3" t="s">
        <v>1736</v>
      </c>
      <c r="H387" s="3"/>
      <c r="I387" s="3"/>
      <c r="J387" s="3" t="s">
        <v>1737</v>
      </c>
      <c r="K387" s="3"/>
      <c r="L387" s="3" t="s">
        <v>1738</v>
      </c>
      <c r="M387" s="3" t="str">
        <f>HYPERLINK("https://ceds.ed.gov/cedselementdetails.aspx?termid=5577")</f>
        <v>https://ceds.ed.gov/cedselementdetails.aspx?termid=5577</v>
      </c>
      <c r="N387" s="3" t="str">
        <f>HYPERLINK("https://ceds.ed.gov/elementComment.aspx?elementName=Cohort Graduation Year &amp;elementID=5577", "Click here to submit comment")</f>
        <v>Click here to submit comment</v>
      </c>
    </row>
    <row r="388" spans="1:14" ht="60">
      <c r="A388" s="3" t="s">
        <v>1739</v>
      </c>
      <c r="B388" s="3" t="s">
        <v>1740</v>
      </c>
      <c r="C388" s="3" t="s">
        <v>13</v>
      </c>
      <c r="D388" s="3" t="s">
        <v>6102</v>
      </c>
      <c r="E388" s="3" t="s">
        <v>6093</v>
      </c>
      <c r="F388" s="3"/>
      <c r="G388" s="3" t="s">
        <v>1736</v>
      </c>
      <c r="H388" s="3"/>
      <c r="I388" s="3"/>
      <c r="J388" s="3" t="s">
        <v>1741</v>
      </c>
      <c r="K388" s="3"/>
      <c r="L388" s="3" t="s">
        <v>1742</v>
      </c>
      <c r="M388" s="3" t="str">
        <f>HYPERLINK("https://ceds.ed.gov/cedselementdetails.aspx?termid=5046")</f>
        <v>https://ceds.ed.gov/cedselementdetails.aspx?termid=5046</v>
      </c>
      <c r="N388" s="3" t="str">
        <f>HYPERLINK("https://ceds.ed.gov/elementComment.aspx?elementName=Cohort Year &amp;elementID=5046", "Click here to submit comment")</f>
        <v>Click here to submit comment</v>
      </c>
    </row>
    <row r="389" spans="1:14" ht="120">
      <c r="A389" s="3" t="s">
        <v>1743</v>
      </c>
      <c r="B389" s="3" t="s">
        <v>1744</v>
      </c>
      <c r="C389" s="3" t="s">
        <v>13</v>
      </c>
      <c r="D389" s="3" t="s">
        <v>6103</v>
      </c>
      <c r="E389" s="3"/>
      <c r="F389" s="3"/>
      <c r="G389" s="3" t="s">
        <v>93</v>
      </c>
      <c r="H389" s="3"/>
      <c r="I389" s="3" t="s">
        <v>1745</v>
      </c>
      <c r="J389" s="3" t="s">
        <v>1746</v>
      </c>
      <c r="K389" s="3"/>
      <c r="L389" s="3" t="s">
        <v>1747</v>
      </c>
      <c r="M389" s="3" t="str">
        <f>HYPERLINK("https://ceds.ed.gov/cedselementdetails.aspx?termid=5877")</f>
        <v>https://ceds.ed.gov/cedselementdetails.aspx?termid=5877</v>
      </c>
      <c r="N389" s="3" t="str">
        <f>HYPERLINK("https://ceds.ed.gov/elementComment.aspx?elementName=Competency Set Completion Criteria &amp;elementID=5877", "Click here to submit comment")</f>
        <v>Click here to submit comment</v>
      </c>
    </row>
    <row r="390" spans="1:14" ht="90">
      <c r="A390" s="3" t="s">
        <v>1748</v>
      </c>
      <c r="B390" s="3" t="s">
        <v>1749</v>
      </c>
      <c r="C390" s="3" t="s">
        <v>13</v>
      </c>
      <c r="D390" s="3" t="s">
        <v>6103</v>
      </c>
      <c r="E390" s="3"/>
      <c r="F390" s="3"/>
      <c r="G390" s="3" t="s">
        <v>308</v>
      </c>
      <c r="H390" s="3"/>
      <c r="I390" s="3" t="s">
        <v>1750</v>
      </c>
      <c r="J390" s="3" t="s">
        <v>1751</v>
      </c>
      <c r="K390" s="3"/>
      <c r="L390" s="3" t="s">
        <v>1752</v>
      </c>
      <c r="M390" s="3" t="str">
        <f>HYPERLINK("https://ceds.ed.gov/cedselementdetails.aspx?termid=5878")</f>
        <v>https://ceds.ed.gov/cedselementdetails.aspx?termid=5878</v>
      </c>
      <c r="N390" s="3" t="str">
        <f>HYPERLINK("https://ceds.ed.gov/elementComment.aspx?elementName=Competency Set Completion Criteria Threshold &amp;elementID=5878", "Click here to submit comment")</f>
        <v>Click here to submit comment</v>
      </c>
    </row>
    <row r="391" spans="1:14" ht="90">
      <c r="A391" s="3" t="s">
        <v>1753</v>
      </c>
      <c r="B391" s="3" t="s">
        <v>1754</v>
      </c>
      <c r="C391" s="3" t="s">
        <v>13</v>
      </c>
      <c r="D391" s="3" t="s">
        <v>1494</v>
      </c>
      <c r="E391" s="3" t="s">
        <v>1495</v>
      </c>
      <c r="F391" s="3"/>
      <c r="G391" s="3" t="s">
        <v>1461</v>
      </c>
      <c r="H391" s="3"/>
      <c r="I391" s="3" t="s">
        <v>358</v>
      </c>
      <c r="J391" s="3" t="s">
        <v>1755</v>
      </c>
      <c r="K391" s="3"/>
      <c r="L391" s="3" t="s">
        <v>1756</v>
      </c>
      <c r="M391" s="3" t="str">
        <f>HYPERLINK("https://ceds.ed.gov/cedselementdetails.aspx?termid=5733")</f>
        <v>https://ceds.ed.gov/cedselementdetails.aspx?termid=5733</v>
      </c>
      <c r="N391" s="3" t="str">
        <f>HYPERLINK("https://ceds.ed.gov/elementComment.aspx?elementName=Comprehensive Fee &amp;elementID=5733", "Click here to submit comment")</f>
        <v>Click here to submit comment</v>
      </c>
    </row>
    <row r="392" spans="1:14" ht="90">
      <c r="A392" s="3" t="s">
        <v>1757</v>
      </c>
      <c r="B392" s="3" t="s">
        <v>1758</v>
      </c>
      <c r="C392" s="3" t="s">
        <v>5963</v>
      </c>
      <c r="D392" s="3" t="s">
        <v>1759</v>
      </c>
      <c r="E392" s="3"/>
      <c r="F392" s="3" t="s">
        <v>54</v>
      </c>
      <c r="G392" s="3"/>
      <c r="H392" s="3"/>
      <c r="I392" s="3"/>
      <c r="J392" s="3" t="s">
        <v>1760</v>
      </c>
      <c r="K392" s="3"/>
      <c r="L392" s="3" t="s">
        <v>1761</v>
      </c>
      <c r="M392" s="3" t="str">
        <f>HYPERLINK("https://ceds.ed.gov/cedselementdetails.aspx?termid=6261")</f>
        <v>https://ceds.ed.gov/cedselementdetails.aspx?termid=6261</v>
      </c>
      <c r="N392" s="3" t="str">
        <f>HYPERLINK("https://ceds.ed.gov/elementComment.aspx?elementName=Consent to Share Data &amp;elementID=6261", "Click here to submit comment")</f>
        <v>Click here to submit comment</v>
      </c>
    </row>
    <row r="393" spans="1:14" ht="105">
      <c r="A393" s="3" t="s">
        <v>1762</v>
      </c>
      <c r="B393" s="3" t="s">
        <v>1763</v>
      </c>
      <c r="C393" s="4" t="s">
        <v>6371</v>
      </c>
      <c r="D393" s="3" t="s">
        <v>1764</v>
      </c>
      <c r="E393" s="3" t="s">
        <v>218</v>
      </c>
      <c r="F393" s="3"/>
      <c r="G393" s="3"/>
      <c r="H393" s="3"/>
      <c r="I393" s="3"/>
      <c r="J393" s="3" t="s">
        <v>1765</v>
      </c>
      <c r="K393" s="3" t="s">
        <v>1766</v>
      </c>
      <c r="L393" s="3" t="s">
        <v>1767</v>
      </c>
      <c r="M393" s="3" t="str">
        <f>HYPERLINK("https://ceds.ed.gov/cedselementdetails.aspx?termid=5533")</f>
        <v>https://ceds.ed.gov/cedselementdetails.aspx?termid=5533</v>
      </c>
      <c r="N393" s="3" t="str">
        <f>HYPERLINK("https://ceds.ed.gov/elementComment.aspx?elementName=Consolidated Migrant Education Program Funds Status &amp;elementID=5533", "Click here to submit comment")</f>
        <v>Click here to submit comment</v>
      </c>
    </row>
    <row r="394" spans="1:14" ht="120">
      <c r="A394" s="3" t="s">
        <v>1768</v>
      </c>
      <c r="B394" s="3" t="s">
        <v>1769</v>
      </c>
      <c r="C394" s="4" t="s">
        <v>6428</v>
      </c>
      <c r="D394" s="3" t="s">
        <v>1479</v>
      </c>
      <c r="E394" s="3" t="s">
        <v>1480</v>
      </c>
      <c r="F394" s="3"/>
      <c r="G394" s="3"/>
      <c r="H394" s="3"/>
      <c r="I394" s="3"/>
      <c r="J394" s="3" t="s">
        <v>1770</v>
      </c>
      <c r="K394" s="3"/>
      <c r="L394" s="3" t="s">
        <v>1771</v>
      </c>
      <c r="M394" s="3" t="str">
        <f>HYPERLINK("https://ceds.ed.gov/cedselementdetails.aspx?termid=5419")</f>
        <v>https://ceds.ed.gov/cedselementdetails.aspx?termid=5419</v>
      </c>
      <c r="N394" s="3" t="str">
        <f>HYPERLINK("https://ceds.ed.gov/elementComment.aspx?elementName=Continuation of Services Reason &amp;elementID=5419", "Click here to submit comment")</f>
        <v>Click here to submit comment</v>
      </c>
    </row>
    <row r="395" spans="1:14" ht="45">
      <c r="A395" s="3" t="s">
        <v>1772</v>
      </c>
      <c r="B395" s="3" t="s">
        <v>1773</v>
      </c>
      <c r="C395" s="3" t="s">
        <v>13</v>
      </c>
      <c r="D395" s="3" t="s">
        <v>1774</v>
      </c>
      <c r="E395" s="3" t="s">
        <v>6104</v>
      </c>
      <c r="F395" s="3"/>
      <c r="G395" s="3" t="s">
        <v>73</v>
      </c>
      <c r="H395" s="3"/>
      <c r="I395" s="3"/>
      <c r="J395" s="3" t="s">
        <v>1775</v>
      </c>
      <c r="K395" s="3"/>
      <c r="L395" s="3" t="s">
        <v>1776</v>
      </c>
      <c r="M395" s="3" t="str">
        <f>HYPERLINK("https://ceds.ed.gov/cedselementdetails.aspx?termid=5348")</f>
        <v>https://ceds.ed.gov/cedselementdetails.aspx?termid=5348</v>
      </c>
      <c r="N395" s="3" t="str">
        <f>HYPERLINK("https://ceds.ed.gov/elementComment.aspx?elementName=Continuing License Date &amp;elementID=5348", "Click here to submit comment")</f>
        <v>Click here to submit comment</v>
      </c>
    </row>
    <row r="396" spans="1:14" ht="60">
      <c r="A396" s="3" t="s">
        <v>1777</v>
      </c>
      <c r="B396" s="3" t="s">
        <v>1778</v>
      </c>
      <c r="C396" s="3" t="s">
        <v>13</v>
      </c>
      <c r="D396" s="3" t="s">
        <v>1779</v>
      </c>
      <c r="E396" s="3" t="s">
        <v>1780</v>
      </c>
      <c r="F396" s="3"/>
      <c r="G396" s="3" t="s">
        <v>1461</v>
      </c>
      <c r="H396" s="3"/>
      <c r="I396" s="3"/>
      <c r="J396" s="3" t="s">
        <v>1781</v>
      </c>
      <c r="K396" s="3"/>
      <c r="L396" s="3" t="s">
        <v>1782</v>
      </c>
      <c r="M396" s="3" t="str">
        <f>HYPERLINK("https://ceds.ed.gov/cedselementdetails.aspx?termid=5047")</f>
        <v>https://ceds.ed.gov/cedselementdetails.aspx?termid=5047</v>
      </c>
      <c r="N396" s="3" t="str">
        <f>HYPERLINK("https://ceds.ed.gov/elementComment.aspx?elementName=Contract Days of Service per Year &amp;elementID=5047", "Click here to submit comment")</f>
        <v>Click here to submit comment</v>
      </c>
    </row>
    <row r="397" spans="1:14" ht="75">
      <c r="A397" s="3" t="s">
        <v>1783</v>
      </c>
      <c r="B397" s="3" t="s">
        <v>1784</v>
      </c>
      <c r="C397" s="4" t="s">
        <v>6429</v>
      </c>
      <c r="D397" s="3" t="s">
        <v>35</v>
      </c>
      <c r="E397" s="3" t="s">
        <v>36</v>
      </c>
      <c r="F397" s="3"/>
      <c r="G397" s="3"/>
      <c r="H397" s="3"/>
      <c r="I397" s="3" t="s">
        <v>1785</v>
      </c>
      <c r="J397" s="3" t="s">
        <v>1786</v>
      </c>
      <c r="K397" s="3"/>
      <c r="L397" s="3" t="s">
        <v>1787</v>
      </c>
      <c r="M397" s="3" t="str">
        <f>HYPERLINK("https://ceds.ed.gov/cedselementdetails.aspx?termid=5714")</f>
        <v>https://ceds.ed.gov/cedselementdetails.aspx?termid=5714</v>
      </c>
      <c r="N397" s="3" t="str">
        <f>HYPERLINK("https://ceds.ed.gov/elementComment.aspx?elementName=Contract Type &amp;elementID=5714", "Click here to submit comment")</f>
        <v>Click here to submit comment</v>
      </c>
    </row>
    <row r="398" spans="1:14" ht="105">
      <c r="A398" s="3" t="s">
        <v>1788</v>
      </c>
      <c r="B398" s="3" t="s">
        <v>1789</v>
      </c>
      <c r="C398" s="4" t="s">
        <v>6430</v>
      </c>
      <c r="D398" s="3" t="s">
        <v>1606</v>
      </c>
      <c r="E398" s="3" t="s">
        <v>6093</v>
      </c>
      <c r="F398" s="3"/>
      <c r="G398" s="3"/>
      <c r="H398" s="3"/>
      <c r="I398" s="3"/>
      <c r="J398" s="3" t="s">
        <v>1790</v>
      </c>
      <c r="K398" s="3"/>
      <c r="L398" s="3" t="s">
        <v>1791</v>
      </c>
      <c r="M398" s="3" t="str">
        <f>HYPERLINK("https://ceds.ed.gov/cedselementdetails.aspx?termid=5048")</f>
        <v>https://ceds.ed.gov/cedselementdetails.aspx?termid=5048</v>
      </c>
      <c r="N398" s="3" t="str">
        <f>HYPERLINK("https://ceds.ed.gov/elementComment.aspx?elementName=Control of Institution &amp;elementID=5048", "Click here to submit comment")</f>
        <v>Click here to submit comment</v>
      </c>
    </row>
    <row r="399" spans="1:14" ht="45">
      <c r="A399" s="3" t="s">
        <v>1792</v>
      </c>
      <c r="B399" s="3" t="s">
        <v>1793</v>
      </c>
      <c r="C399" s="3" t="s">
        <v>5963</v>
      </c>
      <c r="D399" s="3" t="s">
        <v>6105</v>
      </c>
      <c r="E399" s="3"/>
      <c r="F399" s="3"/>
      <c r="G399" s="3"/>
      <c r="H399" s="3"/>
      <c r="I399" s="3"/>
      <c r="J399" s="3" t="s">
        <v>1794</v>
      </c>
      <c r="K399" s="3"/>
      <c r="L399" s="3" t="s">
        <v>1795</v>
      </c>
      <c r="M399" s="3" t="str">
        <f>HYPERLINK("https://ceds.ed.gov/cedselementdetails.aspx?termid=5509")</f>
        <v>https://ceds.ed.gov/cedselementdetails.aspx?termid=5509</v>
      </c>
      <c r="N399" s="3" t="str">
        <f>HYPERLINK("https://ceds.ed.gov/elementComment.aspx?elementName=Core Academic Course &amp;elementID=5509", "Click here to submit comment")</f>
        <v>Click here to submit comment</v>
      </c>
    </row>
    <row r="400" spans="1:14" ht="120">
      <c r="A400" s="3" t="s">
        <v>1796</v>
      </c>
      <c r="B400" s="3" t="s">
        <v>1797</v>
      </c>
      <c r="C400" s="4" t="s">
        <v>6431</v>
      </c>
      <c r="D400" s="3" t="s">
        <v>248</v>
      </c>
      <c r="E400" s="3"/>
      <c r="F400" s="3" t="s">
        <v>54</v>
      </c>
      <c r="G400" s="3"/>
      <c r="H400" s="3"/>
      <c r="I400" s="3"/>
      <c r="J400" s="3" t="s">
        <v>1798</v>
      </c>
      <c r="K400" s="3"/>
      <c r="L400" s="3" t="s">
        <v>1799</v>
      </c>
      <c r="M400" s="3" t="str">
        <f>HYPERLINK("https://ceds.ed.gov/cedselementdetails.aspx?termid=6262")</f>
        <v>https://ceds.ed.gov/cedselementdetails.aspx?termid=6262</v>
      </c>
      <c r="N400" s="3" t="str">
        <f>HYPERLINK("https://ceds.ed.gov/elementComment.aspx?elementName=Correctional Education Facility Type &amp;elementID=6262", "Click here to submit comment")</f>
        <v>Click here to submit comment</v>
      </c>
    </row>
    <row r="401" spans="1:14" ht="75">
      <c r="A401" s="3" t="s">
        <v>1800</v>
      </c>
      <c r="B401" s="3" t="s">
        <v>1801</v>
      </c>
      <c r="C401" s="3" t="s">
        <v>5963</v>
      </c>
      <c r="D401" s="3" t="s">
        <v>248</v>
      </c>
      <c r="E401" s="3"/>
      <c r="F401" s="3" t="s">
        <v>54</v>
      </c>
      <c r="G401" s="3"/>
      <c r="H401" s="3"/>
      <c r="I401" s="3"/>
      <c r="J401" s="3" t="s">
        <v>1802</v>
      </c>
      <c r="K401" s="3"/>
      <c r="L401" s="3" t="s">
        <v>1803</v>
      </c>
      <c r="M401" s="3" t="str">
        <f>HYPERLINK("https://ceds.ed.gov/cedselementdetails.aspx?termid=6263")</f>
        <v>https://ceds.ed.gov/cedselementdetails.aspx?termid=6263</v>
      </c>
      <c r="N401" s="3" t="str">
        <f>HYPERLINK("https://ceds.ed.gov/elementComment.aspx?elementName=Correctional Education Reentry Services Participation Indicator &amp;elementID=6263", "Click here to submit comment")</f>
        <v>Click here to submit comment</v>
      </c>
    </row>
    <row r="402" spans="1:14" ht="255">
      <c r="A402" s="3" t="s">
        <v>1804</v>
      </c>
      <c r="B402" s="3" t="s">
        <v>1805</v>
      </c>
      <c r="C402" s="4" t="s">
        <v>6432</v>
      </c>
      <c r="D402" s="3" t="s">
        <v>1806</v>
      </c>
      <c r="E402" s="3" t="s">
        <v>218</v>
      </c>
      <c r="F402" s="3"/>
      <c r="G402" s="3"/>
      <c r="H402" s="3"/>
      <c r="I402" s="3"/>
      <c r="J402" s="3" t="s">
        <v>1807</v>
      </c>
      <c r="K402" s="3"/>
      <c r="L402" s="3" t="s">
        <v>1808</v>
      </c>
      <c r="M402" s="3" t="str">
        <f>HYPERLINK("https://ceds.ed.gov/cedselementdetails.aspx?termid=5049")</f>
        <v>https://ceds.ed.gov/cedselementdetails.aspx?termid=5049</v>
      </c>
      <c r="N402" s="3" t="str">
        <f>HYPERLINK("https://ceds.ed.gov/elementComment.aspx?elementName=Corrective Action Type &amp;elementID=5049", "Click here to submit comment")</f>
        <v>Click here to submit comment</v>
      </c>
    </row>
    <row r="403" spans="1:14" ht="409.5">
      <c r="A403" s="3" t="s">
        <v>1809</v>
      </c>
      <c r="B403" s="3" t="s">
        <v>1810</v>
      </c>
      <c r="C403" s="4" t="s">
        <v>6433</v>
      </c>
      <c r="D403" s="3" t="s">
        <v>6106</v>
      </c>
      <c r="E403" s="3" t="s">
        <v>6107</v>
      </c>
      <c r="F403" s="3" t="s">
        <v>3</v>
      </c>
      <c r="G403" s="3"/>
      <c r="H403" s="3"/>
      <c r="I403" s="3"/>
      <c r="J403" s="3" t="s">
        <v>1811</v>
      </c>
      <c r="K403" s="3"/>
      <c r="L403" s="3" t="s">
        <v>1812</v>
      </c>
      <c r="M403" s="3" t="str">
        <f>HYPERLINK("https://ceds.ed.gov/cedselementdetails.aspx?termid=5050")</f>
        <v>https://ceds.ed.gov/cedselementdetails.aspx?termid=5050</v>
      </c>
      <c r="N403" s="3" t="str">
        <f>HYPERLINK("https://ceds.ed.gov/elementComment.aspx?elementName=Country Code &amp;elementID=5050", "Click here to submit comment")</f>
        <v>Click here to submit comment</v>
      </c>
    </row>
    <row r="404" spans="1:14" ht="409.5">
      <c r="A404" s="3" t="s">
        <v>1813</v>
      </c>
      <c r="B404" s="3" t="s">
        <v>1814</v>
      </c>
      <c r="C404" s="4" t="s">
        <v>6433</v>
      </c>
      <c r="D404" s="3" t="s">
        <v>1675</v>
      </c>
      <c r="E404" s="3" t="s">
        <v>6108</v>
      </c>
      <c r="F404" s="3"/>
      <c r="G404" s="3"/>
      <c r="H404" s="3"/>
      <c r="I404" s="3"/>
      <c r="J404" s="3" t="s">
        <v>1815</v>
      </c>
      <c r="K404" s="3"/>
      <c r="L404" s="3" t="s">
        <v>1816</v>
      </c>
      <c r="M404" s="3" t="str">
        <f>HYPERLINK("https://ceds.ed.gov/cedselementdetails.aspx?termid=5051")</f>
        <v>https://ceds.ed.gov/cedselementdetails.aspx?termid=5051</v>
      </c>
      <c r="N404" s="3" t="str">
        <f>HYPERLINK("https://ceds.ed.gov/elementComment.aspx?elementName=Country of Birth Code &amp;elementID=5051", "Click here to submit comment")</f>
        <v>Click here to submit comment</v>
      </c>
    </row>
    <row r="405" spans="1:14" ht="180">
      <c r="A405" s="3" t="s">
        <v>1817</v>
      </c>
      <c r="B405" s="3" t="s">
        <v>1818</v>
      </c>
      <c r="C405" s="3" t="s">
        <v>13</v>
      </c>
      <c r="D405" s="3" t="s">
        <v>6109</v>
      </c>
      <c r="E405" s="3"/>
      <c r="F405" s="3" t="s">
        <v>66</v>
      </c>
      <c r="G405" s="3" t="s">
        <v>1819</v>
      </c>
      <c r="H405" s="3" t="s">
        <v>1820</v>
      </c>
      <c r="I405" s="3"/>
      <c r="J405" s="3" t="s">
        <v>1821</v>
      </c>
      <c r="K405" s="3"/>
      <c r="L405" s="3" t="s">
        <v>1822</v>
      </c>
      <c r="M405" s="3" t="str">
        <f>HYPERLINK("https://ceds.ed.gov/cedselementdetails.aspx?termid=6176")</f>
        <v>https://ceds.ed.gov/cedselementdetails.aspx?termid=6176</v>
      </c>
      <c r="N405" s="3" t="str">
        <f>HYPERLINK("https://ceds.ed.gov/elementComment.aspx?elementName=County ANSI Code &amp;elementID=6176", "Click here to submit comment")</f>
        <v>Click here to submit comment</v>
      </c>
    </row>
    <row r="406" spans="1:14" ht="30">
      <c r="A406" s="3" t="s">
        <v>1823</v>
      </c>
      <c r="B406" s="3" t="s">
        <v>1824</v>
      </c>
      <c r="C406" s="3" t="s">
        <v>13</v>
      </c>
      <c r="D406" s="3" t="s">
        <v>1825</v>
      </c>
      <c r="E406" s="3" t="s">
        <v>6093</v>
      </c>
      <c r="F406" s="3"/>
      <c r="G406" s="3" t="s">
        <v>1826</v>
      </c>
      <c r="H406" s="3"/>
      <c r="I406" s="3"/>
      <c r="J406" s="3" t="s">
        <v>1827</v>
      </c>
      <c r="K406" s="3"/>
      <c r="L406" s="3" t="s">
        <v>1828</v>
      </c>
      <c r="M406" s="3" t="str">
        <f>HYPERLINK("https://ceds.ed.gov/cedselementdetails.aspx?termid=5053")</f>
        <v>https://ceds.ed.gov/cedselementdetails.aspx?termid=5053</v>
      </c>
      <c r="N406" s="3" t="str">
        <f>HYPERLINK("https://ceds.ed.gov/elementComment.aspx?elementName=Course Academic Grade &amp;elementID=5053", "Click here to submit comment")</f>
        <v>Click here to submit comment</v>
      </c>
    </row>
    <row r="407" spans="1:14" ht="150">
      <c r="A407" s="3" t="s">
        <v>1829</v>
      </c>
      <c r="B407" s="3" t="s">
        <v>1830</v>
      </c>
      <c r="C407" s="3" t="s">
        <v>13</v>
      </c>
      <c r="D407" s="3" t="s">
        <v>1831</v>
      </c>
      <c r="E407" s="3"/>
      <c r="F407" s="3" t="s">
        <v>54</v>
      </c>
      <c r="G407" s="3" t="s">
        <v>1832</v>
      </c>
      <c r="H407" s="3"/>
      <c r="I407" s="3" t="s">
        <v>1833</v>
      </c>
      <c r="J407" s="3" t="s">
        <v>1834</v>
      </c>
      <c r="K407" s="3"/>
      <c r="L407" s="3" t="s">
        <v>1835</v>
      </c>
      <c r="M407" s="3" t="str">
        <f>HYPERLINK("https://ceds.ed.gov/cedselementdetails.aspx?termid=6264")</f>
        <v>https://ceds.ed.gov/cedselementdetails.aspx?termid=6264</v>
      </c>
      <c r="N407" s="3" t="str">
        <f>HYPERLINK("https://ceds.ed.gov/elementComment.aspx?elementName=Course Academic Grade Scale Code &amp;elementID=6264", "Click here to submit comment")</f>
        <v>Click here to submit comment</v>
      </c>
    </row>
    <row r="408" spans="1:14" ht="285">
      <c r="A408" s="3" t="s">
        <v>1836</v>
      </c>
      <c r="B408" s="3" t="s">
        <v>1837</v>
      </c>
      <c r="C408" s="4" t="s">
        <v>6434</v>
      </c>
      <c r="D408" s="3" t="s">
        <v>1838</v>
      </c>
      <c r="E408" s="3"/>
      <c r="F408" s="3" t="s">
        <v>54</v>
      </c>
      <c r="G408" s="3"/>
      <c r="H408" s="3"/>
      <c r="I408" s="3"/>
      <c r="J408" s="3" t="s">
        <v>1839</v>
      </c>
      <c r="K408" s="3"/>
      <c r="L408" s="3" t="s">
        <v>1840</v>
      </c>
      <c r="M408" s="3" t="str">
        <f>HYPERLINK("https://ceds.ed.gov/cedselementdetails.aspx?termid=6265")</f>
        <v>https://ceds.ed.gov/cedselementdetails.aspx?termid=6265</v>
      </c>
      <c r="N408" s="3" t="str">
        <f>HYPERLINK("https://ceds.ed.gov/elementComment.aspx?elementName=Course Academic Grade Status Code &amp;elementID=6265", "Click here to submit comment")</f>
        <v>Click here to submit comment</v>
      </c>
    </row>
    <row r="409" spans="1:14" ht="30">
      <c r="A409" s="3" t="s">
        <v>1841</v>
      </c>
      <c r="B409" s="3" t="s">
        <v>1842</v>
      </c>
      <c r="C409" s="3" t="s">
        <v>13</v>
      </c>
      <c r="D409" s="3" t="s">
        <v>1825</v>
      </c>
      <c r="E409" s="3"/>
      <c r="F409" s="3" t="s">
        <v>54</v>
      </c>
      <c r="G409" s="3" t="s">
        <v>73</v>
      </c>
      <c r="H409" s="3"/>
      <c r="I409" s="3"/>
      <c r="J409" s="3" t="s">
        <v>1843</v>
      </c>
      <c r="K409" s="3"/>
      <c r="L409" s="3" t="s">
        <v>1844</v>
      </c>
      <c r="M409" s="3" t="str">
        <f>HYPERLINK("https://ceds.ed.gov/cedselementdetails.aspx?termid=6266")</f>
        <v>https://ceds.ed.gov/cedselementdetails.aspx?termid=6266</v>
      </c>
      <c r="N409" s="3" t="str">
        <f>HYPERLINK("https://ceds.ed.gov/elementComment.aspx?elementName=Course Add Date &amp;elementID=6266", "Click here to submit comment")</f>
        <v>Click here to submit comment</v>
      </c>
    </row>
    <row r="410" spans="1:14" ht="120">
      <c r="A410" s="3" t="s">
        <v>1845</v>
      </c>
      <c r="B410" s="3" t="s">
        <v>1846</v>
      </c>
      <c r="C410" s="3" t="s">
        <v>5963</v>
      </c>
      <c r="D410" s="3" t="s">
        <v>6110</v>
      </c>
      <c r="E410" s="3"/>
      <c r="F410" s="3" t="s">
        <v>66</v>
      </c>
      <c r="G410" s="3"/>
      <c r="H410" s="3" t="s">
        <v>1847</v>
      </c>
      <c r="I410" s="3"/>
      <c r="J410" s="3" t="s">
        <v>1848</v>
      </c>
      <c r="K410" s="3"/>
      <c r="L410" s="3" t="s">
        <v>1849</v>
      </c>
      <c r="M410" s="3" t="str">
        <f>HYPERLINK("https://ceds.ed.gov/cedselementdetails.aspx?termid=5013")</f>
        <v>https://ceds.ed.gov/cedselementdetails.aspx?termid=5013</v>
      </c>
      <c r="N410" s="3" t="str">
        <f>HYPERLINK("https://ceds.ed.gov/elementComment.aspx?elementName=Course Aligned with Standards &amp;elementID=5013", "Click here to submit comment")</f>
        <v>Click here to submit comment</v>
      </c>
    </row>
    <row r="411" spans="1:14" ht="409.5">
      <c r="A411" s="3" t="s">
        <v>1850</v>
      </c>
      <c r="B411" s="3" t="s">
        <v>1851</v>
      </c>
      <c r="C411" s="15" t="s">
        <v>10060</v>
      </c>
      <c r="D411" s="3" t="s">
        <v>6081</v>
      </c>
      <c r="E411" s="3"/>
      <c r="F411" s="3" t="s">
        <v>54</v>
      </c>
      <c r="G411" s="3"/>
      <c r="H411" s="3"/>
      <c r="I411" s="3" t="s">
        <v>1852</v>
      </c>
      <c r="J411" s="3" t="s">
        <v>1853</v>
      </c>
      <c r="K411" s="3"/>
      <c r="L411" s="3" t="s">
        <v>1854</v>
      </c>
      <c r="M411" s="3" t="str">
        <f>HYPERLINK("https://ceds.ed.gov/cedselementdetails.aspx?termid=6267")</f>
        <v>https://ceds.ed.gov/cedselementdetails.aspx?termid=6267</v>
      </c>
      <c r="N411" s="3" t="str">
        <f>HYPERLINK("https://ceds.ed.gov/elementComment.aspx?elementName=Course Applicable Education Level &amp;elementID=6267", "Click here to submit comment")</f>
        <v>Click here to submit comment</v>
      </c>
    </row>
    <row r="412" spans="1:14" ht="30">
      <c r="A412" s="3" t="s">
        <v>1855</v>
      </c>
      <c r="B412" s="3" t="s">
        <v>1856</v>
      </c>
      <c r="C412" s="3" t="s">
        <v>13</v>
      </c>
      <c r="D412" s="3" t="s">
        <v>314</v>
      </c>
      <c r="E412" s="3" t="s">
        <v>6093</v>
      </c>
      <c r="F412" s="3"/>
      <c r="G412" s="3" t="s">
        <v>73</v>
      </c>
      <c r="H412" s="3"/>
      <c r="I412" s="3"/>
      <c r="J412" s="3" t="s">
        <v>1857</v>
      </c>
      <c r="K412" s="3"/>
      <c r="L412" s="3" t="s">
        <v>1858</v>
      </c>
      <c r="M412" s="3" t="str">
        <f>HYPERLINK("https://ceds.ed.gov/cedselementdetails.aspx?termid=5054")</f>
        <v>https://ceds.ed.gov/cedselementdetails.aspx?termid=5054</v>
      </c>
      <c r="N412" s="3" t="str">
        <f>HYPERLINK("https://ceds.ed.gov/elementComment.aspx?elementName=Course Begin Date &amp;elementID=5054", "Click here to submit comment")</f>
        <v>Click here to submit comment</v>
      </c>
    </row>
    <row r="413" spans="1:14" ht="45">
      <c r="A413" s="3" t="s">
        <v>1859</v>
      </c>
      <c r="B413" s="3" t="s">
        <v>1860</v>
      </c>
      <c r="C413" s="3" t="s">
        <v>13</v>
      </c>
      <c r="D413" s="3" t="s">
        <v>6081</v>
      </c>
      <c r="E413" s="3"/>
      <c r="F413" s="3" t="s">
        <v>54</v>
      </c>
      <c r="G413" s="3" t="s">
        <v>93</v>
      </c>
      <c r="H413" s="3"/>
      <c r="I413" s="3"/>
      <c r="J413" s="3" t="s">
        <v>1861</v>
      </c>
      <c r="K413" s="3"/>
      <c r="L413" s="3" t="s">
        <v>1862</v>
      </c>
      <c r="M413" s="3" t="str">
        <f>HYPERLINK("https://ceds.ed.gov/cedselementdetails.aspx?termid=6268")</f>
        <v>https://ceds.ed.gov/cedselementdetails.aspx?termid=6268</v>
      </c>
      <c r="N413" s="3" t="str">
        <f>HYPERLINK("https://ceds.ed.gov/elementComment.aspx?elementName=Course Certification Description &amp;elementID=6268", "Click here to submit comment")</f>
        <v>Click here to submit comment</v>
      </c>
    </row>
    <row r="414" spans="1:14" ht="45">
      <c r="A414" s="3" t="s">
        <v>1863</v>
      </c>
      <c r="B414" s="3" t="s">
        <v>1864</v>
      </c>
      <c r="C414" s="5" t="s">
        <v>1702</v>
      </c>
      <c r="D414" s="3" t="s">
        <v>1831</v>
      </c>
      <c r="E414" s="3"/>
      <c r="F414" s="3" t="s">
        <v>54</v>
      </c>
      <c r="G414" s="3"/>
      <c r="H414" s="3"/>
      <c r="I414" s="3"/>
      <c r="J414" s="3" t="s">
        <v>1865</v>
      </c>
      <c r="K414" s="3" t="s">
        <v>1866</v>
      </c>
      <c r="L414" s="3" t="s">
        <v>1867</v>
      </c>
      <c r="M414" s="3" t="str">
        <f>HYPERLINK("https://ceds.ed.gov/cedselementdetails.aspx?termid=6474")</f>
        <v>https://ceds.ed.gov/cedselementdetails.aspx?termid=6474</v>
      </c>
      <c r="N414" s="3" t="str">
        <f>HYPERLINK("https://ceds.ed.gov/elementComment.aspx?elementName=Course Classification of Instructional Programs Code &amp;elementID=6474", "Click here to submit comment")</f>
        <v>Click here to submit comment</v>
      </c>
    </row>
    <row r="415" spans="1:14" ht="195">
      <c r="A415" s="3" t="s">
        <v>1868</v>
      </c>
      <c r="B415" s="3" t="s">
        <v>1869</v>
      </c>
      <c r="C415" s="4" t="s">
        <v>6435</v>
      </c>
      <c r="D415" s="3" t="s">
        <v>6111</v>
      </c>
      <c r="E415" s="3" t="s">
        <v>6078</v>
      </c>
      <c r="F415" s="3"/>
      <c r="G415" s="3"/>
      <c r="H415" s="3"/>
      <c r="I415" s="3"/>
      <c r="J415" s="3" t="s">
        <v>1870</v>
      </c>
      <c r="K415" s="3"/>
      <c r="L415" s="3" t="s">
        <v>1871</v>
      </c>
      <c r="M415" s="3" t="str">
        <f>HYPERLINK("https://ceds.ed.gov/cedselementdetails.aspx?termid=5056")</f>
        <v>https://ceds.ed.gov/cedselementdetails.aspx?termid=5056</v>
      </c>
      <c r="N415" s="3" t="str">
        <f>HYPERLINK("https://ceds.ed.gov/elementComment.aspx?elementName=Course Code System &amp;elementID=5056", "Click here to submit comment")</f>
        <v>Click here to submit comment</v>
      </c>
    </row>
    <row r="416" spans="1:14" ht="409.5">
      <c r="A416" s="3" t="s">
        <v>1872</v>
      </c>
      <c r="B416" s="3" t="s">
        <v>1873</v>
      </c>
      <c r="C416" s="4" t="s">
        <v>6436</v>
      </c>
      <c r="D416" s="3" t="s">
        <v>1831</v>
      </c>
      <c r="E416" s="3"/>
      <c r="F416" s="3" t="s">
        <v>54</v>
      </c>
      <c r="G416" s="3"/>
      <c r="H416" s="3"/>
      <c r="I416" s="3"/>
      <c r="J416" s="3" t="s">
        <v>1874</v>
      </c>
      <c r="K416" s="3"/>
      <c r="L416" s="3" t="s">
        <v>1875</v>
      </c>
      <c r="M416" s="3" t="str">
        <f>HYPERLINK("https://ceds.ed.gov/cedselementdetails.aspx?termid=6269")</f>
        <v>https://ceds.ed.gov/cedselementdetails.aspx?termid=6269</v>
      </c>
      <c r="N416" s="3" t="str">
        <f>HYPERLINK("https://ceds.ed.gov/elementComment.aspx?elementName=Course Credit Basis Type &amp;elementID=6269", "Click here to submit comment")</f>
        <v>Click here to submit comment</v>
      </c>
    </row>
    <row r="417" spans="1:14" ht="255">
      <c r="A417" s="3" t="s">
        <v>1876</v>
      </c>
      <c r="B417" s="3" t="s">
        <v>1877</v>
      </c>
      <c r="C417" s="4" t="s">
        <v>6437</v>
      </c>
      <c r="D417" s="3" t="s">
        <v>1831</v>
      </c>
      <c r="E417" s="3"/>
      <c r="F417" s="3" t="s">
        <v>54</v>
      </c>
      <c r="G417" s="3"/>
      <c r="H417" s="3"/>
      <c r="I417" s="3"/>
      <c r="J417" s="3" t="s">
        <v>1878</v>
      </c>
      <c r="K417" s="3"/>
      <c r="L417" s="3" t="s">
        <v>1879</v>
      </c>
      <c r="M417" s="3" t="str">
        <f>HYPERLINK("https://ceds.ed.gov/cedselementdetails.aspx?termid=6270")</f>
        <v>https://ceds.ed.gov/cedselementdetails.aspx?termid=6270</v>
      </c>
      <c r="N417" s="3" t="str">
        <f>HYPERLINK("https://ceds.ed.gov/elementComment.aspx?elementName=Course Credit Level Type &amp;elementID=6270", "Click here to submit comment")</f>
        <v>Click here to submit comment</v>
      </c>
    </row>
    <row r="418" spans="1:14" ht="165">
      <c r="A418" s="3" t="s">
        <v>1880</v>
      </c>
      <c r="B418" s="3" t="s">
        <v>1881</v>
      </c>
      <c r="C418" s="4" t="s">
        <v>6438</v>
      </c>
      <c r="D418" s="3" t="s">
        <v>6112</v>
      </c>
      <c r="E418" s="3" t="s">
        <v>24</v>
      </c>
      <c r="F418" s="3"/>
      <c r="G418" s="3"/>
      <c r="H418" s="3"/>
      <c r="I418" s="3"/>
      <c r="J418" s="3" t="s">
        <v>1882</v>
      </c>
      <c r="K418" s="3"/>
      <c r="L418" s="3" t="s">
        <v>1883</v>
      </c>
      <c r="M418" s="3" t="str">
        <f>HYPERLINK("https://ceds.ed.gov/cedselementdetails.aspx?termid=5057")</f>
        <v>https://ceds.ed.gov/cedselementdetails.aspx?termid=5057</v>
      </c>
      <c r="N418" s="3" t="str">
        <f>HYPERLINK("https://ceds.ed.gov/elementComment.aspx?elementName=Course Credit Units &amp;elementID=5057", "Click here to submit comment")</f>
        <v>Click here to submit comment</v>
      </c>
    </row>
    <row r="419" spans="1:14" ht="105">
      <c r="A419" s="3" t="s">
        <v>1884</v>
      </c>
      <c r="B419" s="3" t="s">
        <v>1885</v>
      </c>
      <c r="C419" s="3" t="s">
        <v>13</v>
      </c>
      <c r="D419" s="3" t="s">
        <v>6113</v>
      </c>
      <c r="E419" s="3" t="s">
        <v>24</v>
      </c>
      <c r="F419" s="3"/>
      <c r="G419" s="3" t="s">
        <v>1461</v>
      </c>
      <c r="H419" s="3"/>
      <c r="I419" s="3" t="s">
        <v>1886</v>
      </c>
      <c r="J419" s="3" t="s">
        <v>1887</v>
      </c>
      <c r="K419" s="3"/>
      <c r="L419" s="3" t="s">
        <v>1888</v>
      </c>
      <c r="M419" s="3" t="str">
        <f>HYPERLINK("https://ceds.ed.gov/cedselementdetails.aspx?termid=5058")</f>
        <v>https://ceds.ed.gov/cedselementdetails.aspx?termid=5058</v>
      </c>
      <c r="N419" s="3" t="str">
        <f>HYPERLINK("https://ceds.ed.gov/elementComment.aspx?elementName=Course Credit Value &amp;elementID=5058", "Click here to submit comment")</f>
        <v>Click here to submit comment</v>
      </c>
    </row>
    <row r="420" spans="1:14" ht="90">
      <c r="A420" s="3" t="s">
        <v>1889</v>
      </c>
      <c r="B420" s="3" t="s">
        <v>1890</v>
      </c>
      <c r="C420" s="3" t="s">
        <v>13</v>
      </c>
      <c r="D420" s="3" t="s">
        <v>5971</v>
      </c>
      <c r="E420" s="3"/>
      <c r="F420" s="3" t="s">
        <v>66</v>
      </c>
      <c r="G420" s="3" t="s">
        <v>106</v>
      </c>
      <c r="H420" s="3" t="s">
        <v>1820</v>
      </c>
      <c r="I420" s="3"/>
      <c r="J420" s="3" t="s">
        <v>1891</v>
      </c>
      <c r="K420" s="3"/>
      <c r="L420" s="3" t="s">
        <v>1892</v>
      </c>
      <c r="M420" s="3" t="str">
        <f>HYPERLINK("https://ceds.ed.gov/cedselementdetails.aspx?termid=5508")</f>
        <v>https://ceds.ed.gov/cedselementdetails.aspx?termid=5508</v>
      </c>
      <c r="N420" s="3" t="str">
        <f>HYPERLINK("https://ceds.ed.gov/elementComment.aspx?elementName=Course Description &amp;elementID=5508", "Click here to submit comment")</f>
        <v>Click here to submit comment</v>
      </c>
    </row>
    <row r="421" spans="1:14" ht="30">
      <c r="A421" s="3" t="s">
        <v>1893</v>
      </c>
      <c r="B421" s="3" t="s">
        <v>1894</v>
      </c>
      <c r="C421" s="3" t="s">
        <v>13</v>
      </c>
      <c r="D421" s="3" t="s">
        <v>1831</v>
      </c>
      <c r="E421" s="3"/>
      <c r="F421" s="3" t="s">
        <v>54</v>
      </c>
      <c r="G421" s="3" t="s">
        <v>73</v>
      </c>
      <c r="H421" s="3"/>
      <c r="I421" s="3"/>
      <c r="J421" s="3" t="s">
        <v>1895</v>
      </c>
      <c r="K421" s="3"/>
      <c r="L421" s="3" t="s">
        <v>1896</v>
      </c>
      <c r="M421" s="3" t="str">
        <f>HYPERLINK("https://ceds.ed.gov/cedselementdetails.aspx?termid=6271")</f>
        <v>https://ceds.ed.gov/cedselementdetails.aspx?termid=6271</v>
      </c>
      <c r="N421" s="3" t="str">
        <f>HYPERLINK("https://ceds.ed.gov/elementComment.aspx?elementName=Course Drop Date &amp;elementID=6271", "Click here to submit comment")</f>
        <v>Click here to submit comment</v>
      </c>
    </row>
    <row r="422" spans="1:14" ht="30">
      <c r="A422" s="3" t="s">
        <v>1897</v>
      </c>
      <c r="B422" s="3" t="s">
        <v>1898</v>
      </c>
      <c r="C422" s="3" t="s">
        <v>13</v>
      </c>
      <c r="D422" s="3" t="s">
        <v>314</v>
      </c>
      <c r="E422" s="3" t="s">
        <v>6093</v>
      </c>
      <c r="F422" s="3"/>
      <c r="G422" s="3" t="s">
        <v>73</v>
      </c>
      <c r="H422" s="3"/>
      <c r="I422" s="3"/>
      <c r="J422" s="3" t="s">
        <v>1899</v>
      </c>
      <c r="K422" s="3"/>
      <c r="L422" s="3" t="s">
        <v>1900</v>
      </c>
      <c r="M422" s="3" t="str">
        <f>HYPERLINK("https://ceds.ed.gov/cedselementdetails.aspx?termid=5059")</f>
        <v>https://ceds.ed.gov/cedselementdetails.aspx?termid=5059</v>
      </c>
      <c r="N422" s="3" t="str">
        <f>HYPERLINK("https://ceds.ed.gov/elementComment.aspx?elementName=Course End Date &amp;elementID=5059", "Click here to submit comment")</f>
        <v>Click here to submit comment</v>
      </c>
    </row>
    <row r="423" spans="1:14" ht="90">
      <c r="A423" s="3" t="s">
        <v>1901</v>
      </c>
      <c r="B423" s="3" t="s">
        <v>1902</v>
      </c>
      <c r="C423" s="3" t="s">
        <v>13</v>
      </c>
      <c r="D423" s="3" t="s">
        <v>6081</v>
      </c>
      <c r="E423" s="3"/>
      <c r="F423" s="3" t="s">
        <v>54</v>
      </c>
      <c r="G423" s="3" t="s">
        <v>100</v>
      </c>
      <c r="H423" s="3"/>
      <c r="I423" s="3" t="s">
        <v>1903</v>
      </c>
      <c r="J423" s="3" t="s">
        <v>1904</v>
      </c>
      <c r="K423" s="3"/>
      <c r="L423" s="3" t="s">
        <v>1905</v>
      </c>
      <c r="M423" s="3" t="str">
        <f>HYPERLINK("https://ceds.ed.gov/cedselementdetails.aspx?termid=6272")</f>
        <v>https://ceds.ed.gov/cedselementdetails.aspx?termid=6272</v>
      </c>
      <c r="N423" s="3" t="str">
        <f>HYPERLINK("https://ceds.ed.gov/elementComment.aspx?elementName=Course Funding Program &amp;elementID=6272", "Click here to submit comment")</f>
        <v>Click here to submit comment</v>
      </c>
    </row>
    <row r="424" spans="1:14" ht="135">
      <c r="A424" s="3" t="s">
        <v>1906</v>
      </c>
      <c r="B424" s="3" t="s">
        <v>1907</v>
      </c>
      <c r="C424" s="4" t="s">
        <v>6439</v>
      </c>
      <c r="D424" s="3" t="s">
        <v>6114</v>
      </c>
      <c r="E424" s="3" t="s">
        <v>6078</v>
      </c>
      <c r="F424" s="3" t="s">
        <v>66</v>
      </c>
      <c r="G424" s="3"/>
      <c r="H424" s="3" t="s">
        <v>1820</v>
      </c>
      <c r="I424" s="3"/>
      <c r="J424" s="3" t="s">
        <v>1908</v>
      </c>
      <c r="K424" s="3" t="s">
        <v>1909</v>
      </c>
      <c r="L424" s="3" t="s">
        <v>1910</v>
      </c>
      <c r="M424" s="3" t="str">
        <f>HYPERLINK("https://ceds.ed.gov/cedselementdetails.aspx?termid=5060")</f>
        <v>https://ceds.ed.gov/cedselementdetails.aspx?termid=5060</v>
      </c>
      <c r="N424" s="3" t="str">
        <f>HYPERLINK("https://ceds.ed.gov/elementComment.aspx?elementName=Course Grade Point Average Applicability &amp;elementID=5060", "Click here to submit comment")</f>
        <v>Click here to submit comment</v>
      </c>
    </row>
    <row r="425" spans="1:14" ht="45">
      <c r="A425" s="3" t="s">
        <v>1911</v>
      </c>
      <c r="B425" s="3" t="s">
        <v>1912</v>
      </c>
      <c r="C425" s="4" t="s">
        <v>6440</v>
      </c>
      <c r="D425" s="3" t="s">
        <v>1831</v>
      </c>
      <c r="E425" s="3"/>
      <c r="F425" s="3" t="s">
        <v>54</v>
      </c>
      <c r="G425" s="3"/>
      <c r="H425" s="3"/>
      <c r="I425" s="3"/>
      <c r="J425" s="3" t="s">
        <v>1913</v>
      </c>
      <c r="K425" s="3"/>
      <c r="L425" s="3" t="s">
        <v>1914</v>
      </c>
      <c r="M425" s="3" t="str">
        <f>HYPERLINK("https://ceds.ed.gov/cedselementdetails.aspx?termid=6273")</f>
        <v>https://ceds.ed.gov/cedselementdetails.aspx?termid=6273</v>
      </c>
      <c r="N425" s="3" t="str">
        <f>HYPERLINK("https://ceds.ed.gov/elementComment.aspx?elementName=Course Honors Type &amp;elementID=6273", "Click here to submit comment")</f>
        <v>Click here to submit comment</v>
      </c>
    </row>
    <row r="426" spans="1:14" ht="180">
      <c r="A426" s="3" t="s">
        <v>1915</v>
      </c>
      <c r="B426" s="3" t="s">
        <v>1916</v>
      </c>
      <c r="C426" s="3" t="s">
        <v>13</v>
      </c>
      <c r="D426" s="3" t="s">
        <v>6115</v>
      </c>
      <c r="E426" s="3" t="s">
        <v>6116</v>
      </c>
      <c r="F426" s="3" t="s">
        <v>66</v>
      </c>
      <c r="G426" s="3" t="s">
        <v>1917</v>
      </c>
      <c r="H426" s="3" t="s">
        <v>1918</v>
      </c>
      <c r="I426" s="3"/>
      <c r="J426" s="3" t="s">
        <v>1919</v>
      </c>
      <c r="K426" s="3"/>
      <c r="L426" s="3" t="s">
        <v>1920</v>
      </c>
      <c r="M426" s="3" t="str">
        <f>HYPERLINK("https://ceds.ed.gov/cedselementdetails.aspx?termid=5055")</f>
        <v>https://ceds.ed.gov/cedselementdetails.aspx?termid=5055</v>
      </c>
      <c r="N426" s="3" t="str">
        <f>HYPERLINK("https://ceds.ed.gov/elementComment.aspx?elementName=Course Identifier &amp;elementID=5055", "Click here to submit comment")</f>
        <v>Click here to submit comment</v>
      </c>
    </row>
    <row r="427" spans="1:14" ht="390">
      <c r="A427" s="3" t="s">
        <v>1921</v>
      </c>
      <c r="B427" s="3" t="s">
        <v>1922</v>
      </c>
      <c r="C427" s="3" t="s">
        <v>6117</v>
      </c>
      <c r="D427" s="3" t="s">
        <v>1831</v>
      </c>
      <c r="E427" s="3"/>
      <c r="F427" s="3" t="s">
        <v>54</v>
      </c>
      <c r="G427" s="3"/>
      <c r="H427" s="3"/>
      <c r="I427" s="3"/>
      <c r="J427" s="3" t="s">
        <v>1923</v>
      </c>
      <c r="K427" s="3"/>
      <c r="L427" s="3" t="s">
        <v>1924</v>
      </c>
      <c r="M427" s="3" t="str">
        <f>HYPERLINK("https://ceds.ed.gov/cedselementdetails.aspx?termid=6274")</f>
        <v>https://ceds.ed.gov/cedselementdetails.aspx?termid=6274</v>
      </c>
      <c r="N427" s="3" t="str">
        <f>HYPERLINK("https://ceds.ed.gov/elementComment.aspx?elementName=Course Instruction Method &amp;elementID=6274", "Click here to submit comment")</f>
        <v>Click here to submit comment</v>
      </c>
    </row>
    <row r="428" spans="1:14" ht="30">
      <c r="A428" s="3" t="s">
        <v>1925</v>
      </c>
      <c r="B428" s="3" t="s">
        <v>1926</v>
      </c>
      <c r="C428" s="3" t="s">
        <v>13</v>
      </c>
      <c r="D428" s="3" t="s">
        <v>1831</v>
      </c>
      <c r="E428" s="3"/>
      <c r="F428" s="3" t="s">
        <v>54</v>
      </c>
      <c r="G428" s="3" t="s">
        <v>106</v>
      </c>
      <c r="H428" s="3"/>
      <c r="I428" s="3"/>
      <c r="J428" s="3" t="s">
        <v>1927</v>
      </c>
      <c r="K428" s="3"/>
      <c r="L428" s="3" t="s">
        <v>1928</v>
      </c>
      <c r="M428" s="3" t="str">
        <f>HYPERLINK("https://ceds.ed.gov/cedselementdetails.aspx?termid=6275")</f>
        <v>https://ceds.ed.gov/cedselementdetails.aspx?termid=6275</v>
      </c>
      <c r="N428" s="3" t="str">
        <f>HYPERLINK("https://ceds.ed.gov/elementComment.aspx?elementName=Course Instruction Site Name &amp;elementID=6275", "Click here to submit comment")</f>
        <v>Click here to submit comment</v>
      </c>
    </row>
    <row r="429" spans="1:14" ht="180">
      <c r="A429" s="3" t="s">
        <v>1929</v>
      </c>
      <c r="B429" s="3" t="s">
        <v>1930</v>
      </c>
      <c r="C429" s="4" t="s">
        <v>6441</v>
      </c>
      <c r="D429" s="3" t="s">
        <v>1831</v>
      </c>
      <c r="E429" s="3"/>
      <c r="F429" s="3" t="s">
        <v>54</v>
      </c>
      <c r="G429" s="3"/>
      <c r="H429" s="3"/>
      <c r="I429" s="3"/>
      <c r="J429" s="3" t="s">
        <v>1931</v>
      </c>
      <c r="K429" s="3"/>
      <c r="L429" s="3" t="s">
        <v>1932</v>
      </c>
      <c r="M429" s="3" t="str">
        <f>HYPERLINK("https://ceds.ed.gov/cedselementdetails.aspx?termid=6276")</f>
        <v>https://ceds.ed.gov/cedselementdetails.aspx?termid=6276</v>
      </c>
      <c r="N429" s="3" t="str">
        <f>HYPERLINK("https://ceds.ed.gov/elementComment.aspx?elementName=Course Instruction Site Type &amp;elementID=6276", "Click here to submit comment")</f>
        <v>Click here to submit comment</v>
      </c>
    </row>
    <row r="430" spans="1:14" ht="45">
      <c r="A430" s="3" t="s">
        <v>1933</v>
      </c>
      <c r="B430" s="3" t="s">
        <v>1934</v>
      </c>
      <c r="C430" s="4" t="s">
        <v>6442</v>
      </c>
      <c r="D430" s="3" t="s">
        <v>6081</v>
      </c>
      <c r="E430" s="3"/>
      <c r="F430" s="3" t="s">
        <v>54</v>
      </c>
      <c r="G430" s="3"/>
      <c r="H430" s="3"/>
      <c r="I430" s="3" t="s">
        <v>1935</v>
      </c>
      <c r="J430" s="3" t="s">
        <v>1936</v>
      </c>
      <c r="K430" s="3"/>
      <c r="L430" s="3" t="s">
        <v>1937</v>
      </c>
      <c r="M430" s="3" t="str">
        <f>HYPERLINK("https://ceds.ed.gov/cedselementdetails.aspx?termid=6277")</f>
        <v>https://ceds.ed.gov/cedselementdetails.aspx?termid=6277</v>
      </c>
      <c r="N430" s="3" t="str">
        <f>HYPERLINK("https://ceds.ed.gov/elementComment.aspx?elementName=Course Interaction Mode &amp;elementID=6277", "Click here to submit comment")</f>
        <v>Click here to submit comment</v>
      </c>
    </row>
    <row r="431" spans="1:14" ht="345">
      <c r="A431" s="3" t="s">
        <v>1938</v>
      </c>
      <c r="B431" s="3" t="s">
        <v>1939</v>
      </c>
      <c r="C431" s="4" t="s">
        <v>6443</v>
      </c>
      <c r="D431" s="3" t="s">
        <v>6077</v>
      </c>
      <c r="E431" s="3" t="s">
        <v>6116</v>
      </c>
      <c r="F431" s="3"/>
      <c r="G431" s="3"/>
      <c r="H431" s="3"/>
      <c r="I431" s="3"/>
      <c r="J431" s="3" t="s">
        <v>1940</v>
      </c>
      <c r="K431" s="3"/>
      <c r="L431" s="3" t="s">
        <v>1941</v>
      </c>
      <c r="M431" s="3" t="str">
        <f>HYPERLINK("https://ceds.ed.gov/cedselementdetails.aspx?termid=5061")</f>
        <v>https://ceds.ed.gov/cedselementdetails.aspx?termid=5061</v>
      </c>
      <c r="N431" s="3" t="str">
        <f>HYPERLINK("https://ceds.ed.gov/elementComment.aspx?elementName=Course Level Characteristic &amp;elementID=5061", "Click here to submit comment")</f>
        <v>Click here to submit comment</v>
      </c>
    </row>
    <row r="432" spans="1:14" ht="375">
      <c r="A432" s="3" t="s">
        <v>1942</v>
      </c>
      <c r="B432" s="3" t="s">
        <v>1943</v>
      </c>
      <c r="C432" s="4" t="s">
        <v>6444</v>
      </c>
      <c r="D432" s="3" t="s">
        <v>6118</v>
      </c>
      <c r="E432" s="3"/>
      <c r="F432" s="3" t="s">
        <v>54</v>
      </c>
      <c r="G432" s="3"/>
      <c r="H432" s="3"/>
      <c r="I432" s="3"/>
      <c r="J432" s="3" t="s">
        <v>1944</v>
      </c>
      <c r="K432" s="3"/>
      <c r="L432" s="3" t="s">
        <v>1945</v>
      </c>
      <c r="M432" s="3" t="str">
        <f>HYPERLINK("https://ceds.ed.gov/cedselementdetails.aspx?termid=6278")</f>
        <v>https://ceds.ed.gov/cedselementdetails.aspx?termid=6278</v>
      </c>
      <c r="N432" s="3" t="str">
        <f>HYPERLINK("https://ceds.ed.gov/elementComment.aspx?elementName=Course Level Type &amp;elementID=6278", "Click here to submit comment")</f>
        <v>Click here to submit comment</v>
      </c>
    </row>
    <row r="433" spans="1:14" ht="90">
      <c r="A433" s="3" t="s">
        <v>1946</v>
      </c>
      <c r="B433" s="3" t="s">
        <v>1947</v>
      </c>
      <c r="C433" s="3" t="s">
        <v>13</v>
      </c>
      <c r="D433" s="3" t="s">
        <v>1831</v>
      </c>
      <c r="E433" s="3"/>
      <c r="F433" s="3" t="s">
        <v>54</v>
      </c>
      <c r="G433" s="3" t="s">
        <v>319</v>
      </c>
      <c r="H433" s="3"/>
      <c r="I433" s="3"/>
      <c r="J433" s="3" t="s">
        <v>1948</v>
      </c>
      <c r="K433" s="3"/>
      <c r="L433" s="3" t="s">
        <v>1949</v>
      </c>
      <c r="M433" s="3" t="str">
        <f>HYPERLINK("https://ceds.ed.gov/cedselementdetails.aspx?termid=6279")</f>
        <v>https://ceds.ed.gov/cedselementdetails.aspx?termid=6279</v>
      </c>
      <c r="N433" s="3" t="str">
        <f>HYPERLINK("https://ceds.ed.gov/elementComment.aspx?elementName=Course Narrative Explanation Grade &amp;elementID=6279", "Click here to submit comment")</f>
        <v>Click here to submit comment</v>
      </c>
    </row>
    <row r="434" spans="1:14" ht="90">
      <c r="A434" s="3" t="s">
        <v>1950</v>
      </c>
      <c r="B434" s="3" t="s">
        <v>1951</v>
      </c>
      <c r="C434" s="3" t="s">
        <v>13</v>
      </c>
      <c r="D434" s="3" t="s">
        <v>1831</v>
      </c>
      <c r="E434" s="3"/>
      <c r="F434" s="3" t="s">
        <v>54</v>
      </c>
      <c r="G434" s="3" t="s">
        <v>100</v>
      </c>
      <c r="H434" s="3"/>
      <c r="I434" s="3"/>
      <c r="J434" s="3" t="s">
        <v>1952</v>
      </c>
      <c r="K434" s="3"/>
      <c r="L434" s="3" t="s">
        <v>1953</v>
      </c>
      <c r="M434" s="3" t="str">
        <f>HYPERLINK("https://ceds.ed.gov/cedselementdetails.aspx?termid=6280")</f>
        <v>https://ceds.ed.gov/cedselementdetails.aspx?termid=6280</v>
      </c>
      <c r="N434" s="3" t="str">
        <f>HYPERLINK("https://ceds.ed.gov/elementComment.aspx?elementName=Course Number &amp;elementID=6280", "Click here to submit comment")</f>
        <v>Click here to submit comment</v>
      </c>
    </row>
    <row r="435" spans="1:14" ht="45">
      <c r="A435" s="3" t="s">
        <v>1954</v>
      </c>
      <c r="B435" s="3" t="s">
        <v>1955</v>
      </c>
      <c r="C435" s="3" t="s">
        <v>13</v>
      </c>
      <c r="D435" s="3" t="s">
        <v>1825</v>
      </c>
      <c r="E435" s="3" t="s">
        <v>24</v>
      </c>
      <c r="F435" s="3"/>
      <c r="G435" s="3" t="s">
        <v>25</v>
      </c>
      <c r="H435" s="3"/>
      <c r="I435" s="3"/>
      <c r="J435" s="3" t="s">
        <v>1956</v>
      </c>
      <c r="K435" s="3"/>
      <c r="L435" s="3" t="s">
        <v>1957</v>
      </c>
      <c r="M435" s="3" t="str">
        <f>HYPERLINK("https://ceds.ed.gov/cedselementdetails.aspx?termid=5063")</f>
        <v>https://ceds.ed.gov/cedselementdetails.aspx?termid=5063</v>
      </c>
      <c r="N435" s="3" t="str">
        <f>HYPERLINK("https://ceds.ed.gov/elementComment.aspx?elementName=Course Override School &amp;elementID=5063", "Click here to submit comment")</f>
        <v>Click here to submit comment</v>
      </c>
    </row>
    <row r="436" spans="1:14" ht="60">
      <c r="A436" s="3" t="s">
        <v>1958</v>
      </c>
      <c r="B436" s="3" t="s">
        <v>1959</v>
      </c>
      <c r="C436" s="3" t="s">
        <v>13</v>
      </c>
      <c r="D436" s="3" t="s">
        <v>1825</v>
      </c>
      <c r="E436" s="3" t="s">
        <v>24</v>
      </c>
      <c r="F436" s="3"/>
      <c r="G436" s="3" t="s">
        <v>1461</v>
      </c>
      <c r="H436" s="3"/>
      <c r="I436" s="3"/>
      <c r="J436" s="3" t="s">
        <v>1960</v>
      </c>
      <c r="K436" s="3"/>
      <c r="L436" s="3" t="s">
        <v>1961</v>
      </c>
      <c r="M436" s="3" t="str">
        <f>HYPERLINK("https://ceds.ed.gov/cedselementdetails.aspx?termid=5064")</f>
        <v>https://ceds.ed.gov/cedselementdetails.aspx?termid=5064</v>
      </c>
      <c r="N436" s="3" t="str">
        <f>HYPERLINK("https://ceds.ed.gov/elementComment.aspx?elementName=Course Quality Points Earned &amp;elementID=5064", "Click here to submit comment")</f>
        <v>Click here to submit comment</v>
      </c>
    </row>
    <row r="437" spans="1:14" ht="210">
      <c r="A437" s="3" t="s">
        <v>1962</v>
      </c>
      <c r="B437" s="3" t="s">
        <v>1963</v>
      </c>
      <c r="C437" s="4" t="s">
        <v>6445</v>
      </c>
      <c r="D437" s="3" t="s">
        <v>6119</v>
      </c>
      <c r="E437" s="3" t="s">
        <v>5968</v>
      </c>
      <c r="F437" s="3" t="s">
        <v>3</v>
      </c>
      <c r="G437" s="3"/>
      <c r="H437" s="3"/>
      <c r="I437" s="3"/>
      <c r="J437" s="3" t="s">
        <v>1964</v>
      </c>
      <c r="K437" s="3"/>
      <c r="L437" s="3" t="s">
        <v>1965</v>
      </c>
      <c r="M437" s="3" t="str">
        <f>HYPERLINK("https://ceds.ed.gov/cedselementdetails.aspx?termid=5065")</f>
        <v>https://ceds.ed.gov/cedselementdetails.aspx?termid=5065</v>
      </c>
      <c r="N437" s="3" t="str">
        <f>HYPERLINK("https://ceds.ed.gov/elementComment.aspx?elementName=Course Repeat Code &amp;elementID=5065", "Click here to submit comment")</f>
        <v>Click here to submit comment</v>
      </c>
    </row>
    <row r="438" spans="1:14" ht="409.5">
      <c r="A438" s="3" t="s">
        <v>1966</v>
      </c>
      <c r="B438" s="3" t="s">
        <v>1967</v>
      </c>
      <c r="C438" s="4" t="s">
        <v>6398</v>
      </c>
      <c r="D438" s="3" t="s">
        <v>6120</v>
      </c>
      <c r="E438" s="3" t="s">
        <v>6121</v>
      </c>
      <c r="F438" s="3" t="s">
        <v>66</v>
      </c>
      <c r="G438" s="3"/>
      <c r="H438" s="3" t="s">
        <v>1968</v>
      </c>
      <c r="I438" s="3"/>
      <c r="J438" s="3" t="s">
        <v>1969</v>
      </c>
      <c r="K438" s="3"/>
      <c r="L438" s="3" t="s">
        <v>1970</v>
      </c>
      <c r="M438" s="3" t="str">
        <f>HYPERLINK("https://ceds.ed.gov/cedselementdetails.aspx?termid=5027")</f>
        <v>https://ceds.ed.gov/cedselementdetails.aspx?termid=5027</v>
      </c>
      <c r="N438" s="3" t="str">
        <f>HYPERLINK("https://ceds.ed.gov/elementComment.aspx?elementName=Course Section Assessment Reporting Method &amp;elementID=5027", "Click here to submit comment")</f>
        <v>Click here to submit comment</v>
      </c>
    </row>
    <row r="439" spans="1:14" ht="120">
      <c r="A439" s="3" t="s">
        <v>1971</v>
      </c>
      <c r="B439" s="3" t="s">
        <v>1972</v>
      </c>
      <c r="C439" s="3" t="s">
        <v>13</v>
      </c>
      <c r="D439" s="3" t="s">
        <v>1973</v>
      </c>
      <c r="E439" s="3"/>
      <c r="F439" s="3" t="s">
        <v>66</v>
      </c>
      <c r="G439" s="3" t="s">
        <v>73</v>
      </c>
      <c r="H439" s="3" t="s">
        <v>1974</v>
      </c>
      <c r="I439" s="3" t="s">
        <v>1975</v>
      </c>
      <c r="J439" s="3" t="s">
        <v>1976</v>
      </c>
      <c r="K439" s="3"/>
      <c r="L439" s="3" t="s">
        <v>1977</v>
      </c>
      <c r="M439" s="3" t="str">
        <f>HYPERLINK("https://ceds.ed.gov/cedselementdetails.aspx?termid=5976")</f>
        <v>https://ceds.ed.gov/cedselementdetails.aspx?termid=5976</v>
      </c>
      <c r="N439" s="3" t="str">
        <f>HYPERLINK("https://ceds.ed.gov/elementComment.aspx?elementName=Course Section Enrollment Status End Date &amp;elementID=5976", "Click here to submit comment")</f>
        <v>Click here to submit comment</v>
      </c>
    </row>
    <row r="440" spans="1:14" ht="120">
      <c r="A440" s="3" t="s">
        <v>1978</v>
      </c>
      <c r="B440" s="3" t="s">
        <v>1979</v>
      </c>
      <c r="C440" s="3" t="s">
        <v>13</v>
      </c>
      <c r="D440" s="3" t="s">
        <v>1973</v>
      </c>
      <c r="E440" s="3"/>
      <c r="F440" s="3"/>
      <c r="G440" s="3" t="s">
        <v>73</v>
      </c>
      <c r="H440" s="3" t="s">
        <v>1980</v>
      </c>
      <c r="I440" s="3" t="s">
        <v>1975</v>
      </c>
      <c r="J440" s="3" t="s">
        <v>1981</v>
      </c>
      <c r="K440" s="3"/>
      <c r="L440" s="3" t="s">
        <v>1982</v>
      </c>
      <c r="M440" s="3" t="str">
        <f>HYPERLINK("https://ceds.ed.gov/cedselementdetails.aspx?termid=5975")</f>
        <v>https://ceds.ed.gov/cedselementdetails.aspx?termid=5975</v>
      </c>
      <c r="N440" s="3" t="str">
        <f>HYPERLINK("https://ceds.ed.gov/elementComment.aspx?elementName=Course Section Enrollment Status Start Date &amp;elementID=5975", "Click here to submit comment")</f>
        <v>Click here to submit comment</v>
      </c>
    </row>
    <row r="441" spans="1:14" ht="120">
      <c r="A441" s="3" t="s">
        <v>1983</v>
      </c>
      <c r="B441" s="3" t="s">
        <v>1984</v>
      </c>
      <c r="C441" s="3" t="s">
        <v>6122</v>
      </c>
      <c r="D441" s="3" t="s">
        <v>1973</v>
      </c>
      <c r="E441" s="3"/>
      <c r="F441" s="3" t="s">
        <v>66</v>
      </c>
      <c r="G441" s="3"/>
      <c r="H441" s="3" t="s">
        <v>1985</v>
      </c>
      <c r="I441" s="3" t="s">
        <v>1975</v>
      </c>
      <c r="J441" s="3" t="s">
        <v>1986</v>
      </c>
      <c r="K441" s="3"/>
      <c r="L441" s="3" t="s">
        <v>1987</v>
      </c>
      <c r="M441" s="3" t="str">
        <f>HYPERLINK("https://ceds.ed.gov/cedselementdetails.aspx?termid=5977")</f>
        <v>https://ceds.ed.gov/cedselementdetails.aspx?termid=5977</v>
      </c>
      <c r="N441" s="3" t="str">
        <f>HYPERLINK("https://ceds.ed.gov/elementComment.aspx?elementName=Course Section Enrollment Status Type &amp;elementID=5977", "Click here to submit comment")</f>
        <v>Click here to submit comment</v>
      </c>
    </row>
    <row r="442" spans="1:14" ht="45">
      <c r="A442" s="3" t="s">
        <v>1988</v>
      </c>
      <c r="B442" s="3" t="s">
        <v>1989</v>
      </c>
      <c r="C442" s="4" t="s">
        <v>6446</v>
      </c>
      <c r="D442" s="3" t="s">
        <v>1973</v>
      </c>
      <c r="E442" s="3" t="s">
        <v>1990</v>
      </c>
      <c r="F442" s="3" t="s">
        <v>66</v>
      </c>
      <c r="G442" s="3"/>
      <c r="H442" s="3" t="s">
        <v>1991</v>
      </c>
      <c r="I442" s="3"/>
      <c r="J442" s="3" t="s">
        <v>1992</v>
      </c>
      <c r="K442" s="3"/>
      <c r="L442" s="3" t="s">
        <v>1993</v>
      </c>
      <c r="M442" s="3" t="str">
        <f>HYPERLINK("https://ceds.ed.gov/cedselementdetails.aspx?termid=5652")</f>
        <v>https://ceds.ed.gov/cedselementdetails.aspx?termid=5652</v>
      </c>
      <c r="N442" s="3" t="str">
        <f>HYPERLINK("https://ceds.ed.gov/elementComment.aspx?elementName=Course Section Entry Type &amp;elementID=5652", "Click here to submit comment")</f>
        <v>Click here to submit comment</v>
      </c>
    </row>
    <row r="443" spans="1:14" ht="210">
      <c r="A443" s="3" t="s">
        <v>1994</v>
      </c>
      <c r="B443" s="3" t="s">
        <v>1995</v>
      </c>
      <c r="C443" s="4" t="s">
        <v>6447</v>
      </c>
      <c r="D443" s="3" t="s">
        <v>1973</v>
      </c>
      <c r="E443" s="3" t="s">
        <v>1990</v>
      </c>
      <c r="F443" s="3" t="s">
        <v>66</v>
      </c>
      <c r="G443" s="3"/>
      <c r="H443" s="3" t="s">
        <v>1996</v>
      </c>
      <c r="I443" s="3"/>
      <c r="J443" s="3" t="s">
        <v>1997</v>
      </c>
      <c r="K443" s="3"/>
      <c r="L443" s="3" t="s">
        <v>1998</v>
      </c>
      <c r="M443" s="3" t="str">
        <f>HYPERLINK("https://ceds.ed.gov/cedselementdetails.aspx?termid=5654")</f>
        <v>https://ceds.ed.gov/cedselementdetails.aspx?termid=5654</v>
      </c>
      <c r="N443" s="3" t="str">
        <f>HYPERLINK("https://ceds.ed.gov/elementComment.aspx?elementName=Course Section Exit Type &amp;elementID=5654", "Click here to submit comment")</f>
        <v>Click here to submit comment</v>
      </c>
    </row>
    <row r="444" spans="1:14" ht="45">
      <c r="A444" s="3" t="s">
        <v>1999</v>
      </c>
      <c r="B444" s="3" t="s">
        <v>2000</v>
      </c>
      <c r="C444" s="3" t="s">
        <v>13</v>
      </c>
      <c r="D444" s="3" t="s">
        <v>1973</v>
      </c>
      <c r="E444" s="3" t="s">
        <v>1990</v>
      </c>
      <c r="F444" s="3" t="s">
        <v>66</v>
      </c>
      <c r="G444" s="3" t="s">
        <v>73</v>
      </c>
      <c r="H444" s="3" t="s">
        <v>2001</v>
      </c>
      <c r="I444" s="3"/>
      <c r="J444" s="3" t="s">
        <v>2002</v>
      </c>
      <c r="K444" s="3"/>
      <c r="L444" s="3" t="s">
        <v>2003</v>
      </c>
      <c r="M444" s="3" t="str">
        <f>HYPERLINK("https://ceds.ed.gov/cedselementdetails.aspx?termid=5653")</f>
        <v>https://ceds.ed.gov/cedselementdetails.aspx?termid=5653</v>
      </c>
      <c r="N444" s="3" t="str">
        <f>HYPERLINK("https://ceds.ed.gov/elementComment.aspx?elementName=Course Section Exit Withdrawal Date &amp;elementID=5653", "Click here to submit comment")</f>
        <v>Click here to submit comment</v>
      </c>
    </row>
    <row r="445" spans="1:14" ht="75">
      <c r="A445" s="3" t="s">
        <v>2004</v>
      </c>
      <c r="B445" s="3" t="s">
        <v>2005</v>
      </c>
      <c r="C445" s="3" t="s">
        <v>13</v>
      </c>
      <c r="D445" s="3" t="s">
        <v>6098</v>
      </c>
      <c r="E445" s="3"/>
      <c r="F445" s="3" t="s">
        <v>66</v>
      </c>
      <c r="G445" s="3" t="s">
        <v>100</v>
      </c>
      <c r="H445" s="3" t="s">
        <v>2006</v>
      </c>
      <c r="I445" s="3"/>
      <c r="J445" s="3" t="s">
        <v>2007</v>
      </c>
      <c r="K445" s="3"/>
      <c r="L445" s="3" t="s">
        <v>2008</v>
      </c>
      <c r="M445" s="3" t="str">
        <f>HYPERLINK("https://ceds.ed.gov/cedselementdetails.aspx?termid=5979")</f>
        <v>https://ceds.ed.gov/cedselementdetails.aspx?termid=5979</v>
      </c>
      <c r="N445" s="3" t="str">
        <f>HYPERLINK("https://ceds.ed.gov/elementComment.aspx?elementName=Course Section Identifier &amp;elementID=5979", "Click here to submit comment")</f>
        <v>Click here to submit comment</v>
      </c>
    </row>
    <row r="446" spans="1:14" ht="150">
      <c r="A446" s="3" t="s">
        <v>2009</v>
      </c>
      <c r="B446" s="3" t="s">
        <v>2010</v>
      </c>
      <c r="C446" s="4" t="s">
        <v>6448</v>
      </c>
      <c r="D446" s="3" t="s">
        <v>6098</v>
      </c>
      <c r="E446" s="3"/>
      <c r="F446" s="3" t="s">
        <v>66</v>
      </c>
      <c r="G446" s="3"/>
      <c r="H446" s="3" t="s">
        <v>2011</v>
      </c>
      <c r="I446" s="3"/>
      <c r="J446" s="3" t="s">
        <v>2012</v>
      </c>
      <c r="K446" s="3"/>
      <c r="L446" s="3" t="s">
        <v>2013</v>
      </c>
      <c r="M446" s="3" t="str">
        <f>HYPERLINK("https://ceds.ed.gov/cedselementdetails.aspx?termid=6168")</f>
        <v>https://ceds.ed.gov/cedselementdetails.aspx?termid=6168</v>
      </c>
      <c r="N446" s="3" t="str">
        <f>HYPERLINK("https://ceds.ed.gov/elementComment.aspx?elementName=Course Section Instructional Delivery Mode &amp;elementID=6168", "Click here to submit comment")</f>
        <v>Click here to submit comment</v>
      </c>
    </row>
    <row r="447" spans="1:14" ht="75">
      <c r="A447" s="3" t="s">
        <v>2014</v>
      </c>
      <c r="B447" s="3" t="s">
        <v>2015</v>
      </c>
      <c r="C447" s="3" t="s">
        <v>13</v>
      </c>
      <c r="D447" s="3" t="s">
        <v>1831</v>
      </c>
      <c r="E447" s="3"/>
      <c r="F447" s="3" t="s">
        <v>54</v>
      </c>
      <c r="G447" s="3" t="s">
        <v>100</v>
      </c>
      <c r="H447" s="3"/>
      <c r="I447" s="3"/>
      <c r="J447" s="3" t="s">
        <v>2016</v>
      </c>
      <c r="K447" s="3"/>
      <c r="L447" s="3" t="s">
        <v>2017</v>
      </c>
      <c r="M447" s="3" t="str">
        <f>HYPERLINK("https://ceds.ed.gov/cedselementdetails.aspx?termid=6281")</f>
        <v>https://ceds.ed.gov/cedselementdetails.aspx?termid=6281</v>
      </c>
      <c r="N447" s="3" t="str">
        <f>HYPERLINK("https://ceds.ed.gov/elementComment.aspx?elementName=Course Section Number &amp;elementID=6281", "Click here to submit comment")</f>
        <v>Click here to submit comment</v>
      </c>
    </row>
    <row r="448" spans="1:14" ht="60">
      <c r="A448" s="3" t="s">
        <v>2018</v>
      </c>
      <c r="B448" s="3" t="s">
        <v>2019</v>
      </c>
      <c r="C448" s="4" t="s">
        <v>6449</v>
      </c>
      <c r="D448" s="3" t="s">
        <v>6098</v>
      </c>
      <c r="E448" s="3" t="s">
        <v>6123</v>
      </c>
      <c r="F448" s="3" t="s">
        <v>66</v>
      </c>
      <c r="G448" s="3"/>
      <c r="H448" s="3" t="s">
        <v>2020</v>
      </c>
      <c r="I448" s="3"/>
      <c r="J448" s="3" t="s">
        <v>2021</v>
      </c>
      <c r="K448" s="3"/>
      <c r="L448" s="3" t="s">
        <v>2022</v>
      </c>
      <c r="M448" s="3" t="str">
        <f>HYPERLINK("https://ceds.ed.gov/cedselementdetails.aspx?termid=5258")</f>
        <v>https://ceds.ed.gov/cedselementdetails.aspx?termid=5258</v>
      </c>
      <c r="N448" s="3" t="str">
        <f>HYPERLINK("https://ceds.ed.gov/elementComment.aspx?elementName=Course Section Single Sex Class Status &amp;elementID=5258", "Click here to submit comment")</f>
        <v>Click here to submit comment</v>
      </c>
    </row>
    <row r="449" spans="1:14" ht="165">
      <c r="A449" s="3" t="s">
        <v>2023</v>
      </c>
      <c r="B449" s="3" t="s">
        <v>2024</v>
      </c>
      <c r="C449" s="3" t="s">
        <v>13</v>
      </c>
      <c r="D449" s="3" t="s">
        <v>6098</v>
      </c>
      <c r="E449" s="3" t="s">
        <v>2025</v>
      </c>
      <c r="F449" s="3" t="s">
        <v>66</v>
      </c>
      <c r="G449" s="3" t="s">
        <v>308</v>
      </c>
      <c r="H449" s="3" t="s">
        <v>2026</v>
      </c>
      <c r="I449" s="3"/>
      <c r="J449" s="3" t="s">
        <v>2027</v>
      </c>
      <c r="K449" s="3"/>
      <c r="L449" s="3" t="s">
        <v>2028</v>
      </c>
      <c r="M449" s="3" t="str">
        <f>HYPERLINK("https://ceds.ed.gov/cedselementdetails.aspx?termid=5101")</f>
        <v>https://ceds.ed.gov/cedselementdetails.aspx?termid=5101</v>
      </c>
      <c r="N449" s="3" t="str">
        <f>HYPERLINK("https://ceds.ed.gov/elementComment.aspx?elementName=Course Section Time Required For Completion &amp;elementID=5101", "Click here to submit comment")</f>
        <v>Click here to submit comment</v>
      </c>
    </row>
    <row r="450" spans="1:14" ht="60">
      <c r="A450" s="3" t="s">
        <v>2029</v>
      </c>
      <c r="B450" s="3" t="s">
        <v>2030</v>
      </c>
      <c r="C450" s="3" t="s">
        <v>13</v>
      </c>
      <c r="D450" s="3" t="s">
        <v>314</v>
      </c>
      <c r="E450" s="3" t="s">
        <v>24</v>
      </c>
      <c r="F450" s="3"/>
      <c r="G450" s="3" t="s">
        <v>2031</v>
      </c>
      <c r="H450" s="3"/>
      <c r="I450" s="3"/>
      <c r="J450" s="3" t="s">
        <v>2032</v>
      </c>
      <c r="K450" s="3"/>
      <c r="L450" s="3" t="s">
        <v>2033</v>
      </c>
      <c r="M450" s="3" t="str">
        <f>HYPERLINK("https://ceds.ed.gov/cedselementdetails.aspx?termid=5066")</f>
        <v>https://ceds.ed.gov/cedselementdetails.aspx?termid=5066</v>
      </c>
      <c r="N450" s="3" t="str">
        <f>HYPERLINK("https://ceds.ed.gov/elementComment.aspx?elementName=Course Subject Abbreviation &amp;elementID=5066", "Click here to submit comment")</f>
        <v>Click here to submit comment</v>
      </c>
    </row>
    <row r="451" spans="1:14" ht="225">
      <c r="A451" s="3" t="s">
        <v>2034</v>
      </c>
      <c r="B451" s="3" t="s">
        <v>2035</v>
      </c>
      <c r="C451" s="3" t="s">
        <v>13</v>
      </c>
      <c r="D451" s="3" t="s">
        <v>6111</v>
      </c>
      <c r="E451" s="3" t="s">
        <v>6078</v>
      </c>
      <c r="F451" s="3"/>
      <c r="G451" s="3" t="s">
        <v>106</v>
      </c>
      <c r="H451" s="3"/>
      <c r="I451" s="3"/>
      <c r="J451" s="3" t="s">
        <v>2036</v>
      </c>
      <c r="K451" s="3"/>
      <c r="L451" s="3" t="s">
        <v>2037</v>
      </c>
      <c r="M451" s="3" t="str">
        <f>HYPERLINK("https://ceds.ed.gov/cedselementdetails.aspx?termid=5067")</f>
        <v>https://ceds.ed.gov/cedselementdetails.aspx?termid=5067</v>
      </c>
      <c r="N451" s="3" t="str">
        <f>HYPERLINK("https://ceds.ed.gov/elementComment.aspx?elementName=Course Title &amp;elementID=5067", "Click here to submit comment")</f>
        <v>Click here to submit comment</v>
      </c>
    </row>
    <row r="452" spans="1:14" ht="45">
      <c r="A452" s="3" t="s">
        <v>2038</v>
      </c>
      <c r="B452" s="3" t="s">
        <v>2039</v>
      </c>
      <c r="C452" s="3" t="s">
        <v>13</v>
      </c>
      <c r="D452" s="3" t="s">
        <v>14</v>
      </c>
      <c r="E452" s="3"/>
      <c r="F452" s="3" t="s">
        <v>54</v>
      </c>
      <c r="G452" s="3" t="s">
        <v>575</v>
      </c>
      <c r="H452" s="3"/>
      <c r="I452" s="3"/>
      <c r="J452" s="3" t="s">
        <v>2040</v>
      </c>
      <c r="K452" s="3"/>
      <c r="L452" s="3" t="s">
        <v>2041</v>
      </c>
      <c r="M452" s="3" t="str">
        <f>HYPERLINK("https://ceds.ed.gov/cedselementdetails.aspx?termid=6282")</f>
        <v>https://ceds.ed.gov/cedselementdetails.aspx?termid=6282</v>
      </c>
      <c r="N452" s="3" t="str">
        <f>HYPERLINK("https://ceds.ed.gov/elementComment.aspx?elementName=Course Total &amp;elementID=6282", "Click here to submit comment")</f>
        <v>Click here to submit comment</v>
      </c>
    </row>
    <row r="453" spans="1:14" ht="45">
      <c r="A453" s="3" t="s">
        <v>2042</v>
      </c>
      <c r="B453" s="3" t="s">
        <v>2043</v>
      </c>
      <c r="C453" s="3" t="s">
        <v>13</v>
      </c>
      <c r="D453" s="3" t="s">
        <v>6124</v>
      </c>
      <c r="E453" s="3" t="s">
        <v>202</v>
      </c>
      <c r="F453" s="3"/>
      <c r="G453" s="3" t="s">
        <v>73</v>
      </c>
      <c r="H453" s="3"/>
      <c r="I453" s="3"/>
      <c r="J453" s="3" t="s">
        <v>2044</v>
      </c>
      <c r="K453" s="3"/>
      <c r="L453" s="3" t="s">
        <v>2045</v>
      </c>
      <c r="M453" s="3" t="str">
        <f>HYPERLINK("https://ceds.ed.gov/cedselementdetails.aspx?termid=5069")</f>
        <v>https://ceds.ed.gov/cedselementdetails.aspx?termid=5069</v>
      </c>
      <c r="N453" s="3" t="str">
        <f>HYPERLINK("https://ceds.ed.gov/elementComment.aspx?elementName=Credential Expiration Date &amp;elementID=5069", "Click here to submit comment")</f>
        <v>Click here to submit comment</v>
      </c>
    </row>
    <row r="454" spans="1:14" ht="45">
      <c r="A454" s="3" t="s">
        <v>2046</v>
      </c>
      <c r="B454" s="3" t="s">
        <v>2047</v>
      </c>
      <c r="C454" s="3" t="s">
        <v>13</v>
      </c>
      <c r="D454" s="3" t="s">
        <v>6124</v>
      </c>
      <c r="E454" s="3" t="s">
        <v>202</v>
      </c>
      <c r="F454" s="3"/>
      <c r="G454" s="3" t="s">
        <v>73</v>
      </c>
      <c r="H454" s="3"/>
      <c r="I454" s="3"/>
      <c r="J454" s="3" t="s">
        <v>2048</v>
      </c>
      <c r="K454" s="3"/>
      <c r="L454" s="3" t="s">
        <v>2049</v>
      </c>
      <c r="M454" s="3" t="str">
        <f>HYPERLINK("https://ceds.ed.gov/cedselementdetails.aspx?termid=5070")</f>
        <v>https://ceds.ed.gov/cedselementdetails.aspx?termid=5070</v>
      </c>
      <c r="N454" s="3" t="str">
        <f>HYPERLINK("https://ceds.ed.gov/elementComment.aspx?elementName=Credential Issuance Date &amp;elementID=5070", "Click here to submit comment")</f>
        <v>Click here to submit comment</v>
      </c>
    </row>
    <row r="455" spans="1:14" ht="105">
      <c r="A455" s="3" t="s">
        <v>2050</v>
      </c>
      <c r="B455" s="3" t="s">
        <v>2051</v>
      </c>
      <c r="C455" s="3" t="s">
        <v>6125</v>
      </c>
      <c r="D455" s="3" t="s">
        <v>6126</v>
      </c>
      <c r="E455" s="3"/>
      <c r="F455" s="3" t="s">
        <v>3</v>
      </c>
      <c r="G455" s="3"/>
      <c r="H455" s="3"/>
      <c r="I455" s="3"/>
      <c r="J455" s="3" t="s">
        <v>2052</v>
      </c>
      <c r="K455" s="3"/>
      <c r="L455" s="3" t="s">
        <v>2053</v>
      </c>
      <c r="M455" s="3" t="str">
        <f>HYPERLINK("https://ceds.ed.gov/cedselementdetails.aspx?termid=5071")</f>
        <v>https://ceds.ed.gov/cedselementdetails.aspx?termid=5071</v>
      </c>
      <c r="N455" s="3" t="str">
        <f>HYPERLINK("https://ceds.ed.gov/elementComment.aspx?elementName=Credential Type &amp;elementID=5071", "Click here to submit comment")</f>
        <v>Click here to submit comment</v>
      </c>
    </row>
    <row r="456" spans="1:14" ht="270">
      <c r="A456" s="3" t="s">
        <v>2054</v>
      </c>
      <c r="B456" s="3" t="s">
        <v>2055</v>
      </c>
      <c r="C456" s="4" t="s">
        <v>6450</v>
      </c>
      <c r="D456" s="3" t="s">
        <v>14</v>
      </c>
      <c r="E456" s="3"/>
      <c r="F456" s="3" t="s">
        <v>54</v>
      </c>
      <c r="G456" s="3"/>
      <c r="H456" s="3"/>
      <c r="I456" s="3"/>
      <c r="J456" s="3" t="s">
        <v>2056</v>
      </c>
      <c r="K456" s="3"/>
      <c r="L456" s="3" t="s">
        <v>2057</v>
      </c>
      <c r="M456" s="3" t="str">
        <f>HYPERLINK("https://ceds.ed.gov/cedselementdetails.aspx?termid=6283")</f>
        <v>https://ceds.ed.gov/cedselementdetails.aspx?termid=6283</v>
      </c>
      <c r="N456" s="3" t="str">
        <f>HYPERLINK("https://ceds.ed.gov/elementComment.aspx?elementName=Credit Hours Applied Other Program &amp;elementID=6283", "Click here to submit comment")</f>
        <v>Click here to submit comment</v>
      </c>
    </row>
    <row r="457" spans="1:14" ht="285">
      <c r="A457" s="3" t="s">
        <v>2058</v>
      </c>
      <c r="B457" s="3" t="s">
        <v>2059</v>
      </c>
      <c r="C457" s="4" t="s">
        <v>6451</v>
      </c>
      <c r="D457" s="3" t="s">
        <v>6127</v>
      </c>
      <c r="E457" s="3" t="s">
        <v>5968</v>
      </c>
      <c r="F457" s="3"/>
      <c r="G457" s="3"/>
      <c r="H457" s="3"/>
      <c r="I457" s="3"/>
      <c r="J457" s="3" t="s">
        <v>2060</v>
      </c>
      <c r="K457" s="3"/>
      <c r="L457" s="3" t="s">
        <v>2061</v>
      </c>
      <c r="M457" s="3" t="str">
        <f>HYPERLINK("https://ceds.ed.gov/cedselementdetails.aspx?termid=5072")</f>
        <v>https://ceds.ed.gov/cedselementdetails.aspx?termid=5072</v>
      </c>
      <c r="N457" s="3" t="str">
        <f>HYPERLINK("https://ceds.ed.gov/elementComment.aspx?elementName=Credit Type Earned &amp;elementID=5072", "Click here to submit comment")</f>
        <v>Click here to submit comment</v>
      </c>
    </row>
    <row r="458" spans="1:14" ht="105">
      <c r="A458" s="3" t="s">
        <v>2062</v>
      </c>
      <c r="B458" s="3" t="s">
        <v>2063</v>
      </c>
      <c r="C458" s="3" t="s">
        <v>13</v>
      </c>
      <c r="D458" s="3" t="s">
        <v>30</v>
      </c>
      <c r="E458" s="3" t="s">
        <v>5968</v>
      </c>
      <c r="F458" s="3"/>
      <c r="G458" s="3" t="s">
        <v>1461</v>
      </c>
      <c r="H458" s="3"/>
      <c r="I458" s="3"/>
      <c r="J458" s="3" t="s">
        <v>2064</v>
      </c>
      <c r="K458" s="3"/>
      <c r="L458" s="3" t="s">
        <v>2065</v>
      </c>
      <c r="M458" s="3" t="str">
        <f>HYPERLINK("https://ceds.ed.gov/cedselementdetails.aspx?termid=5073")</f>
        <v>https://ceds.ed.gov/cedselementdetails.aspx?termid=5073</v>
      </c>
      <c r="N458" s="3" t="str">
        <f>HYPERLINK("https://ceds.ed.gov/elementComment.aspx?elementName=Credits Attempted Cumulative &amp;elementID=5073", "Click here to submit comment")</f>
        <v>Click here to submit comment</v>
      </c>
    </row>
    <row r="459" spans="1:14" ht="105">
      <c r="A459" s="3" t="s">
        <v>2066</v>
      </c>
      <c r="B459" s="3" t="s">
        <v>2067</v>
      </c>
      <c r="C459" s="3" t="s">
        <v>13</v>
      </c>
      <c r="D459" s="3" t="s">
        <v>30</v>
      </c>
      <c r="E459" s="3" t="s">
        <v>5968</v>
      </c>
      <c r="F459" s="3"/>
      <c r="G459" s="3" t="s">
        <v>1461</v>
      </c>
      <c r="H459" s="3"/>
      <c r="I459" s="3"/>
      <c r="J459" s="3" t="s">
        <v>2068</v>
      </c>
      <c r="K459" s="3"/>
      <c r="L459" s="3" t="s">
        <v>2069</v>
      </c>
      <c r="M459" s="3" t="str">
        <f>HYPERLINK("https://ceds.ed.gov/cedselementdetails.aspx?termid=5074")</f>
        <v>https://ceds.ed.gov/cedselementdetails.aspx?termid=5074</v>
      </c>
      <c r="N459" s="3" t="str">
        <f>HYPERLINK("https://ceds.ed.gov/elementComment.aspx?elementName=Credits Earned Cumulative &amp;elementID=5074", "Click here to submit comment")</f>
        <v>Click here to submit comment</v>
      </c>
    </row>
    <row r="460" spans="1:14" ht="195">
      <c r="A460" s="3" t="s">
        <v>2070</v>
      </c>
      <c r="B460" s="3" t="s">
        <v>2071</v>
      </c>
      <c r="C460" s="3" t="s">
        <v>13</v>
      </c>
      <c r="D460" s="3" t="s">
        <v>2072</v>
      </c>
      <c r="E460" s="3"/>
      <c r="F460" s="3"/>
      <c r="G460" s="3" t="s">
        <v>100</v>
      </c>
      <c r="H460" s="3"/>
      <c r="I460" s="3"/>
      <c r="J460" s="3" t="s">
        <v>2073</v>
      </c>
      <c r="K460" s="3"/>
      <c r="L460" s="3" t="s">
        <v>2074</v>
      </c>
      <c r="M460" s="3" t="str">
        <f>HYPERLINK("https://ceds.ed.gov/cedselementdetails.aspx?termid=5604")</f>
        <v>https://ceds.ed.gov/cedselementdetails.aspx?termid=5604</v>
      </c>
      <c r="N460" s="3" t="str">
        <f>HYPERLINK("https://ceds.ed.gov/elementComment.aspx?elementName=Crisis Code &amp;elementID=5604", "Click here to submit comment")</f>
        <v>Click here to submit comment</v>
      </c>
    </row>
    <row r="461" spans="1:14" ht="30">
      <c r="A461" s="3" t="s">
        <v>2075</v>
      </c>
      <c r="B461" s="3" t="s">
        <v>2076</v>
      </c>
      <c r="C461" s="3" t="s">
        <v>13</v>
      </c>
      <c r="D461" s="3" t="s">
        <v>2072</v>
      </c>
      <c r="E461" s="3"/>
      <c r="F461" s="3"/>
      <c r="G461" s="3" t="s">
        <v>1249</v>
      </c>
      <c r="H461" s="3"/>
      <c r="I461" s="3"/>
      <c r="J461" s="3" t="s">
        <v>2077</v>
      </c>
      <c r="K461" s="3"/>
      <c r="L461" s="3" t="s">
        <v>2078</v>
      </c>
      <c r="M461" s="3" t="str">
        <f>HYPERLINK("https://ceds.ed.gov/cedselementdetails.aspx?termid=5605")</f>
        <v>https://ceds.ed.gov/cedselementdetails.aspx?termid=5605</v>
      </c>
      <c r="N461" s="3" t="str">
        <f>HYPERLINK("https://ceds.ed.gov/elementComment.aspx?elementName=Crisis Name &amp;elementID=5605", "Click here to submit comment")</f>
        <v>Click here to submit comment</v>
      </c>
    </row>
    <row r="462" spans="1:14" ht="75">
      <c r="A462" s="3" t="s">
        <v>2079</v>
      </c>
      <c r="B462" s="3" t="s">
        <v>2080</v>
      </c>
      <c r="C462" s="3" t="s">
        <v>13</v>
      </c>
      <c r="D462" s="3" t="s">
        <v>2072</v>
      </c>
      <c r="E462" s="3"/>
      <c r="F462" s="3"/>
      <c r="G462" s="3" t="s">
        <v>73</v>
      </c>
      <c r="H462" s="3"/>
      <c r="I462" s="3"/>
      <c r="J462" s="3" t="s">
        <v>2081</v>
      </c>
      <c r="K462" s="3"/>
      <c r="L462" s="3" t="s">
        <v>2082</v>
      </c>
      <c r="M462" s="3" t="str">
        <f>HYPERLINK("https://ceds.ed.gov/cedselementdetails.aspx?termid=5607")</f>
        <v>https://ceds.ed.gov/cedselementdetails.aspx?termid=5607</v>
      </c>
      <c r="N462" s="3" t="str">
        <f>HYPERLINK("https://ceds.ed.gov/elementComment.aspx?elementName=Crisis Start Date &amp;elementID=5607", "Click here to submit comment")</f>
        <v>Click here to submit comment</v>
      </c>
    </row>
    <row r="463" spans="1:14" ht="45">
      <c r="A463" s="3" t="s">
        <v>2083</v>
      </c>
      <c r="B463" s="3" t="s">
        <v>2084</v>
      </c>
      <c r="C463" s="3" t="s">
        <v>13</v>
      </c>
      <c r="D463" s="3" t="s">
        <v>2072</v>
      </c>
      <c r="E463" s="3"/>
      <c r="F463" s="3"/>
      <c r="G463" s="3" t="s">
        <v>1249</v>
      </c>
      <c r="H463" s="3"/>
      <c r="I463" s="3"/>
      <c r="J463" s="3" t="s">
        <v>2085</v>
      </c>
      <c r="K463" s="3"/>
      <c r="L463" s="3" t="s">
        <v>2086</v>
      </c>
      <c r="M463" s="3" t="str">
        <f>HYPERLINK("https://ceds.ed.gov/cedselementdetails.aspx?termid=5606")</f>
        <v>https://ceds.ed.gov/cedselementdetails.aspx?termid=5606</v>
      </c>
      <c r="N463" s="3" t="str">
        <f>HYPERLINK("https://ceds.ed.gov/elementComment.aspx?elementName=Crisis Type &amp;elementID=5606", "Click here to submit comment")</f>
        <v>Click here to submit comment</v>
      </c>
    </row>
    <row r="464" spans="1:14" ht="60">
      <c r="A464" s="3" t="s">
        <v>2087</v>
      </c>
      <c r="B464" s="3" t="s">
        <v>2088</v>
      </c>
      <c r="C464" s="4" t="s">
        <v>6371</v>
      </c>
      <c r="D464" s="3" t="s">
        <v>343</v>
      </c>
      <c r="E464" s="3" t="s">
        <v>344</v>
      </c>
      <c r="F464" s="3"/>
      <c r="G464" s="3"/>
      <c r="H464" s="3"/>
      <c r="I464" s="3" t="s">
        <v>2089</v>
      </c>
      <c r="J464" s="3" t="s">
        <v>2090</v>
      </c>
      <c r="K464" s="3"/>
      <c r="L464" s="3" t="s">
        <v>2091</v>
      </c>
      <c r="M464" s="3" t="str">
        <f>HYPERLINK("https://ceds.ed.gov/cedselementdetails.aspx?termid=5753")</f>
        <v>https://ceds.ed.gov/cedselementdetails.aspx?termid=5753</v>
      </c>
      <c r="N464" s="3" t="str">
        <f>HYPERLINK("https://ceds.ed.gov/elementComment.aspx?elementName=Critical Teacher Shortage Area Candidate &amp;elementID=5753", "Click here to submit comment")</f>
        <v>Click here to submit comment</v>
      </c>
    </row>
    <row r="465" spans="1:14" ht="150">
      <c r="A465" s="3" t="s">
        <v>2092</v>
      </c>
      <c r="B465" s="3" t="s">
        <v>2093</v>
      </c>
      <c r="C465" s="4" t="s">
        <v>6452</v>
      </c>
      <c r="D465" s="3" t="s">
        <v>6105</v>
      </c>
      <c r="E465" s="3"/>
      <c r="F465" s="3"/>
      <c r="G465" s="3"/>
      <c r="H465" s="3"/>
      <c r="I465" s="3"/>
      <c r="J465" s="3" t="s">
        <v>2094</v>
      </c>
      <c r="K465" s="3"/>
      <c r="L465" s="3" t="s">
        <v>2095</v>
      </c>
      <c r="M465" s="3" t="str">
        <f>HYPERLINK("https://ceds.ed.gov/cedselementdetails.aspx?termid=5688")</f>
        <v>https://ceds.ed.gov/cedselementdetails.aspx?termid=5688</v>
      </c>
      <c r="N465" s="3" t="str">
        <f>HYPERLINK("https://ceds.ed.gov/elementComment.aspx?elementName=Curriculum Framework Type &amp;elementID=5688", "Click here to submit comment")</f>
        <v>Click here to submit comment</v>
      </c>
    </row>
    <row r="466" spans="1:14" ht="165">
      <c r="A466" s="3" t="s">
        <v>2096</v>
      </c>
      <c r="B466" s="3" t="s">
        <v>2097</v>
      </c>
      <c r="C466" s="4" t="s">
        <v>6453</v>
      </c>
      <c r="D466" s="3" t="s">
        <v>2098</v>
      </c>
      <c r="E466" s="3" t="s">
        <v>5988</v>
      </c>
      <c r="F466" s="3"/>
      <c r="G466" s="3"/>
      <c r="H466" s="3"/>
      <c r="I466" s="3"/>
      <c r="J466" s="3" t="s">
        <v>2099</v>
      </c>
      <c r="K466" s="3"/>
      <c r="L466" s="3" t="s">
        <v>2100</v>
      </c>
      <c r="M466" s="3" t="str">
        <f>HYPERLINK("https://ceds.ed.gov/cedselementdetails.aspx?termid=5328")</f>
        <v>https://ceds.ed.gov/cedselementdetails.aspx?termid=5328</v>
      </c>
      <c r="N466" s="3" t="str">
        <f>HYPERLINK("https://ceds.ed.gov/elementComment.aspx?elementName=Custodial Parent or Guardian Indicator &amp;elementID=5328", "Click here to submit comment")</f>
        <v>Click here to submit comment</v>
      </c>
    </row>
    <row r="467" spans="1:14" ht="45">
      <c r="A467" s="3" t="s">
        <v>2101</v>
      </c>
      <c r="B467" s="3" t="s">
        <v>2102</v>
      </c>
      <c r="C467" s="3" t="s">
        <v>13</v>
      </c>
      <c r="D467" s="3" t="s">
        <v>2103</v>
      </c>
      <c r="E467" s="3" t="s">
        <v>207</v>
      </c>
      <c r="F467" s="3"/>
      <c r="G467" s="3" t="s">
        <v>73</v>
      </c>
      <c r="H467" s="3"/>
      <c r="I467" s="3"/>
      <c r="J467" s="3" t="s">
        <v>2104</v>
      </c>
      <c r="K467" s="3"/>
      <c r="L467" s="3" t="s">
        <v>2105</v>
      </c>
      <c r="M467" s="3" t="str">
        <f>HYPERLINK("https://ceds.ed.gov/cedselementdetails.aspx?termid=5445")</f>
        <v>https://ceds.ed.gov/cedselementdetails.aspx?termid=5445</v>
      </c>
      <c r="N467" s="3" t="str">
        <f>HYPERLINK("https://ceds.ed.gov/elementComment.aspx?elementName=Date State Received Title III Allocation &amp;elementID=5445", "Click here to submit comment")</f>
        <v>Click here to submit comment</v>
      </c>
    </row>
    <row r="468" spans="1:14" ht="30">
      <c r="A468" s="3" t="s">
        <v>2106</v>
      </c>
      <c r="B468" s="3" t="s">
        <v>2107</v>
      </c>
      <c r="C468" s="3" t="s">
        <v>13</v>
      </c>
      <c r="D468" s="3" t="s">
        <v>2103</v>
      </c>
      <c r="E468" s="3" t="s">
        <v>207</v>
      </c>
      <c r="F468" s="3"/>
      <c r="G468" s="3" t="s">
        <v>73</v>
      </c>
      <c r="H468" s="3"/>
      <c r="I468" s="3"/>
      <c r="J468" s="3" t="s">
        <v>2108</v>
      </c>
      <c r="K468" s="3"/>
      <c r="L468" s="3" t="s">
        <v>2109</v>
      </c>
      <c r="M468" s="3" t="str">
        <f>HYPERLINK("https://ceds.ed.gov/cedselementdetails.aspx?termid=5446")</f>
        <v>https://ceds.ed.gov/cedselementdetails.aspx?termid=5446</v>
      </c>
      <c r="N468" s="3" t="str">
        <f>HYPERLINK("https://ceds.ed.gov/elementComment.aspx?elementName=Date Title III Funds Available to Subgrantees &amp;elementID=5446", "Click here to submit comment")</f>
        <v>Click here to submit comment</v>
      </c>
    </row>
    <row r="469" spans="1:14" ht="75">
      <c r="A469" s="3" t="s">
        <v>2110</v>
      </c>
      <c r="B469" s="3" t="s">
        <v>2111</v>
      </c>
      <c r="C469" s="3" t="s">
        <v>13</v>
      </c>
      <c r="D469" s="3" t="s">
        <v>6128</v>
      </c>
      <c r="E469" s="3" t="s">
        <v>6129</v>
      </c>
      <c r="F469" s="3"/>
      <c r="G469" s="3" t="s">
        <v>308</v>
      </c>
      <c r="H469" s="3"/>
      <c r="I469" s="3"/>
      <c r="J469" s="3" t="s">
        <v>2112</v>
      </c>
      <c r="K469" s="3"/>
      <c r="L469" s="3" t="s">
        <v>2113</v>
      </c>
      <c r="M469" s="3" t="str">
        <f>HYPERLINK("https://ceds.ed.gov/cedselementdetails.aspx?termid=5354")</f>
        <v>https://ceds.ed.gov/cedselementdetails.aspx?termid=5354</v>
      </c>
      <c r="N469" s="3" t="str">
        <f>HYPERLINK("https://ceds.ed.gov/elementComment.aspx?elementName=Days Available Per Week &amp;elementID=5354", "Click here to submit comment")</f>
        <v>Click here to submit comment</v>
      </c>
    </row>
    <row r="470" spans="1:14" ht="135">
      <c r="A470" s="3" t="s">
        <v>2114</v>
      </c>
      <c r="B470" s="3" t="s">
        <v>2115</v>
      </c>
      <c r="C470" s="3" t="s">
        <v>13</v>
      </c>
      <c r="D470" s="3" t="s">
        <v>2116</v>
      </c>
      <c r="E470" s="3"/>
      <c r="F470" s="3"/>
      <c r="G470" s="3" t="s">
        <v>308</v>
      </c>
      <c r="H470" s="3"/>
      <c r="I470" s="3"/>
      <c r="J470" s="3" t="s">
        <v>2117</v>
      </c>
      <c r="K470" s="3"/>
      <c r="L470" s="3" t="s">
        <v>2118</v>
      </c>
      <c r="M470" s="3" t="str">
        <f>HYPERLINK("https://ceds.ed.gov/cedselementdetails.aspx?termid=5487")</f>
        <v>https://ceds.ed.gov/cedselementdetails.aspx?termid=5487</v>
      </c>
      <c r="N470" s="3" t="str">
        <f>HYPERLINK("https://ceds.ed.gov/elementComment.aspx?elementName=Days In Session &amp;elementID=5487", "Click here to submit comment")</f>
        <v>Click here to submit comment</v>
      </c>
    </row>
    <row r="471" spans="1:14" ht="45">
      <c r="A471" s="3" t="s">
        <v>2119</v>
      </c>
      <c r="B471" s="3" t="s">
        <v>2120</v>
      </c>
      <c r="C471" s="3" t="s">
        <v>5963</v>
      </c>
      <c r="D471" s="3" t="s">
        <v>1825</v>
      </c>
      <c r="E471" s="3" t="s">
        <v>24</v>
      </c>
      <c r="F471" s="3"/>
      <c r="G471" s="3"/>
      <c r="H471" s="3"/>
      <c r="I471" s="3"/>
      <c r="J471" s="3" t="s">
        <v>2121</v>
      </c>
      <c r="K471" s="3"/>
      <c r="L471" s="3" t="s">
        <v>2122</v>
      </c>
      <c r="M471" s="3" t="str">
        <f>HYPERLINK("https://ceds.ed.gov/cedselementdetails.aspx?termid=5077")</f>
        <v>https://ceds.ed.gov/cedselementdetails.aspx?termid=5077</v>
      </c>
      <c r="N471" s="3" t="str">
        <f>HYPERLINK("https://ceds.ed.gov/elementComment.aspx?elementName=Degree Applicability &amp;elementID=5077", "Click here to submit comment")</f>
        <v>Click here to submit comment</v>
      </c>
    </row>
    <row r="472" spans="1:14" ht="60">
      <c r="A472" s="3" t="s">
        <v>2123</v>
      </c>
      <c r="B472" s="3" t="s">
        <v>2124</v>
      </c>
      <c r="C472" s="3" t="s">
        <v>13</v>
      </c>
      <c r="D472" s="3" t="s">
        <v>6130</v>
      </c>
      <c r="E472" s="3" t="s">
        <v>6131</v>
      </c>
      <c r="F472" s="3"/>
      <c r="G472" s="3" t="s">
        <v>73</v>
      </c>
      <c r="H472" s="3"/>
      <c r="I472" s="3"/>
      <c r="J472" s="3" t="s">
        <v>2125</v>
      </c>
      <c r="K472" s="3"/>
      <c r="L472" s="3" t="s">
        <v>2126</v>
      </c>
      <c r="M472" s="3" t="str">
        <f>HYPERLINK("https://ceds.ed.gov/cedselementdetails.aspx?termid=5343")</f>
        <v>https://ceds.ed.gov/cedselementdetails.aspx?termid=5343</v>
      </c>
      <c r="N472" s="3" t="str">
        <f>HYPERLINK("https://ceds.ed.gov/elementComment.aspx?elementName=Degree or Certificate Conferring Date &amp;elementID=5343", "Click here to submit comment")</f>
        <v>Click here to submit comment</v>
      </c>
    </row>
    <row r="473" spans="1:14" ht="105">
      <c r="A473" s="3" t="s">
        <v>2127</v>
      </c>
      <c r="B473" s="3" t="s">
        <v>2128</v>
      </c>
      <c r="C473" s="3" t="s">
        <v>5963</v>
      </c>
      <c r="D473" s="3" t="s">
        <v>1708</v>
      </c>
      <c r="E473" s="3" t="s">
        <v>5967</v>
      </c>
      <c r="F473" s="3"/>
      <c r="G473" s="3"/>
      <c r="H473" s="3"/>
      <c r="I473" s="3"/>
      <c r="J473" s="3" t="s">
        <v>2129</v>
      </c>
      <c r="K473" s="3"/>
      <c r="L473" s="3" t="s">
        <v>2130</v>
      </c>
      <c r="M473" s="3" t="str">
        <f>HYPERLINK("https://ceds.ed.gov/cedselementdetails.aspx?termid=5078")</f>
        <v>https://ceds.ed.gov/cedselementdetails.aspx?termid=5078</v>
      </c>
      <c r="N473" s="3" t="str">
        <f>HYPERLINK("https://ceds.ed.gov/elementComment.aspx?elementName=Degree or Certificate Seeking Student &amp;elementID=5078", "Click here to submit comment")</f>
        <v>Click here to submit comment</v>
      </c>
    </row>
    <row r="474" spans="1:14" ht="60">
      <c r="A474" s="3" t="s">
        <v>2131</v>
      </c>
      <c r="B474" s="3" t="s">
        <v>2132</v>
      </c>
      <c r="C474" s="3" t="s">
        <v>13</v>
      </c>
      <c r="D474" s="3" t="s">
        <v>6130</v>
      </c>
      <c r="E474" s="3" t="s">
        <v>6131</v>
      </c>
      <c r="F474" s="3"/>
      <c r="G474" s="3" t="s">
        <v>1249</v>
      </c>
      <c r="H474" s="3"/>
      <c r="I474" s="3"/>
      <c r="J474" s="3" t="s">
        <v>2133</v>
      </c>
      <c r="K474" s="3"/>
      <c r="L474" s="3" t="s">
        <v>2134</v>
      </c>
      <c r="M474" s="3" t="str">
        <f>HYPERLINK("https://ceds.ed.gov/cedselementdetails.aspx?termid=5341")</f>
        <v>https://ceds.ed.gov/cedselementdetails.aspx?termid=5341</v>
      </c>
      <c r="N474" s="3" t="str">
        <f>HYPERLINK("https://ceds.ed.gov/elementComment.aspx?elementName=Degree or Certificate Title or Subject &amp;elementID=5341", "Click here to submit comment")</f>
        <v>Click here to submit comment</v>
      </c>
    </row>
    <row r="475" spans="1:14" ht="405">
      <c r="A475" s="3" t="s">
        <v>2135</v>
      </c>
      <c r="B475" s="3" t="s">
        <v>2136</v>
      </c>
      <c r="C475" s="4" t="s">
        <v>6454</v>
      </c>
      <c r="D475" s="3" t="s">
        <v>6130</v>
      </c>
      <c r="E475" s="3" t="s">
        <v>6131</v>
      </c>
      <c r="F475" s="3"/>
      <c r="G475" s="3"/>
      <c r="H475" s="3"/>
      <c r="I475" s="3"/>
      <c r="J475" s="3" t="s">
        <v>2137</v>
      </c>
      <c r="K475" s="3"/>
      <c r="L475" s="3" t="s">
        <v>2138</v>
      </c>
      <c r="M475" s="3" t="str">
        <f>HYPERLINK("https://ceds.ed.gov/cedselementdetails.aspx?termid=5342")</f>
        <v>https://ceds.ed.gov/cedselementdetails.aspx?termid=5342</v>
      </c>
      <c r="N475" s="3" t="str">
        <f>HYPERLINK("https://ceds.ed.gov/elementComment.aspx?elementName=Degree or Certificate Type &amp;elementID=5342", "Click here to submit comment")</f>
        <v>Click here to submit comment</v>
      </c>
    </row>
    <row r="476" spans="1:14" ht="75">
      <c r="A476" s="3" t="s">
        <v>2139</v>
      </c>
      <c r="B476" s="3" t="s">
        <v>2140</v>
      </c>
      <c r="C476" s="3" t="s">
        <v>5963</v>
      </c>
      <c r="D476" s="3" t="s">
        <v>1675</v>
      </c>
      <c r="E476" s="3"/>
      <c r="F476" s="3"/>
      <c r="G476" s="3"/>
      <c r="H476" s="3"/>
      <c r="I476" s="3" t="s">
        <v>2141</v>
      </c>
      <c r="J476" s="3" t="s">
        <v>2142</v>
      </c>
      <c r="K476" s="3"/>
      <c r="L476" s="3" t="s">
        <v>2143</v>
      </c>
      <c r="M476" s="3" t="str">
        <f>HYPERLINK("https://ceds.ed.gov/cedselementdetails.aspx?termid=5974")</f>
        <v>https://ceds.ed.gov/cedselementdetails.aspx?termid=5974</v>
      </c>
      <c r="N476" s="3" t="str">
        <f>HYPERLINK("https://ceds.ed.gov/elementComment.aspx?elementName=Demographic Race Two or More Races &amp;elementID=5974", "Click here to submit comment")</f>
        <v>Click here to submit comment</v>
      </c>
    </row>
    <row r="477" spans="1:14" ht="210">
      <c r="A477" s="3" t="s">
        <v>2144</v>
      </c>
      <c r="B477" s="3" t="s">
        <v>2145</v>
      </c>
      <c r="C477" s="4" t="s">
        <v>6455</v>
      </c>
      <c r="D477" s="3" t="s">
        <v>2146</v>
      </c>
      <c r="E477" s="3" t="s">
        <v>2147</v>
      </c>
      <c r="F477" s="3" t="s">
        <v>66</v>
      </c>
      <c r="G477" s="3"/>
      <c r="H477" s="3" t="s">
        <v>2148</v>
      </c>
      <c r="I477" s="3"/>
      <c r="J477" s="3" t="s">
        <v>2149</v>
      </c>
      <c r="K477" s="3"/>
      <c r="L477" s="3" t="s">
        <v>2150</v>
      </c>
      <c r="M477" s="3" t="str">
        <f>HYPERLINK("https://ceds.ed.gov/cedselementdetails.aspx?termid=5335")</f>
        <v>https://ceds.ed.gov/cedselementdetails.aspx?termid=5335</v>
      </c>
      <c r="N477" s="3" t="str">
        <f>HYPERLINK("https://ceds.ed.gov/elementComment.aspx?elementName=Dental Insurance Coverage Type &amp;elementID=5335", "Click here to submit comment")</f>
        <v>Click here to submit comment</v>
      </c>
    </row>
    <row r="478" spans="1:14" ht="30">
      <c r="A478" s="3" t="s">
        <v>2151</v>
      </c>
      <c r="B478" s="3" t="s">
        <v>2152</v>
      </c>
      <c r="C478" s="3" t="s">
        <v>13</v>
      </c>
      <c r="D478" s="3" t="s">
        <v>2153</v>
      </c>
      <c r="E478" s="3"/>
      <c r="F478" s="3"/>
      <c r="G478" s="3" t="s">
        <v>73</v>
      </c>
      <c r="H478" s="3"/>
      <c r="I478" s="3"/>
      <c r="J478" s="3" t="s">
        <v>2154</v>
      </c>
      <c r="K478" s="3"/>
      <c r="L478" s="3" t="s">
        <v>2155</v>
      </c>
      <c r="M478" s="3" t="str">
        <f>HYPERLINK("https://ceds.ed.gov/cedselementdetails.aspx?termid=5682")</f>
        <v>https://ceds.ed.gov/cedselementdetails.aspx?termid=5682</v>
      </c>
      <c r="N478" s="3" t="str">
        <f>HYPERLINK("https://ceds.ed.gov/elementComment.aspx?elementName=Dental Screening Date &amp;elementID=5682", "Click here to submit comment")</f>
        <v>Click here to submit comment</v>
      </c>
    </row>
    <row r="479" spans="1:14" ht="135">
      <c r="A479" s="3" t="s">
        <v>2156</v>
      </c>
      <c r="B479" s="3" t="s">
        <v>2157</v>
      </c>
      <c r="C479" s="4" t="s">
        <v>6456</v>
      </c>
      <c r="D479" s="3" t="s">
        <v>2153</v>
      </c>
      <c r="E479" s="3" t="s">
        <v>2158</v>
      </c>
      <c r="F479" s="3"/>
      <c r="G479" s="3"/>
      <c r="H479" s="3"/>
      <c r="I479" s="3"/>
      <c r="J479" s="3" t="s">
        <v>2159</v>
      </c>
      <c r="K479" s="3"/>
      <c r="L479" s="3" t="s">
        <v>2160</v>
      </c>
      <c r="M479" s="3" t="str">
        <f>HYPERLINK("https://ceds.ed.gov/cedselementdetails.aspx?termid=5310")</f>
        <v>https://ceds.ed.gov/cedselementdetails.aspx?termid=5310</v>
      </c>
      <c r="N479" s="3" t="str">
        <f>HYPERLINK("https://ceds.ed.gov/elementComment.aspx?elementName=Dental Screening Status &amp;elementID=5310", "Click here to submit comment")</f>
        <v>Click here to submit comment</v>
      </c>
    </row>
    <row r="480" spans="1:14" ht="60">
      <c r="A480" s="3" t="s">
        <v>2161</v>
      </c>
      <c r="B480" s="3" t="s">
        <v>2162</v>
      </c>
      <c r="C480" s="3" t="s">
        <v>6132</v>
      </c>
      <c r="D480" s="3" t="s">
        <v>1536</v>
      </c>
      <c r="E480" s="3" t="s">
        <v>6133</v>
      </c>
      <c r="F480" s="3"/>
      <c r="G480" s="3"/>
      <c r="H480" s="3"/>
      <c r="I480" s="3"/>
      <c r="J480" s="3" t="s">
        <v>2163</v>
      </c>
      <c r="K480" s="3"/>
      <c r="L480" s="3" t="s">
        <v>2164</v>
      </c>
      <c r="M480" s="3" t="str">
        <f>HYPERLINK("https://ceds.ed.gov/cedselementdetails.aspx?termid=5079")</f>
        <v>https://ceds.ed.gov/cedselementdetails.aspx?termid=5079</v>
      </c>
      <c r="N480" s="3" t="str">
        <f>HYPERLINK("https://ceds.ed.gov/elementComment.aspx?elementName=Dependency Status &amp;elementID=5079", "Click here to submit comment")</f>
        <v>Click here to submit comment</v>
      </c>
    </row>
    <row r="481" spans="1:14" ht="75">
      <c r="A481" s="3" t="s">
        <v>2165</v>
      </c>
      <c r="B481" s="3" t="s">
        <v>2166</v>
      </c>
      <c r="C481" s="3" t="s">
        <v>5963</v>
      </c>
      <c r="D481" s="3" t="s">
        <v>1471</v>
      </c>
      <c r="E481" s="3" t="s">
        <v>2</v>
      </c>
      <c r="F481" s="3"/>
      <c r="G481" s="3"/>
      <c r="H481" s="3"/>
      <c r="I481" s="3"/>
      <c r="J481" s="3" t="s">
        <v>2167</v>
      </c>
      <c r="K481" s="3"/>
      <c r="L481" s="3" t="s">
        <v>2168</v>
      </c>
      <c r="M481" s="3" t="str">
        <f>HYPERLINK("https://ceds.ed.gov/cedselementdetails.aspx?termid=5080")</f>
        <v>https://ceds.ed.gov/cedselementdetails.aspx?termid=5080</v>
      </c>
      <c r="N481" s="3" t="str">
        <f>HYPERLINK("https://ceds.ed.gov/elementComment.aspx?elementName=Desegregation Order or Plan &amp;elementID=5080", "Click here to submit comment")</f>
        <v>Click here to submit comment</v>
      </c>
    </row>
    <row r="482" spans="1:14" ht="60">
      <c r="A482" s="3" t="s">
        <v>2169</v>
      </c>
      <c r="B482" s="3" t="s">
        <v>2170</v>
      </c>
      <c r="C482" s="3" t="s">
        <v>13</v>
      </c>
      <c r="D482" s="3" t="s">
        <v>1479</v>
      </c>
      <c r="E482" s="3" t="s">
        <v>1480</v>
      </c>
      <c r="F482" s="3"/>
      <c r="G482" s="3" t="s">
        <v>2171</v>
      </c>
      <c r="H482" s="3"/>
      <c r="I482" s="3"/>
      <c r="J482" s="3" t="s">
        <v>2172</v>
      </c>
      <c r="K482" s="3"/>
      <c r="L482" s="3" t="s">
        <v>2173</v>
      </c>
      <c r="M482" s="3" t="str">
        <f>HYPERLINK("https://ceds.ed.gov/cedselementdetails.aspx?termid=5426")</f>
        <v>https://ceds.ed.gov/cedselementdetails.aspx?termid=5426</v>
      </c>
      <c r="N482" s="3" t="str">
        <f>HYPERLINK("https://ceds.ed.gov/elementComment.aspx?elementName=Designated Graduation School Identifier &amp;elementID=5426", "Click here to submit comment")</f>
        <v>Click here to submit comment</v>
      </c>
    </row>
    <row r="483" spans="1:14" ht="255">
      <c r="A483" s="3" t="s">
        <v>2174</v>
      </c>
      <c r="B483" s="3" t="s">
        <v>2175</v>
      </c>
      <c r="C483" s="4" t="s">
        <v>6457</v>
      </c>
      <c r="D483" s="3" t="s">
        <v>2176</v>
      </c>
      <c r="E483" s="3" t="s">
        <v>2158</v>
      </c>
      <c r="F483" s="3" t="s">
        <v>66</v>
      </c>
      <c r="G483" s="3"/>
      <c r="H483" s="3" t="s">
        <v>2177</v>
      </c>
      <c r="I483" s="3"/>
      <c r="J483" s="3" t="s">
        <v>2178</v>
      </c>
      <c r="K483" s="3"/>
      <c r="L483" s="3" t="s">
        <v>2179</v>
      </c>
      <c r="M483" s="3" t="str">
        <f>HYPERLINK("https://ceds.ed.gov/cedselementdetails.aspx?termid=5315")</f>
        <v>https://ceds.ed.gov/cedselementdetails.aspx?termid=5315</v>
      </c>
      <c r="N483" s="3" t="str">
        <f>HYPERLINK("https://ceds.ed.gov/elementComment.aspx?elementName=Developmental Evaluation Finding &amp;elementID=5315", "Click here to submit comment")</f>
        <v>Click here to submit comment</v>
      </c>
    </row>
    <row r="484" spans="1:14" ht="75">
      <c r="A484" s="3" t="s">
        <v>2180</v>
      </c>
      <c r="B484" s="3" t="s">
        <v>2181</v>
      </c>
      <c r="C484" s="3" t="s">
        <v>13</v>
      </c>
      <c r="D484" s="3" t="s">
        <v>6067</v>
      </c>
      <c r="E484" s="3"/>
      <c r="F484" s="3"/>
      <c r="G484" s="3" t="s">
        <v>93</v>
      </c>
      <c r="H484" s="3"/>
      <c r="I484" s="3"/>
      <c r="J484" s="3" t="s">
        <v>2182</v>
      </c>
      <c r="K484" s="3"/>
      <c r="L484" s="3" t="s">
        <v>2183</v>
      </c>
      <c r="M484" s="3" t="str">
        <f>HYPERLINK("https://ceds.ed.gov/cedselementdetails.aspx?termid=6011")</f>
        <v>https://ceds.ed.gov/cedselementdetails.aspx?termid=6011</v>
      </c>
      <c r="N484" s="3" t="str">
        <f>HYPERLINK("https://ceds.ed.gov/elementComment.aspx?elementName=Diagnostic Statement Source &amp;elementID=6011", "Click here to submit comment")</f>
        <v>Click here to submit comment</v>
      </c>
    </row>
    <row r="485" spans="1:14" ht="60">
      <c r="A485" s="3" t="s">
        <v>2184</v>
      </c>
      <c r="B485" s="3" t="s">
        <v>2185</v>
      </c>
      <c r="C485" s="4" t="s">
        <v>6371</v>
      </c>
      <c r="D485" s="3" t="s">
        <v>2186</v>
      </c>
      <c r="E485" s="3" t="s">
        <v>202</v>
      </c>
      <c r="F485" s="3"/>
      <c r="G485" s="3"/>
      <c r="H485" s="3"/>
      <c r="I485" s="3"/>
      <c r="J485" s="3" t="s">
        <v>2187</v>
      </c>
      <c r="K485" s="3"/>
      <c r="L485" s="3" t="s">
        <v>2188</v>
      </c>
      <c r="M485" s="3" t="str">
        <f>HYPERLINK("https://ceds.ed.gov/cedselementdetails.aspx?termid=5868")</f>
        <v>https://ceds.ed.gov/cedselementdetails.aspx?termid=5868</v>
      </c>
      <c r="N485" s="3" t="str">
        <f>HYPERLINK("https://ceds.ed.gov/elementComment.aspx?elementName=Differential Shift Pay Indicator &amp;elementID=5868", "Click here to submit comment")</f>
        <v>Click here to submit comment</v>
      </c>
    </row>
    <row r="486" spans="1:14" ht="180">
      <c r="A486" s="3" t="s">
        <v>2189</v>
      </c>
      <c r="B486" s="3" t="s">
        <v>2190</v>
      </c>
      <c r="C486" s="3" t="s">
        <v>13</v>
      </c>
      <c r="D486" s="3" t="s">
        <v>6134</v>
      </c>
      <c r="E486" s="3" t="s">
        <v>6135</v>
      </c>
      <c r="F486" s="3"/>
      <c r="G486" s="3" t="s">
        <v>2191</v>
      </c>
      <c r="H486" s="3"/>
      <c r="I486" s="3"/>
      <c r="J486" s="3" t="s">
        <v>2192</v>
      </c>
      <c r="K486" s="3"/>
      <c r="L486" s="3" t="s">
        <v>2193</v>
      </c>
      <c r="M486" s="3" t="str">
        <f>HYPERLINK("https://ceds.ed.gov/cedselementdetails.aspx?termid=5081")</f>
        <v>https://ceds.ed.gov/cedselementdetails.aspx?termid=5081</v>
      </c>
      <c r="N486" s="3" t="str">
        <f>HYPERLINK("https://ceds.ed.gov/elementComment.aspx?elementName=Diploma or Credential Award Date &amp;elementID=5081", "Click here to submit comment")</f>
        <v>Click here to submit comment</v>
      </c>
    </row>
    <row r="487" spans="1:14" ht="75">
      <c r="A487" s="3" t="s">
        <v>2194</v>
      </c>
      <c r="B487" s="3" t="s">
        <v>2195</v>
      </c>
      <c r="C487" s="4" t="s">
        <v>6458</v>
      </c>
      <c r="D487" s="3" t="s">
        <v>53</v>
      </c>
      <c r="E487" s="3"/>
      <c r="F487" s="3" t="s">
        <v>54</v>
      </c>
      <c r="G487" s="3"/>
      <c r="H487" s="3"/>
      <c r="I487" s="3"/>
      <c r="J487" s="3" t="s">
        <v>2196</v>
      </c>
      <c r="K487" s="3" t="s">
        <v>2197</v>
      </c>
      <c r="L487" s="3" t="s">
        <v>2198</v>
      </c>
      <c r="M487" s="3" t="str">
        <f>HYPERLINK("https://ceds.ed.gov/cedselementdetails.aspx?termid=6285")</f>
        <v>https://ceds.ed.gov/cedselementdetails.aspx?termid=6285</v>
      </c>
      <c r="N487" s="3" t="str">
        <f>HYPERLINK("https://ceds.ed.gov/elementComment.aspx?elementName=Disability Condition Status Type &amp;elementID=6285", "Click here to submit comment")</f>
        <v>Click here to submit comment</v>
      </c>
    </row>
    <row r="488" spans="1:14" ht="255">
      <c r="A488" s="3" t="s">
        <v>2199</v>
      </c>
      <c r="B488" s="3" t="s">
        <v>2200</v>
      </c>
      <c r="C488" s="4" t="s">
        <v>6459</v>
      </c>
      <c r="D488" s="3" t="s">
        <v>6136</v>
      </c>
      <c r="E488" s="3"/>
      <c r="F488" s="3" t="s">
        <v>54</v>
      </c>
      <c r="G488" s="3"/>
      <c r="H488" s="3"/>
      <c r="I488" s="3" t="s">
        <v>2201</v>
      </c>
      <c r="J488" s="3" t="s">
        <v>2202</v>
      </c>
      <c r="K488" s="3"/>
      <c r="L488" s="3" t="s">
        <v>2203</v>
      </c>
      <c r="M488" s="3" t="str">
        <f>HYPERLINK("https://ceds.ed.gov/cedselementdetails.aspx?termid=6286")</f>
        <v>https://ceds.ed.gov/cedselementdetails.aspx?termid=6286</v>
      </c>
      <c r="N488" s="3" t="str">
        <f>HYPERLINK("https://ceds.ed.gov/elementComment.aspx?elementName=Disability Condition Type &amp;elementID=6286", "Click here to submit comment")</f>
        <v>Click here to submit comment</v>
      </c>
    </row>
    <row r="489" spans="1:14" ht="180">
      <c r="A489" s="3" t="s">
        <v>2204</v>
      </c>
      <c r="B489" s="3" t="s">
        <v>2205</v>
      </c>
      <c r="C489" s="4" t="s">
        <v>6460</v>
      </c>
      <c r="D489" s="3" t="s">
        <v>6136</v>
      </c>
      <c r="E489" s="3"/>
      <c r="F489" s="3" t="s">
        <v>54</v>
      </c>
      <c r="G489" s="3"/>
      <c r="H489" s="3"/>
      <c r="I489" s="3" t="s">
        <v>2201</v>
      </c>
      <c r="J489" s="3" t="s">
        <v>2206</v>
      </c>
      <c r="K489" s="3"/>
      <c r="L489" s="3" t="s">
        <v>2207</v>
      </c>
      <c r="M489" s="3" t="str">
        <f>HYPERLINK("https://ceds.ed.gov/cedselementdetails.aspx?termid=6287")</f>
        <v>https://ceds.ed.gov/cedselementdetails.aspx?termid=6287</v>
      </c>
      <c r="N489" s="3" t="str">
        <f>HYPERLINK("https://ceds.ed.gov/elementComment.aspx?elementName=Disability Determination Source Type &amp;elementID=6287", "Click here to submit comment")</f>
        <v>Click here to submit comment</v>
      </c>
    </row>
    <row r="490" spans="1:14" ht="75">
      <c r="A490" s="3" t="s">
        <v>2208</v>
      </c>
      <c r="B490" s="3" t="s">
        <v>2209</v>
      </c>
      <c r="C490" s="3" t="s">
        <v>5963</v>
      </c>
      <c r="D490" s="3" t="s">
        <v>6137</v>
      </c>
      <c r="E490" s="3" t="s">
        <v>218</v>
      </c>
      <c r="F490" s="3" t="s">
        <v>3</v>
      </c>
      <c r="G490" s="3"/>
      <c r="H490" s="3"/>
      <c r="I490" s="3"/>
      <c r="J490" s="3" t="s">
        <v>2210</v>
      </c>
      <c r="K490" s="3"/>
      <c r="L490" s="3" t="s">
        <v>2211</v>
      </c>
      <c r="M490" s="3" t="str">
        <f>HYPERLINK("https://ceds.ed.gov/cedselementdetails.aspx?termid=5569")</f>
        <v>https://ceds.ed.gov/cedselementdetails.aspx?termid=5569</v>
      </c>
      <c r="N490" s="3" t="str">
        <f>HYPERLINK("https://ceds.ed.gov/elementComment.aspx?elementName=Disability Status &amp;elementID=5569", "Click here to submit comment")</f>
        <v>Click here to submit comment</v>
      </c>
    </row>
    <row r="491" spans="1:14" ht="45">
      <c r="A491" s="3" t="s">
        <v>2212</v>
      </c>
      <c r="B491" s="3" t="s">
        <v>2213</v>
      </c>
      <c r="C491" s="3" t="s">
        <v>13</v>
      </c>
      <c r="D491" s="3" t="s">
        <v>6138</v>
      </c>
      <c r="E491" s="3" t="s">
        <v>2</v>
      </c>
      <c r="F491" s="3"/>
      <c r="G491" s="3" t="s">
        <v>73</v>
      </c>
      <c r="H491" s="3"/>
      <c r="I491" s="3"/>
      <c r="J491" s="3" t="s">
        <v>2214</v>
      </c>
      <c r="K491" s="3"/>
      <c r="L491" s="3" t="s">
        <v>2215</v>
      </c>
      <c r="M491" s="3" t="str">
        <f>HYPERLINK("https://ceds.ed.gov/cedselementdetails.aspx?termid=5082")</f>
        <v>https://ceds.ed.gov/cedselementdetails.aspx?termid=5082</v>
      </c>
      <c r="N491" s="3" t="str">
        <f>HYPERLINK("https://ceds.ed.gov/elementComment.aspx?elementName=Disciplinary Action End Date &amp;elementID=5082", "Click here to submit comment")</f>
        <v>Click here to submit comment</v>
      </c>
    </row>
    <row r="492" spans="1:14" ht="75">
      <c r="A492" s="3" t="s">
        <v>2216</v>
      </c>
      <c r="B492" s="3" t="s">
        <v>2217</v>
      </c>
      <c r="C492" s="3" t="s">
        <v>5963</v>
      </c>
      <c r="D492" s="3" t="s">
        <v>2218</v>
      </c>
      <c r="E492" s="3"/>
      <c r="F492" s="3" t="s">
        <v>54</v>
      </c>
      <c r="G492" s="3"/>
      <c r="H492" s="3"/>
      <c r="I492" s="3"/>
      <c r="J492" s="3" t="s">
        <v>2219</v>
      </c>
      <c r="K492" s="3"/>
      <c r="L492" s="3" t="s">
        <v>2220</v>
      </c>
      <c r="M492" s="3" t="str">
        <f>HYPERLINK("https://ceds.ed.gov/cedselementdetails.aspx?termid=6288")</f>
        <v>https://ceds.ed.gov/cedselementdetails.aspx?termid=6288</v>
      </c>
      <c r="N492" s="3" t="str">
        <f>HYPERLINK("https://ceds.ed.gov/elementComment.aspx?elementName=Disciplinary Action IEP Placement Meeting Indicator &amp;elementID=6288", "Click here to submit comment")</f>
        <v>Click here to submit comment</v>
      </c>
    </row>
    <row r="493" spans="1:14" ht="45">
      <c r="A493" s="3" t="s">
        <v>2221</v>
      </c>
      <c r="B493" s="3" t="s">
        <v>2222</v>
      </c>
      <c r="C493" s="3" t="s">
        <v>13</v>
      </c>
      <c r="D493" s="3" t="s">
        <v>6138</v>
      </c>
      <c r="E493" s="3" t="s">
        <v>2</v>
      </c>
      <c r="F493" s="3"/>
      <c r="G493" s="3" t="s">
        <v>73</v>
      </c>
      <c r="H493" s="3"/>
      <c r="I493" s="3"/>
      <c r="J493" s="3" t="s">
        <v>2223</v>
      </c>
      <c r="K493" s="3"/>
      <c r="L493" s="3" t="s">
        <v>2224</v>
      </c>
      <c r="M493" s="3" t="str">
        <f>HYPERLINK("https://ceds.ed.gov/cedselementdetails.aspx?termid=5083")</f>
        <v>https://ceds.ed.gov/cedselementdetails.aspx?termid=5083</v>
      </c>
      <c r="N493" s="3" t="str">
        <f>HYPERLINK("https://ceds.ed.gov/elementComment.aspx?elementName=Disciplinary Action Start Date &amp;elementID=5083", "Click here to submit comment")</f>
        <v>Click here to submit comment</v>
      </c>
    </row>
    <row r="494" spans="1:14" ht="409.5">
      <c r="A494" s="3" t="s">
        <v>2225</v>
      </c>
      <c r="B494" s="3" t="s">
        <v>2226</v>
      </c>
      <c r="C494" s="4" t="s">
        <v>6461</v>
      </c>
      <c r="D494" s="3" t="s">
        <v>6138</v>
      </c>
      <c r="E494" s="3" t="s">
        <v>2</v>
      </c>
      <c r="F494" s="3"/>
      <c r="G494" s="3"/>
      <c r="H494" s="3"/>
      <c r="I494" s="3"/>
      <c r="J494" s="3" t="s">
        <v>2227</v>
      </c>
      <c r="K494" s="3"/>
      <c r="L494" s="3" t="s">
        <v>2228</v>
      </c>
      <c r="M494" s="3" t="str">
        <f>HYPERLINK("https://ceds.ed.gov/cedselementdetails.aspx?termid=5479")</f>
        <v>https://ceds.ed.gov/cedselementdetails.aspx?termid=5479</v>
      </c>
      <c r="N494" s="3" t="str">
        <f>HYPERLINK("https://ceds.ed.gov/elementComment.aspx?elementName=Disciplinary Action Taken &amp;elementID=5479", "Click here to submit comment")</f>
        <v>Click here to submit comment</v>
      </c>
    </row>
    <row r="495" spans="1:14" ht="300">
      <c r="A495" s="3" t="s">
        <v>2229</v>
      </c>
      <c r="B495" s="3" t="s">
        <v>2230</v>
      </c>
      <c r="C495" s="4" t="s">
        <v>6462</v>
      </c>
      <c r="D495" s="3" t="s">
        <v>6138</v>
      </c>
      <c r="E495" s="3"/>
      <c r="F495" s="3"/>
      <c r="G495" s="3"/>
      <c r="H495" s="3"/>
      <c r="I495" s="3"/>
      <c r="J495" s="3" t="s">
        <v>2231</v>
      </c>
      <c r="K495" s="3"/>
      <c r="L495" s="3" t="s">
        <v>2232</v>
      </c>
      <c r="M495" s="3" t="str">
        <f>HYPERLINK("https://ceds.ed.gov/cedselementdetails.aspx?termid=5602")</f>
        <v>https://ceds.ed.gov/cedselementdetails.aspx?termid=5602</v>
      </c>
      <c r="N495" s="3" t="str">
        <f>HYPERLINK("https://ceds.ed.gov/elementComment.aspx?elementName=Discipline Action Length Difference Reason &amp;elementID=5602", "Click here to submit comment")</f>
        <v>Click here to submit comment</v>
      </c>
    </row>
    <row r="496" spans="1:14" ht="255">
      <c r="A496" s="3" t="s">
        <v>2233</v>
      </c>
      <c r="B496" s="3" t="s">
        <v>2234</v>
      </c>
      <c r="C496" s="4" t="s">
        <v>6463</v>
      </c>
      <c r="D496" s="3" t="s">
        <v>2235</v>
      </c>
      <c r="E496" s="3" t="s">
        <v>218</v>
      </c>
      <c r="F496" s="3"/>
      <c r="G496" s="3"/>
      <c r="H496" s="3"/>
      <c r="I496" s="3"/>
      <c r="J496" s="3" t="s">
        <v>2236</v>
      </c>
      <c r="K496" s="3"/>
      <c r="L496" s="3" t="s">
        <v>2237</v>
      </c>
      <c r="M496" s="3" t="str">
        <f>HYPERLINK("https://ceds.ed.gov/cedselementdetails.aspx?termid=5546")</f>
        <v>https://ceds.ed.gov/cedselementdetails.aspx?termid=5546</v>
      </c>
      <c r="N496" s="3" t="str">
        <f>HYPERLINK("https://ceds.ed.gov/elementComment.aspx?elementName=Discipline Method for Firearms Incidents &amp;elementID=5546", "Click here to submit comment")</f>
        <v>Click here to submit comment</v>
      </c>
    </row>
    <row r="497" spans="1:14" ht="60">
      <c r="A497" s="3" t="s">
        <v>2238</v>
      </c>
      <c r="B497" s="3" t="s">
        <v>2239</v>
      </c>
      <c r="C497" s="4" t="s">
        <v>6464</v>
      </c>
      <c r="D497" s="3" t="s">
        <v>2235</v>
      </c>
      <c r="E497" s="3" t="s">
        <v>218</v>
      </c>
      <c r="F497" s="3"/>
      <c r="G497" s="3"/>
      <c r="H497" s="3"/>
      <c r="I497" s="3"/>
      <c r="J497" s="3" t="s">
        <v>2240</v>
      </c>
      <c r="K497" s="3"/>
      <c r="L497" s="3" t="s">
        <v>2241</v>
      </c>
      <c r="M497" s="3" t="str">
        <f>HYPERLINK("https://ceds.ed.gov/cedselementdetails.aspx?termid=5529")</f>
        <v>https://ceds.ed.gov/cedselementdetails.aspx?termid=5529</v>
      </c>
      <c r="N497" s="3" t="str">
        <f>HYPERLINK("https://ceds.ed.gov/elementComment.aspx?elementName=Discipline Method of Children with Disabilities &amp;elementID=5529", "Click here to submit comment")</f>
        <v>Click here to submit comment</v>
      </c>
    </row>
    <row r="498" spans="1:14" ht="180">
      <c r="A498" s="3" t="s">
        <v>2242</v>
      </c>
      <c r="B498" s="3" t="s">
        <v>2243</v>
      </c>
      <c r="C498" s="4" t="s">
        <v>6465</v>
      </c>
      <c r="D498" s="3" t="s">
        <v>6138</v>
      </c>
      <c r="E498" s="3" t="s">
        <v>218</v>
      </c>
      <c r="F498" s="3"/>
      <c r="G498" s="3"/>
      <c r="H498" s="3"/>
      <c r="I498" s="3"/>
      <c r="J498" s="3" t="s">
        <v>2244</v>
      </c>
      <c r="K498" s="3"/>
      <c r="L498" s="3" t="s">
        <v>2245</v>
      </c>
      <c r="M498" s="3" t="str">
        <f>HYPERLINK("https://ceds.ed.gov/cedselementdetails.aspx?termid=5536")</f>
        <v>https://ceds.ed.gov/cedselementdetails.aspx?termid=5536</v>
      </c>
      <c r="N498" s="3" t="str">
        <f>HYPERLINK("https://ceds.ed.gov/elementComment.aspx?elementName=Discipline Reason &amp;elementID=5536", "Click here to submit comment")</f>
        <v>Click here to submit comment</v>
      </c>
    </row>
    <row r="499" spans="1:14" ht="135">
      <c r="A499" s="3" t="s">
        <v>2246</v>
      </c>
      <c r="B499" s="3" t="s">
        <v>2247</v>
      </c>
      <c r="C499" s="3" t="s">
        <v>5963</v>
      </c>
      <c r="D499" s="3" t="s">
        <v>2248</v>
      </c>
      <c r="E499" s="3"/>
      <c r="F499" s="3"/>
      <c r="G499" s="3"/>
      <c r="H499" s="3"/>
      <c r="I499" s="3"/>
      <c r="J499" s="3" t="s">
        <v>2249</v>
      </c>
      <c r="K499" s="3"/>
      <c r="L499" s="3" t="s">
        <v>2250</v>
      </c>
      <c r="M499" s="3" t="str">
        <f>HYPERLINK("https://ceds.ed.gov/cedselementdetails.aspx?termid=5759")</f>
        <v>https://ceds.ed.gov/cedselementdetails.aspx?termid=5759</v>
      </c>
      <c r="N499" s="3" t="str">
        <f>HYPERLINK("https://ceds.ed.gov/elementComment.aspx?elementName=Dislocated Worker Status &amp;elementID=5759", "Click here to submit comment")</f>
        <v>Click here to submit comment</v>
      </c>
    </row>
    <row r="500" spans="1:14" ht="45">
      <c r="A500" s="3" t="s">
        <v>2251</v>
      </c>
      <c r="B500" s="3" t="s">
        <v>2252</v>
      </c>
      <c r="C500" s="3" t="s">
        <v>5963</v>
      </c>
      <c r="D500" s="3" t="s">
        <v>154</v>
      </c>
      <c r="E500" s="3"/>
      <c r="F500" s="3"/>
      <c r="G500" s="3"/>
      <c r="H500" s="3"/>
      <c r="I500" s="3"/>
      <c r="J500" s="3" t="s">
        <v>2253</v>
      </c>
      <c r="K500" s="3"/>
      <c r="L500" s="3" t="s">
        <v>2254</v>
      </c>
      <c r="M500" s="3" t="str">
        <f>HYPERLINK("https://ceds.ed.gov/cedselementdetails.aspx?termid=5603")</f>
        <v>https://ceds.ed.gov/cedselementdetails.aspx?termid=5603</v>
      </c>
      <c r="N500" s="3" t="str">
        <f>HYPERLINK("https://ceds.ed.gov/elementComment.aspx?elementName=Displaced Student Status &amp;elementID=5603", "Click here to submit comment")</f>
        <v>Click here to submit comment</v>
      </c>
    </row>
    <row r="501" spans="1:14" ht="345">
      <c r="A501" s="3" t="s">
        <v>2255</v>
      </c>
      <c r="B501" s="3" t="s">
        <v>2256</v>
      </c>
      <c r="C501" s="4" t="s">
        <v>6466</v>
      </c>
      <c r="D501" s="3" t="s">
        <v>1708</v>
      </c>
      <c r="E501" s="3" t="s">
        <v>2257</v>
      </c>
      <c r="F501" s="3"/>
      <c r="G501" s="3"/>
      <c r="H501" s="3"/>
      <c r="I501" s="3" t="s">
        <v>2258</v>
      </c>
      <c r="J501" s="3" t="s">
        <v>2259</v>
      </c>
      <c r="K501" s="3"/>
      <c r="L501" s="3" t="s">
        <v>2260</v>
      </c>
      <c r="M501" s="3" t="str">
        <f>HYPERLINK("https://ceds.ed.gov/cedselementdetails.aspx?termid=5704")</f>
        <v>https://ceds.ed.gov/cedselementdetails.aspx?termid=5704</v>
      </c>
      <c r="N501" s="3" t="str">
        <f>HYPERLINK("https://ceds.ed.gov/elementComment.aspx?elementName=Distance Education Course Enrollment &amp;elementID=5704", "Click here to submit comment")</f>
        <v>Click here to submit comment</v>
      </c>
    </row>
    <row r="502" spans="1:14" ht="180">
      <c r="A502" s="3" t="s">
        <v>2261</v>
      </c>
      <c r="B502" s="3" t="s">
        <v>2262</v>
      </c>
      <c r="C502" s="3" t="s">
        <v>5963</v>
      </c>
      <c r="D502" s="3" t="s">
        <v>1708</v>
      </c>
      <c r="E502" s="3"/>
      <c r="F502" s="3" t="s">
        <v>54</v>
      </c>
      <c r="G502" s="3"/>
      <c r="H502" s="3"/>
      <c r="I502" s="3" t="s">
        <v>2258</v>
      </c>
      <c r="J502" s="3" t="s">
        <v>2263</v>
      </c>
      <c r="K502" s="3"/>
      <c r="L502" s="3" t="s">
        <v>2264</v>
      </c>
      <c r="M502" s="3" t="str">
        <f>HYPERLINK("https://ceds.ed.gov/cedselementdetails.aspx?termid=6289")</f>
        <v>https://ceds.ed.gov/cedselementdetails.aspx?termid=6289</v>
      </c>
      <c r="N502" s="3" t="str">
        <f>HYPERLINK("https://ceds.ed.gov/elementComment.aspx?elementName=Distance Education Program Enrollment Indicator &amp;elementID=6289", "Click here to submit comment")</f>
        <v>Click here to submit comment</v>
      </c>
    </row>
    <row r="503" spans="1:14" ht="75">
      <c r="A503" s="3" t="s">
        <v>2265</v>
      </c>
      <c r="B503" s="3" t="s">
        <v>2266</v>
      </c>
      <c r="C503" s="4" t="s">
        <v>6467</v>
      </c>
      <c r="D503" s="3" t="s">
        <v>2267</v>
      </c>
      <c r="E503" s="3"/>
      <c r="F503" s="3" t="s">
        <v>54</v>
      </c>
      <c r="G503" s="3"/>
      <c r="H503" s="3"/>
      <c r="I503" s="3"/>
      <c r="J503" s="3" t="s">
        <v>2268</v>
      </c>
      <c r="K503" s="3"/>
      <c r="L503" s="3" t="s">
        <v>2269</v>
      </c>
      <c r="M503" s="3" t="str">
        <f>HYPERLINK("https://ceds.ed.gov/cedselementdetails.aspx?termid=6290")</f>
        <v>https://ceds.ed.gov/cedselementdetails.aspx?termid=6290</v>
      </c>
      <c r="N503" s="3" t="str">
        <f>HYPERLINK("https://ceds.ed.gov/elementComment.aspx?elementName=Doctoral Candidacy Admit Indicator &amp;elementID=6290", "Click here to submit comment")</f>
        <v>Click here to submit comment</v>
      </c>
    </row>
    <row r="504" spans="1:14" ht="30">
      <c r="A504" s="3" t="s">
        <v>2270</v>
      </c>
      <c r="B504" s="3" t="s">
        <v>2271</v>
      </c>
      <c r="C504" s="3" t="s">
        <v>13</v>
      </c>
      <c r="D504" s="3" t="s">
        <v>2267</v>
      </c>
      <c r="E504" s="3"/>
      <c r="F504" s="3" t="s">
        <v>54</v>
      </c>
      <c r="G504" s="3" t="s">
        <v>73</v>
      </c>
      <c r="H504" s="3"/>
      <c r="I504" s="3"/>
      <c r="J504" s="3" t="s">
        <v>2272</v>
      </c>
      <c r="K504" s="3"/>
      <c r="L504" s="3" t="s">
        <v>2273</v>
      </c>
      <c r="M504" s="3" t="str">
        <f>HYPERLINK("https://ceds.ed.gov/cedselementdetails.aspx?termid=6291")</f>
        <v>https://ceds.ed.gov/cedselementdetails.aspx?termid=6291</v>
      </c>
      <c r="N504" s="3" t="str">
        <f>HYPERLINK("https://ceds.ed.gov/elementComment.aspx?elementName=Doctoral Candidacy Date &amp;elementID=6291", "Click here to submit comment")</f>
        <v>Click here to submit comment</v>
      </c>
    </row>
    <row r="505" spans="1:14" ht="60">
      <c r="A505" s="3" t="s">
        <v>2274</v>
      </c>
      <c r="B505" s="3" t="s">
        <v>2275</v>
      </c>
      <c r="C505" s="3" t="s">
        <v>13</v>
      </c>
      <c r="D505" s="3" t="s">
        <v>2267</v>
      </c>
      <c r="E505" s="3"/>
      <c r="F505" s="3" t="s">
        <v>54</v>
      </c>
      <c r="G505" s="3" t="s">
        <v>73</v>
      </c>
      <c r="H505" s="3"/>
      <c r="I505" s="3"/>
      <c r="J505" s="3" t="s">
        <v>2276</v>
      </c>
      <c r="K505" s="3"/>
      <c r="L505" s="3" t="s">
        <v>2277</v>
      </c>
      <c r="M505" s="3" t="str">
        <f>HYPERLINK("https://ceds.ed.gov/cedselementdetails.aspx?termid=6292")</f>
        <v>https://ceds.ed.gov/cedselementdetails.aspx?termid=6292</v>
      </c>
      <c r="N505" s="3" t="str">
        <f>HYPERLINK("https://ceds.ed.gov/elementComment.aspx?elementName=Doctoral Exam Taken Date &amp;elementID=6292", "Click here to submit comment")</f>
        <v>Click here to submit comment</v>
      </c>
    </row>
    <row r="506" spans="1:14" ht="135">
      <c r="A506" s="3" t="s">
        <v>2278</v>
      </c>
      <c r="B506" s="3" t="s">
        <v>2279</v>
      </c>
      <c r="C506" s="4" t="s">
        <v>6468</v>
      </c>
      <c r="D506" s="3" t="s">
        <v>2267</v>
      </c>
      <c r="E506" s="3"/>
      <c r="F506" s="3" t="s">
        <v>54</v>
      </c>
      <c r="G506" s="3"/>
      <c r="H506" s="3"/>
      <c r="I506" s="3"/>
      <c r="J506" s="3" t="s">
        <v>2280</v>
      </c>
      <c r="K506" s="3"/>
      <c r="L506" s="3" t="s">
        <v>2281</v>
      </c>
      <c r="M506" s="3" t="str">
        <f>HYPERLINK("https://ceds.ed.gov/cedselementdetails.aspx?termid=6293")</f>
        <v>https://ceds.ed.gov/cedselementdetails.aspx?termid=6293</v>
      </c>
      <c r="N506" s="3" t="str">
        <f>HYPERLINK("https://ceds.ed.gov/elementComment.aspx?elementName=Doctoral Exams Required Type &amp;elementID=6293", "Click here to submit comment")</f>
        <v>Click here to submit comment</v>
      </c>
    </row>
    <row r="507" spans="1:14" ht="75">
      <c r="A507" s="3" t="s">
        <v>2282</v>
      </c>
      <c r="B507" s="3" t="s">
        <v>2283</v>
      </c>
      <c r="C507" s="3" t="s">
        <v>13</v>
      </c>
      <c r="D507" s="3" t="s">
        <v>14</v>
      </c>
      <c r="E507" s="3" t="s">
        <v>24</v>
      </c>
      <c r="F507" s="3"/>
      <c r="G507" s="3" t="s">
        <v>1461</v>
      </c>
      <c r="H507" s="3"/>
      <c r="I507" s="3"/>
      <c r="J507" s="3" t="s">
        <v>2284</v>
      </c>
      <c r="K507" s="3"/>
      <c r="L507" s="3" t="s">
        <v>2285</v>
      </c>
      <c r="M507" s="3" t="str">
        <f>HYPERLINK("https://ceds.ed.gov/cedselementdetails.aspx?termid=5085")</f>
        <v>https://ceds.ed.gov/cedselementdetails.aspx?termid=5085</v>
      </c>
      <c r="N507" s="3" t="str">
        <f>HYPERLINK("https://ceds.ed.gov/elementComment.aspx?elementName=Dual Credit Dual Enrollment Credits Awarded &amp;elementID=5085", "Click here to submit comment")</f>
        <v>Click here to submit comment</v>
      </c>
    </row>
    <row r="508" spans="1:14" ht="45">
      <c r="A508" s="3" t="s">
        <v>2286</v>
      </c>
      <c r="B508" s="3" t="s">
        <v>2287</v>
      </c>
      <c r="C508" s="3" t="s">
        <v>13</v>
      </c>
      <c r="D508" s="3" t="s">
        <v>6138</v>
      </c>
      <c r="E508" s="3"/>
      <c r="F508" s="3"/>
      <c r="G508" s="3" t="s">
        <v>1461</v>
      </c>
      <c r="H508" s="3"/>
      <c r="I508" s="3"/>
      <c r="J508" s="3" t="s">
        <v>2288</v>
      </c>
      <c r="K508" s="3"/>
      <c r="L508" s="3" t="s">
        <v>2289</v>
      </c>
      <c r="M508" s="3" t="str">
        <f>HYPERLINK("https://ceds.ed.gov/cedselementdetails.aspx?termid=5502")</f>
        <v>https://ceds.ed.gov/cedselementdetails.aspx?termid=5502</v>
      </c>
      <c r="N508" s="3" t="str">
        <f>HYPERLINK("https://ceds.ed.gov/elementComment.aspx?elementName=Duration of Disciplinary Action &amp;elementID=5502", "Click here to submit comment")</f>
        <v>Click here to submit comment</v>
      </c>
    </row>
    <row r="509" spans="1:14" ht="180">
      <c r="A509" s="3" t="s">
        <v>2290</v>
      </c>
      <c r="B509" s="3" t="s">
        <v>2291</v>
      </c>
      <c r="C509" s="4" t="s">
        <v>6469</v>
      </c>
      <c r="D509" s="3" t="s">
        <v>1629</v>
      </c>
      <c r="E509" s="3" t="s">
        <v>6131</v>
      </c>
      <c r="F509" s="3"/>
      <c r="G509" s="3"/>
      <c r="H509" s="3"/>
      <c r="I509" s="3"/>
      <c r="J509" s="3" t="s">
        <v>2292</v>
      </c>
      <c r="K509" s="3"/>
      <c r="L509" s="3" t="s">
        <v>2293</v>
      </c>
      <c r="M509" s="3" t="str">
        <f>HYPERLINK("https://ceds.ed.gov/cedselementdetails.aspx?termid=5344")</f>
        <v>https://ceds.ed.gov/cedselementdetails.aspx?termid=5344</v>
      </c>
      <c r="N509" s="3" t="str">
        <f>HYPERLINK("https://ceds.ed.gov/elementComment.aspx?elementName=Early Childhood Credential &amp;elementID=5344", "Click here to submit comment")</f>
        <v>Click here to submit comment</v>
      </c>
    </row>
    <row r="510" spans="1:14" ht="45">
      <c r="A510" s="3" t="s">
        <v>2294</v>
      </c>
      <c r="B510" s="3" t="s">
        <v>2295</v>
      </c>
      <c r="C510" s="3" t="s">
        <v>5963</v>
      </c>
      <c r="D510" s="3" t="s">
        <v>388</v>
      </c>
      <c r="E510" s="3" t="s">
        <v>202</v>
      </c>
      <c r="F510" s="3"/>
      <c r="G510" s="3"/>
      <c r="H510" s="3"/>
      <c r="I510" s="3"/>
      <c r="J510" s="3" t="s">
        <v>2296</v>
      </c>
      <c r="K510" s="3"/>
      <c r="L510" s="3" t="s">
        <v>2297</v>
      </c>
      <c r="M510" s="3" t="str">
        <f>HYPERLINK("https://ceds.ed.gov/cedselementdetails.aspx?termid=5786")</f>
        <v>https://ceds.ed.gov/cedselementdetails.aspx?termid=5786</v>
      </c>
      <c r="N510" s="3" t="str">
        <f>HYPERLINK("https://ceds.ed.gov/elementComment.aspx?elementName=Early Childhood Degree or Certificate Holder &amp;elementID=5786", "Click here to submit comment")</f>
        <v>Click here to submit comment</v>
      </c>
    </row>
    <row r="511" spans="1:14" ht="180">
      <c r="A511" s="3" t="s">
        <v>2298</v>
      </c>
      <c r="B511" s="3" t="s">
        <v>2299</v>
      </c>
      <c r="C511" s="4" t="s">
        <v>6470</v>
      </c>
      <c r="D511" s="3" t="s">
        <v>6139</v>
      </c>
      <c r="E511" s="3" t="s">
        <v>6140</v>
      </c>
      <c r="F511" s="3"/>
      <c r="G511" s="3"/>
      <c r="H511" s="3"/>
      <c r="I511" s="3"/>
      <c r="J511" s="3" t="s">
        <v>2300</v>
      </c>
      <c r="K511" s="3"/>
      <c r="L511" s="3" t="s">
        <v>2301</v>
      </c>
      <c r="M511" s="3" t="str">
        <f>HYPERLINK("https://ceds.ed.gov/cedselementdetails.aspx?termid=5318")</f>
        <v>https://ceds.ed.gov/cedselementdetails.aspx?termid=5318</v>
      </c>
      <c r="N511" s="3" t="str">
        <f>HYPERLINK("https://ceds.ed.gov/elementComment.aspx?elementName=Early Childhood Enrollment Service Type &amp;elementID=5318", "Click here to submit comment")</f>
        <v>Click here to submit comment</v>
      </c>
    </row>
    <row r="512" spans="1:14" ht="180">
      <c r="A512" s="3" t="s">
        <v>2302</v>
      </c>
      <c r="B512" s="3" t="s">
        <v>2303</v>
      </c>
      <c r="C512" s="4" t="s">
        <v>6471</v>
      </c>
      <c r="D512" s="3" t="s">
        <v>2186</v>
      </c>
      <c r="E512" s="3" t="s">
        <v>65</v>
      </c>
      <c r="F512" s="3" t="s">
        <v>66</v>
      </c>
      <c r="G512" s="3"/>
      <c r="H512" s="3" t="s">
        <v>2304</v>
      </c>
      <c r="I512" s="3"/>
      <c r="J512" s="3" t="s">
        <v>2305</v>
      </c>
      <c r="K512" s="3"/>
      <c r="L512" s="3" t="s">
        <v>2306</v>
      </c>
      <c r="M512" s="3" t="str">
        <f>HYPERLINK("https://ceds.ed.gov/cedselementdetails.aspx?termid=5829")</f>
        <v>https://ceds.ed.gov/cedselementdetails.aspx?termid=5829</v>
      </c>
      <c r="N512" s="3" t="str">
        <f>HYPERLINK("https://ceds.ed.gov/elementComment.aspx?elementName=Early Childhood Program Type &amp;elementID=5829", "Click here to submit comment")</f>
        <v>Click here to submit comment</v>
      </c>
    </row>
    <row r="513" spans="1:14" ht="165">
      <c r="A513" s="3" t="s">
        <v>2307</v>
      </c>
      <c r="B513" s="3" t="s">
        <v>2308</v>
      </c>
      <c r="C513" s="4" t="s">
        <v>6472</v>
      </c>
      <c r="D513" s="3" t="s">
        <v>6128</v>
      </c>
      <c r="E513" s="3" t="s">
        <v>6129</v>
      </c>
      <c r="F513" s="3" t="s">
        <v>66</v>
      </c>
      <c r="G513" s="3"/>
      <c r="H513" s="3" t="s">
        <v>2309</v>
      </c>
      <c r="I513" s="3"/>
      <c r="J513" s="3" t="s">
        <v>2310</v>
      </c>
      <c r="K513" s="3"/>
      <c r="L513" s="3" t="s">
        <v>2311</v>
      </c>
      <c r="M513" s="3" t="str">
        <f>HYPERLINK("https://ceds.ed.gov/cedselementdetails.aspx?termid=5355")</f>
        <v>https://ceds.ed.gov/cedselementdetails.aspx?termid=5355</v>
      </c>
      <c r="N513" s="3" t="str">
        <f>HYPERLINK("https://ceds.ed.gov/elementComment.aspx?elementName=Early Childhood Setting &amp;elementID=5355", "Click here to submit comment")</f>
        <v>Click here to submit comment</v>
      </c>
    </row>
    <row r="514" spans="1:14" ht="300">
      <c r="A514" s="3" t="s">
        <v>2312</v>
      </c>
      <c r="B514" s="3" t="s">
        <v>2313</v>
      </c>
      <c r="C514" s="4" t="s">
        <v>6473</v>
      </c>
      <c r="D514" s="3" t="s">
        <v>2314</v>
      </c>
      <c r="E514" s="3" t="s">
        <v>2158</v>
      </c>
      <c r="F514" s="3" t="s">
        <v>66</v>
      </c>
      <c r="G514" s="3"/>
      <c r="H514" s="3" t="s">
        <v>2315</v>
      </c>
      <c r="I514" s="3"/>
      <c r="J514" s="3" t="s">
        <v>2316</v>
      </c>
      <c r="K514" s="3"/>
      <c r="L514" s="3" t="s">
        <v>2317</v>
      </c>
      <c r="M514" s="3" t="str">
        <f>HYPERLINK("https://ceds.ed.gov/cedselementdetails.aspx?termid=5321")</f>
        <v>https://ceds.ed.gov/cedselementdetails.aspx?termid=5321</v>
      </c>
      <c r="N514" s="3" t="str">
        <f>HYPERLINK("https://ceds.ed.gov/elementComment.aspx?elementName=Early Intervention or Special Education Services Received &amp;elementID=5321", "Click here to submit comment")</f>
        <v>Click here to submit comment</v>
      </c>
    </row>
    <row r="515" spans="1:14" ht="210">
      <c r="A515" s="3" t="s">
        <v>2318</v>
      </c>
      <c r="B515" s="3" t="s">
        <v>2319</v>
      </c>
      <c r="C515" s="4" t="s">
        <v>6474</v>
      </c>
      <c r="D515" s="3" t="s">
        <v>2314</v>
      </c>
      <c r="E515" s="3" t="s">
        <v>6141</v>
      </c>
      <c r="F515" s="3"/>
      <c r="G515" s="3"/>
      <c r="H515" s="3"/>
      <c r="I515" s="3"/>
      <c r="J515" s="3" t="s">
        <v>2320</v>
      </c>
      <c r="K515" s="3"/>
      <c r="L515" s="3" t="s">
        <v>2321</v>
      </c>
      <c r="M515" s="3" t="str">
        <f>HYPERLINK("https://ceds.ed.gov/cedselementdetails.aspx?termid=5322")</f>
        <v>https://ceds.ed.gov/cedselementdetails.aspx?termid=5322</v>
      </c>
      <c r="N515" s="3" t="str">
        <f>HYPERLINK("https://ceds.ed.gov/elementComment.aspx?elementName=Early Intervention or Special Education Services Setting &amp;elementID=5322", "Click here to submit comment")</f>
        <v>Click here to submit comment</v>
      </c>
    </row>
    <row r="516" spans="1:14" ht="105">
      <c r="A516" s="3" t="s">
        <v>2322</v>
      </c>
      <c r="B516" s="3" t="s">
        <v>2323</v>
      </c>
      <c r="C516" s="4" t="s">
        <v>6475</v>
      </c>
      <c r="D516" s="3" t="s">
        <v>2176</v>
      </c>
      <c r="E516" s="3" t="s">
        <v>2158</v>
      </c>
      <c r="F516" s="3" t="s">
        <v>66</v>
      </c>
      <c r="G516" s="3"/>
      <c r="H516" s="3" t="s">
        <v>2177</v>
      </c>
      <c r="I516" s="3"/>
      <c r="J516" s="3" t="s">
        <v>2324</v>
      </c>
      <c r="K516" s="3"/>
      <c r="L516" s="3" t="s">
        <v>2325</v>
      </c>
      <c r="M516" s="3" t="str">
        <f>HYPERLINK("https://ceds.ed.gov/cedselementdetails.aspx?termid=5314")</f>
        <v>https://ceds.ed.gov/cedselementdetails.aspx?termid=5314</v>
      </c>
      <c r="N516" s="3" t="str">
        <f>HYPERLINK("https://ceds.ed.gov/elementComment.aspx?elementName=Early Learning Child Developmental Screening Status &amp;elementID=5314", "Click here to submit comment")</f>
        <v>Click here to submit comment</v>
      </c>
    </row>
    <row r="517" spans="1:14" ht="180">
      <c r="A517" s="3" t="s">
        <v>2326</v>
      </c>
      <c r="B517" s="3" t="s">
        <v>2327</v>
      </c>
      <c r="C517" s="4" t="s">
        <v>6476</v>
      </c>
      <c r="D517" s="3" t="s">
        <v>2328</v>
      </c>
      <c r="E517" s="3" t="s">
        <v>65</v>
      </c>
      <c r="F517" s="3"/>
      <c r="G517" s="3"/>
      <c r="H517" s="3"/>
      <c r="I517" s="3"/>
      <c r="J517" s="3" t="s">
        <v>2329</v>
      </c>
      <c r="K517" s="3"/>
      <c r="L517" s="3" t="s">
        <v>2330</v>
      </c>
      <c r="M517" s="3" t="str">
        <f>HYPERLINK("https://ceds.ed.gov/cedselementdetails.aspx?termid=5822")</f>
        <v>https://ceds.ed.gov/cedselementdetails.aspx?termid=5822</v>
      </c>
      <c r="N517" s="3" t="str">
        <f>HYPERLINK("https://ceds.ed.gov/elementComment.aspx?elementName=Early Learning Class Group Curriculum Type &amp;elementID=5822", "Click here to submit comment")</f>
        <v>Click here to submit comment</v>
      </c>
    </row>
    <row r="518" spans="1:14" ht="75">
      <c r="A518" s="3" t="s">
        <v>2331</v>
      </c>
      <c r="B518" s="3" t="s">
        <v>2332</v>
      </c>
      <c r="C518" s="3" t="s">
        <v>13</v>
      </c>
      <c r="D518" s="3" t="s">
        <v>2333</v>
      </c>
      <c r="E518" s="3" t="s">
        <v>6095</v>
      </c>
      <c r="F518" s="3"/>
      <c r="G518" s="3" t="s">
        <v>100</v>
      </c>
      <c r="H518" s="3"/>
      <c r="I518" s="3"/>
      <c r="J518" s="3" t="s">
        <v>2334</v>
      </c>
      <c r="K518" s="3"/>
      <c r="L518" s="3" t="s">
        <v>2335</v>
      </c>
      <c r="M518" s="3" t="str">
        <f>HYPERLINK("https://ceds.ed.gov/cedselementdetails.aspx?termid=5819")</f>
        <v>https://ceds.ed.gov/cedselementdetails.aspx?termid=5819</v>
      </c>
      <c r="N518" s="3" t="str">
        <f>HYPERLINK("https://ceds.ed.gov/elementComment.aspx?elementName=Early Learning Class Group Identifier &amp;elementID=5819", "Click here to submit comment")</f>
        <v>Click here to submit comment</v>
      </c>
    </row>
    <row r="519" spans="1:14" ht="60">
      <c r="A519" s="3" t="s">
        <v>2336</v>
      </c>
      <c r="B519" s="3" t="s">
        <v>2337</v>
      </c>
      <c r="C519" s="3" t="s">
        <v>13</v>
      </c>
      <c r="D519" s="3" t="s">
        <v>2333</v>
      </c>
      <c r="E519" s="3" t="s">
        <v>6095</v>
      </c>
      <c r="F519" s="3"/>
      <c r="G519" s="3" t="s">
        <v>106</v>
      </c>
      <c r="H519" s="3"/>
      <c r="I519" s="3"/>
      <c r="J519" s="3" t="s">
        <v>2338</v>
      </c>
      <c r="K519" s="3"/>
      <c r="L519" s="3" t="s">
        <v>2339</v>
      </c>
      <c r="M519" s="3" t="str">
        <f>HYPERLINK("https://ceds.ed.gov/cedselementdetails.aspx?termid=5820")</f>
        <v>https://ceds.ed.gov/cedselementdetails.aspx?termid=5820</v>
      </c>
      <c r="N519" s="3" t="str">
        <f>HYPERLINK("https://ceds.ed.gov/elementComment.aspx?elementName=Early Learning Class Group Name &amp;elementID=5820", "Click here to submit comment")</f>
        <v>Click here to submit comment</v>
      </c>
    </row>
    <row r="520" spans="1:14" ht="165">
      <c r="A520" s="3" t="s">
        <v>2340</v>
      </c>
      <c r="B520" s="3" t="s">
        <v>2341</v>
      </c>
      <c r="C520" s="4" t="s">
        <v>6477</v>
      </c>
      <c r="D520" s="3" t="s">
        <v>1542</v>
      </c>
      <c r="E520" s="3" t="s">
        <v>202</v>
      </c>
      <c r="F520" s="3"/>
      <c r="G520" s="3"/>
      <c r="H520" s="3"/>
      <c r="I520" s="3"/>
      <c r="J520" s="3" t="s">
        <v>2342</v>
      </c>
      <c r="K520" s="3"/>
      <c r="L520" s="3" t="s">
        <v>2343</v>
      </c>
      <c r="M520" s="3" t="str">
        <f>HYPERLINK("https://ceds.ed.gov/cedselementdetails.aspx?termid=5812")</f>
        <v>https://ceds.ed.gov/cedselementdetails.aspx?termid=5812</v>
      </c>
      <c r="N520" s="3" t="str">
        <f>HYPERLINK("https://ceds.ed.gov/elementComment.aspx?elementName=Early Learning Core Knowledge Area &amp;elementID=5812", "Click here to submit comment")</f>
        <v>Click here to submit comment</v>
      </c>
    </row>
    <row r="521" spans="1:14" ht="165">
      <c r="A521" s="3" t="s">
        <v>2344</v>
      </c>
      <c r="B521" s="3" t="s">
        <v>2345</v>
      </c>
      <c r="C521" s="4" t="s">
        <v>6478</v>
      </c>
      <c r="D521" s="3" t="s">
        <v>2346</v>
      </c>
      <c r="E521" s="3"/>
      <c r="F521" s="3" t="s">
        <v>54</v>
      </c>
      <c r="G521" s="3"/>
      <c r="H521" s="3"/>
      <c r="I521" s="3"/>
      <c r="J521" s="3" t="s">
        <v>2347</v>
      </c>
      <c r="K521" s="3"/>
      <c r="L521" s="3" t="s">
        <v>2348</v>
      </c>
      <c r="M521" s="3" t="str">
        <f>HYPERLINK("https://ceds.ed.gov/cedselementdetails.aspx?termid=6294")</f>
        <v>https://ceds.ed.gov/cedselementdetails.aspx?termid=6294</v>
      </c>
      <c r="N521" s="3" t="str">
        <f>HYPERLINK("https://ceds.ed.gov/elementComment.aspx?elementName=Early Learning Federal Funding Type &amp;elementID=6294", "Click here to submit comment")</f>
        <v>Click here to submit comment</v>
      </c>
    </row>
    <row r="522" spans="1:14" ht="30">
      <c r="A522" s="3" t="s">
        <v>2349</v>
      </c>
      <c r="B522" s="3" t="s">
        <v>2350</v>
      </c>
      <c r="C522" s="3" t="s">
        <v>13</v>
      </c>
      <c r="D522" s="3" t="s">
        <v>2351</v>
      </c>
      <c r="E522" s="3"/>
      <c r="F522" s="3" t="s">
        <v>54</v>
      </c>
      <c r="G522" s="3" t="s">
        <v>575</v>
      </c>
      <c r="H522" s="3"/>
      <c r="I522" s="3"/>
      <c r="J522" s="3" t="s">
        <v>2352</v>
      </c>
      <c r="K522" s="3"/>
      <c r="L522" s="3" t="s">
        <v>2353</v>
      </c>
      <c r="M522" s="3" t="str">
        <f>HYPERLINK("https://ceds.ed.gov/cedselementdetails.aspx?termid=6295")</f>
        <v>https://ceds.ed.gov/cedselementdetails.aspx?termid=6295</v>
      </c>
      <c r="N522" s="3" t="str">
        <f>HYPERLINK("https://ceds.ed.gov/elementComment.aspx?elementName=Early Learning Group Size &amp;elementID=6295", "Click here to submit comment")</f>
        <v>Click here to submit comment</v>
      </c>
    </row>
    <row r="523" spans="1:14" ht="135">
      <c r="A523" s="3" t="s">
        <v>2354</v>
      </c>
      <c r="B523" s="3" t="s">
        <v>2355</v>
      </c>
      <c r="C523" s="4" t="s">
        <v>6479</v>
      </c>
      <c r="D523" s="3" t="s">
        <v>2356</v>
      </c>
      <c r="E523" s="3" t="s">
        <v>65</v>
      </c>
      <c r="F523" s="3"/>
      <c r="G523" s="3"/>
      <c r="H523" s="3"/>
      <c r="I523" s="3"/>
      <c r="J523" s="3" t="s">
        <v>2357</v>
      </c>
      <c r="K523" s="3"/>
      <c r="L523" s="3" t="s">
        <v>2358</v>
      </c>
      <c r="M523" s="3" t="str">
        <f>HYPERLINK("https://ceds.ed.gov/cedselementdetails.aspx?termid=5823")</f>
        <v>https://ceds.ed.gov/cedselementdetails.aspx?termid=5823</v>
      </c>
      <c r="N523" s="3" t="str">
        <f>HYPERLINK("https://ceds.ed.gov/elementComment.aspx?elementName=Early Learning Group Size Standards Met &amp;elementID=5823", "Click here to submit comment")</f>
        <v>Click here to submit comment</v>
      </c>
    </row>
    <row r="524" spans="1:14" ht="75">
      <c r="A524" s="3" t="s">
        <v>2359</v>
      </c>
      <c r="B524" s="3" t="s">
        <v>2360</v>
      </c>
      <c r="C524" s="3" t="s">
        <v>13</v>
      </c>
      <c r="D524" s="3" t="s">
        <v>6142</v>
      </c>
      <c r="E524" s="3" t="s">
        <v>6143</v>
      </c>
      <c r="F524" s="3"/>
      <c r="G524" s="3" t="s">
        <v>575</v>
      </c>
      <c r="H524" s="3"/>
      <c r="I524" s="3"/>
      <c r="J524" s="3" t="s">
        <v>2361</v>
      </c>
      <c r="K524" s="3"/>
      <c r="L524" s="3" t="s">
        <v>2362</v>
      </c>
      <c r="M524" s="3" t="str">
        <f>HYPERLINK("https://ceds.ed.gov/cedselementdetails.aspx?termid=6189")</f>
        <v>https://ceds.ed.gov/cedselementdetails.aspx?termid=6189</v>
      </c>
      <c r="N524" s="3" t="str">
        <f>HYPERLINK("https://ceds.ed.gov/elementComment.aspx?elementName=Early Learning Oldest Age Authorized to Serve &amp;elementID=6189", "Click here to submit comment")</f>
        <v>Click here to submit comment</v>
      </c>
    </row>
    <row r="525" spans="1:14" ht="120">
      <c r="A525" s="3" t="s">
        <v>2363</v>
      </c>
      <c r="B525" s="3" t="s">
        <v>2364</v>
      </c>
      <c r="C525" s="4" t="s">
        <v>6480</v>
      </c>
      <c r="D525" s="3" t="s">
        <v>2346</v>
      </c>
      <c r="E525" s="3"/>
      <c r="F525" s="3" t="s">
        <v>54</v>
      </c>
      <c r="G525" s="3"/>
      <c r="H525" s="3"/>
      <c r="I525" s="3"/>
      <c r="J525" s="3" t="s">
        <v>2365</v>
      </c>
      <c r="K525" s="3"/>
      <c r="L525" s="3" t="s">
        <v>2366</v>
      </c>
      <c r="M525" s="3" t="str">
        <f>HYPERLINK("https://ceds.ed.gov/cedselementdetails.aspx?termid=6302")</f>
        <v>https://ceds.ed.gov/cedselementdetails.aspx?termid=6302</v>
      </c>
      <c r="N525" s="3" t="str">
        <f>HYPERLINK("https://ceds.ed.gov/elementComment.aspx?elementName=Early Learning Other Federal Funding Sources &amp;elementID=6302", "Click here to submit comment")</f>
        <v>Click here to submit comment</v>
      </c>
    </row>
    <row r="526" spans="1:14" ht="75">
      <c r="A526" s="3" t="s">
        <v>2367</v>
      </c>
      <c r="B526" s="3" t="s">
        <v>2368</v>
      </c>
      <c r="C526" s="4" t="s">
        <v>6481</v>
      </c>
      <c r="D526" s="3" t="s">
        <v>2369</v>
      </c>
      <c r="E526" s="3"/>
      <c r="F526" s="3" t="s">
        <v>54</v>
      </c>
      <c r="G526" s="3"/>
      <c r="H526" s="3"/>
      <c r="I526" s="3"/>
      <c r="J526" s="3" t="s">
        <v>2370</v>
      </c>
      <c r="K526" s="3"/>
      <c r="L526" s="3" t="s">
        <v>2371</v>
      </c>
      <c r="M526" s="3" t="str">
        <f>HYPERLINK("https://ceds.ed.gov/cedselementdetails.aspx?termid=6303")</f>
        <v>https://ceds.ed.gov/cedselementdetails.aspx?termid=6303</v>
      </c>
      <c r="N526" s="3" t="str">
        <f>HYPERLINK("https://ceds.ed.gov/elementComment.aspx?elementName=Early Learning Outcome Measurement Level &amp;elementID=6303", "Click here to submit comment")</f>
        <v>Click here to submit comment</v>
      </c>
    </row>
    <row r="527" spans="1:14" ht="75">
      <c r="A527" s="3" t="s">
        <v>2372</v>
      </c>
      <c r="B527" s="3" t="s">
        <v>2373</v>
      </c>
      <c r="C527" s="4" t="s">
        <v>6482</v>
      </c>
      <c r="D527" s="3" t="s">
        <v>2369</v>
      </c>
      <c r="E527" s="3"/>
      <c r="F527" s="3" t="s">
        <v>54</v>
      </c>
      <c r="G527" s="3"/>
      <c r="H527" s="3"/>
      <c r="I527" s="3"/>
      <c r="J527" s="3" t="s">
        <v>2374</v>
      </c>
      <c r="K527" s="3"/>
      <c r="L527" s="3" t="s">
        <v>2375</v>
      </c>
      <c r="M527" s="3" t="str">
        <f>HYPERLINK("https://ceds.ed.gov/cedselementdetails.aspx?termid=6475")</f>
        <v>https://ceds.ed.gov/cedselementdetails.aspx?termid=6475</v>
      </c>
      <c r="N527" s="3" t="str">
        <f>HYPERLINK("https://ceds.ed.gov/elementComment.aspx?elementName=Early Learning Outcome Time Point &amp;elementID=6475", "Click here to submit comment")</f>
        <v>Click here to submit comment</v>
      </c>
    </row>
    <row r="528" spans="1:14" ht="165">
      <c r="A528" s="3" t="s">
        <v>2376</v>
      </c>
      <c r="B528" s="3" t="s">
        <v>2377</v>
      </c>
      <c r="C528" s="4" t="s">
        <v>6483</v>
      </c>
      <c r="D528" s="3" t="s">
        <v>1542</v>
      </c>
      <c r="E528" s="3"/>
      <c r="F528" s="3" t="s">
        <v>54</v>
      </c>
      <c r="G528" s="3"/>
      <c r="H528" s="3"/>
      <c r="I528" s="3"/>
      <c r="J528" s="3" t="s">
        <v>2378</v>
      </c>
      <c r="K528" s="3"/>
      <c r="L528" s="3" t="s">
        <v>2379</v>
      </c>
      <c r="M528" s="3" t="str">
        <f>HYPERLINK("https://ceds.ed.gov/cedselementdetails.aspx?termid=6304")</f>
        <v>https://ceds.ed.gov/cedselementdetails.aspx?termid=6304</v>
      </c>
      <c r="N528" s="3" t="str">
        <f>HYPERLINK("https://ceds.ed.gov/elementComment.aspx?elementName=Early Learning Professional Development Topic Area &amp;elementID=6304", "Click here to submit comment")</f>
        <v>Click here to submit comment</v>
      </c>
    </row>
    <row r="529" spans="1:14" ht="75">
      <c r="A529" s="3" t="s">
        <v>2380</v>
      </c>
      <c r="B529" s="3" t="s">
        <v>2381</v>
      </c>
      <c r="C529" s="3" t="s">
        <v>13</v>
      </c>
      <c r="D529" s="3" t="s">
        <v>6144</v>
      </c>
      <c r="E529" s="3" t="s">
        <v>6097</v>
      </c>
      <c r="F529" s="3"/>
      <c r="G529" s="3" t="s">
        <v>2382</v>
      </c>
      <c r="H529" s="3"/>
      <c r="I529" s="3"/>
      <c r="J529" s="3" t="s">
        <v>2383</v>
      </c>
      <c r="K529" s="3"/>
      <c r="L529" s="3" t="s">
        <v>2384</v>
      </c>
      <c r="M529" s="3" t="str">
        <f>HYPERLINK("https://ceds.ed.gov/cedselementdetails.aspx?termid=5824")</f>
        <v>https://ceds.ed.gov/cedselementdetails.aspx?termid=5824</v>
      </c>
      <c r="N529" s="3" t="str">
        <f>HYPERLINK("https://ceds.ed.gov/elementComment.aspx?elementName=Early Learning Program Annual Operating Weeks &amp;elementID=5824", "Click here to submit comment")</f>
        <v>Click here to submit comment</v>
      </c>
    </row>
    <row r="530" spans="1:14" ht="60">
      <c r="A530" s="3" t="s">
        <v>2385</v>
      </c>
      <c r="B530" s="3" t="s">
        <v>2386</v>
      </c>
      <c r="C530" s="3" t="s">
        <v>5963</v>
      </c>
      <c r="D530" s="3" t="s">
        <v>2387</v>
      </c>
      <c r="E530" s="3" t="s">
        <v>65</v>
      </c>
      <c r="F530" s="3"/>
      <c r="G530" s="3"/>
      <c r="H530" s="3"/>
      <c r="I530" s="3"/>
      <c r="J530" s="3" t="s">
        <v>2388</v>
      </c>
      <c r="K530" s="3"/>
      <c r="L530" s="3" t="s">
        <v>2389</v>
      </c>
      <c r="M530" s="3" t="str">
        <f>HYPERLINK("https://ceds.ed.gov/cedselementdetails.aspx?termid=5848")</f>
        <v>https://ceds.ed.gov/cedselementdetails.aspx?termid=5848</v>
      </c>
      <c r="N530" s="3" t="str">
        <f>HYPERLINK("https://ceds.ed.gov/elementComment.aspx?elementName=Early Learning Program Developmental Screening Status &amp;elementID=5848", "Click here to submit comment")</f>
        <v>Click here to submit comment</v>
      </c>
    </row>
    <row r="531" spans="1:14" ht="300">
      <c r="A531" s="3" t="s">
        <v>2390</v>
      </c>
      <c r="B531" s="3" t="s">
        <v>2391</v>
      </c>
      <c r="C531" s="4" t="s">
        <v>6484</v>
      </c>
      <c r="D531" s="3" t="s">
        <v>2392</v>
      </c>
      <c r="E531" s="3" t="s">
        <v>2147</v>
      </c>
      <c r="F531" s="3" t="s">
        <v>3</v>
      </c>
      <c r="G531" s="3"/>
      <c r="H531" s="3"/>
      <c r="I531" s="3"/>
      <c r="J531" s="3" t="s">
        <v>2393</v>
      </c>
      <c r="K531" s="3"/>
      <c r="L531" s="3" t="s">
        <v>2394</v>
      </c>
      <c r="M531" s="3" t="str">
        <f>HYPERLINK("https://ceds.ed.gov/cedselementdetails.aspx?termid=5304")</f>
        <v>https://ceds.ed.gov/cedselementdetails.aspx?termid=5304</v>
      </c>
      <c r="N531" s="3" t="str">
        <f>HYPERLINK("https://ceds.ed.gov/elementComment.aspx?elementName=Early Learning Program Eligibility Category &amp;elementID=5304", "Click here to submit comment")</f>
        <v>Click here to submit comment</v>
      </c>
    </row>
    <row r="532" spans="1:14" ht="45">
      <c r="A532" s="3" t="s">
        <v>2395</v>
      </c>
      <c r="B532" s="3" t="s">
        <v>2396</v>
      </c>
      <c r="C532" s="3" t="s">
        <v>13</v>
      </c>
      <c r="D532" s="3" t="s">
        <v>2397</v>
      </c>
      <c r="E532" s="3"/>
      <c r="F532" s="3" t="s">
        <v>54</v>
      </c>
      <c r="G532" s="3" t="s">
        <v>73</v>
      </c>
      <c r="H532" s="3"/>
      <c r="I532" s="3"/>
      <c r="J532" s="3" t="s">
        <v>2398</v>
      </c>
      <c r="K532" s="3"/>
      <c r="L532" s="3" t="s">
        <v>2399</v>
      </c>
      <c r="M532" s="3" t="str">
        <f>HYPERLINK("https://ceds.ed.gov/cedselementdetails.aspx?termid=6305")</f>
        <v>https://ceds.ed.gov/cedselementdetails.aspx?termid=6305</v>
      </c>
      <c r="N532" s="3" t="str">
        <f>HYPERLINK("https://ceds.ed.gov/elementComment.aspx?elementName=Early Learning Program Eligibility Expiration Date &amp;elementID=6305", "Click here to submit comment")</f>
        <v>Click here to submit comment</v>
      </c>
    </row>
    <row r="533" spans="1:14" ht="75">
      <c r="A533" s="3" t="s">
        <v>2400</v>
      </c>
      <c r="B533" s="3" t="s">
        <v>2401</v>
      </c>
      <c r="C533" s="4" t="s">
        <v>6485</v>
      </c>
      <c r="D533" s="3" t="s">
        <v>2397</v>
      </c>
      <c r="E533" s="3"/>
      <c r="F533" s="3" t="s">
        <v>54</v>
      </c>
      <c r="G533" s="3"/>
      <c r="H533" s="3"/>
      <c r="I533" s="3"/>
      <c r="J533" s="3" t="s">
        <v>2402</v>
      </c>
      <c r="K533" s="3"/>
      <c r="L533" s="3" t="s">
        <v>2403</v>
      </c>
      <c r="M533" s="3" t="str">
        <f>HYPERLINK("https://ceds.ed.gov/cedselementdetails.aspx?termid=6306")</f>
        <v>https://ceds.ed.gov/cedselementdetails.aspx?termid=6306</v>
      </c>
      <c r="N533" s="3" t="str">
        <f>HYPERLINK("https://ceds.ed.gov/elementComment.aspx?elementName=Early Learning Program Eligibility Status &amp;elementID=6306", "Click here to submit comment")</f>
        <v>Click here to submit comment</v>
      </c>
    </row>
    <row r="534" spans="1:14" ht="30">
      <c r="A534" s="3" t="s">
        <v>2404</v>
      </c>
      <c r="B534" s="3" t="s">
        <v>2405</v>
      </c>
      <c r="C534" s="3" t="s">
        <v>13</v>
      </c>
      <c r="D534" s="3" t="s">
        <v>2397</v>
      </c>
      <c r="E534" s="3"/>
      <c r="F534" s="3" t="s">
        <v>54</v>
      </c>
      <c r="G534" s="3" t="s">
        <v>73</v>
      </c>
      <c r="H534" s="3"/>
      <c r="I534" s="3"/>
      <c r="J534" s="3" t="s">
        <v>2406</v>
      </c>
      <c r="K534" s="3"/>
      <c r="L534" s="3" t="s">
        <v>2407</v>
      </c>
      <c r="M534" s="3" t="str">
        <f>HYPERLINK("https://ceds.ed.gov/cedselementdetails.aspx?termid=6307")</f>
        <v>https://ceds.ed.gov/cedselementdetails.aspx?termid=6307</v>
      </c>
      <c r="N534" s="3" t="str">
        <f>HYPERLINK("https://ceds.ed.gov/elementComment.aspx?elementName=Early Learning Program Eligibility Status Date &amp;elementID=6307", "Click here to submit comment")</f>
        <v>Click here to submit comment</v>
      </c>
    </row>
    <row r="535" spans="1:14" ht="45">
      <c r="A535" s="3" t="s">
        <v>2408</v>
      </c>
      <c r="B535" s="3" t="s">
        <v>2409</v>
      </c>
      <c r="C535" s="3" t="s">
        <v>5963</v>
      </c>
      <c r="D535" s="3" t="s">
        <v>1774</v>
      </c>
      <c r="E535" s="3" t="s">
        <v>65</v>
      </c>
      <c r="F535" s="3"/>
      <c r="G535" s="3"/>
      <c r="H535" s="3"/>
      <c r="I535" s="3"/>
      <c r="J535" s="3" t="s">
        <v>2410</v>
      </c>
      <c r="K535" s="3"/>
      <c r="L535" s="3" t="s">
        <v>2411</v>
      </c>
      <c r="M535" s="3" t="str">
        <f>HYPERLINK("https://ceds.ed.gov/cedselementdetails.aspx?termid=5838")</f>
        <v>https://ceds.ed.gov/cedselementdetails.aspx?termid=5838</v>
      </c>
      <c r="N535" s="3" t="str">
        <f>HYPERLINK("https://ceds.ed.gov/elementComment.aspx?elementName=Early Learning Program License Revocation Status &amp;elementID=5838", "Click here to submit comment")</f>
        <v>Click here to submit comment</v>
      </c>
    </row>
    <row r="536" spans="1:14" ht="45">
      <c r="A536" s="3" t="s">
        <v>2412</v>
      </c>
      <c r="B536" s="3" t="s">
        <v>2413</v>
      </c>
      <c r="C536" s="3" t="s">
        <v>5963</v>
      </c>
      <c r="D536" s="3" t="s">
        <v>1774</v>
      </c>
      <c r="E536" s="3" t="s">
        <v>65</v>
      </c>
      <c r="F536" s="3"/>
      <c r="G536" s="3"/>
      <c r="H536" s="3"/>
      <c r="I536" s="3"/>
      <c r="J536" s="3" t="s">
        <v>2414</v>
      </c>
      <c r="K536" s="3"/>
      <c r="L536" s="3" t="s">
        <v>2415</v>
      </c>
      <c r="M536" s="3" t="str">
        <f>HYPERLINK("https://ceds.ed.gov/cedselementdetails.aspx?termid=5837")</f>
        <v>https://ceds.ed.gov/cedselementdetails.aspx?termid=5837</v>
      </c>
      <c r="N536" s="3" t="str">
        <f>HYPERLINK("https://ceds.ed.gov/elementComment.aspx?elementName=Early Learning Program License Suspension Status &amp;elementID=5837", "Click here to submit comment")</f>
        <v>Click here to submit comment</v>
      </c>
    </row>
    <row r="537" spans="1:14" ht="90">
      <c r="A537" s="3" t="s">
        <v>2416</v>
      </c>
      <c r="B537" s="3" t="s">
        <v>2417</v>
      </c>
      <c r="C537" s="4" t="s">
        <v>6486</v>
      </c>
      <c r="D537" s="3" t="s">
        <v>1774</v>
      </c>
      <c r="E537" s="3" t="s">
        <v>65</v>
      </c>
      <c r="F537" s="3"/>
      <c r="G537" s="3"/>
      <c r="H537" s="3"/>
      <c r="I537" s="3"/>
      <c r="J537" s="3" t="s">
        <v>2418</v>
      </c>
      <c r="K537" s="3"/>
      <c r="L537" s="3" t="s">
        <v>2419</v>
      </c>
      <c r="M537" s="3" t="str">
        <f>HYPERLINK("https://ceds.ed.gov/cedselementdetails.aspx?termid=5828")</f>
        <v>https://ceds.ed.gov/cedselementdetails.aspx?termid=5828</v>
      </c>
      <c r="N537" s="3" t="str">
        <f>HYPERLINK("https://ceds.ed.gov/elementComment.aspx?elementName=Early Learning Program Licensing Status &amp;elementID=5828", "Click here to submit comment")</f>
        <v>Click here to submit comment</v>
      </c>
    </row>
    <row r="538" spans="1:14" ht="30">
      <c r="A538" s="3" t="s">
        <v>2420</v>
      </c>
      <c r="B538" s="3" t="s">
        <v>2421</v>
      </c>
      <c r="C538" s="3" t="s">
        <v>13</v>
      </c>
      <c r="D538" s="3" t="s">
        <v>2186</v>
      </c>
      <c r="E538" s="3" t="s">
        <v>6097</v>
      </c>
      <c r="F538" s="3"/>
      <c r="G538" s="3" t="s">
        <v>1736</v>
      </c>
      <c r="H538" s="3"/>
      <c r="I538" s="3"/>
      <c r="J538" s="3" t="s">
        <v>2422</v>
      </c>
      <c r="K538" s="3"/>
      <c r="L538" s="3" t="s">
        <v>2423</v>
      </c>
      <c r="M538" s="3" t="str">
        <f>HYPERLINK("https://ceds.ed.gov/cedselementdetails.aspx?termid=5864")</f>
        <v>https://ceds.ed.gov/cedselementdetails.aspx?termid=5864</v>
      </c>
      <c r="N538" s="3" t="str">
        <f>HYPERLINK("https://ceds.ed.gov/elementComment.aspx?elementName=Early Learning Program Year &amp;elementID=5864", "Click here to submit comment")</f>
        <v>Click here to submit comment</v>
      </c>
    </row>
    <row r="539" spans="1:14" ht="75">
      <c r="A539" s="3" t="s">
        <v>2424</v>
      </c>
      <c r="B539" s="3" t="s">
        <v>2425</v>
      </c>
      <c r="C539" s="3" t="s">
        <v>13</v>
      </c>
      <c r="D539" s="3" t="s">
        <v>388</v>
      </c>
      <c r="E539" s="3" t="s">
        <v>202</v>
      </c>
      <c r="F539" s="3"/>
      <c r="G539" s="3" t="s">
        <v>389</v>
      </c>
      <c r="H539" s="3"/>
      <c r="I539" s="3"/>
      <c r="J539" s="3" t="s">
        <v>2426</v>
      </c>
      <c r="K539" s="3"/>
      <c r="L539" s="3" t="s">
        <v>2427</v>
      </c>
      <c r="M539" s="3" t="str">
        <f>HYPERLINK("https://ceds.ed.gov/cedselementdetails.aspx?termid=5791")</f>
        <v>https://ceds.ed.gov/cedselementdetails.aspx?termid=5791</v>
      </c>
      <c r="N539" s="3" t="str">
        <f>HYPERLINK("https://ceds.ed.gov/elementComment.aspx?elementName=Early Learning Staff Total College Credits Earned &amp;elementID=5791", "Click here to submit comment")</f>
        <v>Click here to submit comment</v>
      </c>
    </row>
    <row r="540" spans="1:14" ht="75">
      <c r="A540" s="3" t="s">
        <v>2428</v>
      </c>
      <c r="B540" s="3" t="s">
        <v>2429</v>
      </c>
      <c r="C540" s="3" t="s">
        <v>13</v>
      </c>
      <c r="D540" s="3" t="s">
        <v>6142</v>
      </c>
      <c r="E540" s="3" t="s">
        <v>6143</v>
      </c>
      <c r="F540" s="3"/>
      <c r="G540" s="3" t="s">
        <v>575</v>
      </c>
      <c r="H540" s="3"/>
      <c r="I540" s="3"/>
      <c r="J540" s="3" t="s">
        <v>2430</v>
      </c>
      <c r="K540" s="3"/>
      <c r="L540" s="3" t="s">
        <v>2431</v>
      </c>
      <c r="M540" s="3" t="str">
        <f>HYPERLINK("https://ceds.ed.gov/cedselementdetails.aspx?termid=5626")</f>
        <v>https://ceds.ed.gov/cedselementdetails.aspx?termid=5626</v>
      </c>
      <c r="N540" s="3" t="str">
        <f>HYPERLINK("https://ceds.ed.gov/elementComment.aspx?elementName=Early Learning Youngest Age Authorized to Serve &amp;elementID=5626", "Click here to submit comment")</f>
        <v>Click here to submit comment</v>
      </c>
    </row>
    <row r="541" spans="1:14" ht="105">
      <c r="A541" s="3" t="s">
        <v>2432</v>
      </c>
      <c r="B541" s="3" t="s">
        <v>2433</v>
      </c>
      <c r="C541" s="3" t="s">
        <v>5963</v>
      </c>
      <c r="D541" s="3" t="s">
        <v>2434</v>
      </c>
      <c r="E541" s="3" t="s">
        <v>6084</v>
      </c>
      <c r="F541" s="3"/>
      <c r="G541" s="3"/>
      <c r="H541" s="3"/>
      <c r="I541" s="3"/>
      <c r="J541" s="3" t="s">
        <v>2435</v>
      </c>
      <c r="K541" s="3"/>
      <c r="L541" s="3" t="s">
        <v>2436</v>
      </c>
      <c r="M541" s="3" t="str">
        <f>HYPERLINK("https://ceds.ed.gov/cedselementdetails.aspx?termid=5086")</f>
        <v>https://ceds.ed.gov/cedselementdetails.aspx?termid=5086</v>
      </c>
      <c r="N541" s="3" t="str">
        <f>HYPERLINK("https://ceds.ed.gov/elementComment.aspx?elementName=Economic Disadvantage Status &amp;elementID=5086", "Click here to submit comment")</f>
        <v>Click here to submit comment</v>
      </c>
    </row>
    <row r="542" spans="1:14" ht="315">
      <c r="A542" s="3" t="s">
        <v>2437</v>
      </c>
      <c r="B542" s="3" t="s">
        <v>2438</v>
      </c>
      <c r="C542" s="4" t="s">
        <v>6487</v>
      </c>
      <c r="D542" s="3" t="s">
        <v>2439</v>
      </c>
      <c r="E542" s="3" t="s">
        <v>6145</v>
      </c>
      <c r="F542" s="3"/>
      <c r="G542" s="3"/>
      <c r="H542" s="3"/>
      <c r="I542" s="3"/>
      <c r="J542" s="3" t="s">
        <v>2440</v>
      </c>
      <c r="K542" s="3" t="s">
        <v>2441</v>
      </c>
      <c r="L542" s="3" t="s">
        <v>2442</v>
      </c>
      <c r="M542" s="3" t="str">
        <f>HYPERLINK("https://ceds.ed.gov/cedselementdetails.aspx?termid=5862")</f>
        <v>https://ceds.ed.gov/cedselementdetails.aspx?termid=5862</v>
      </c>
      <c r="N542" s="3" t="str">
        <f>HYPERLINK("https://ceds.ed.gov/elementComment.aspx?elementName=Economic Research Service Rural-Urban Continuum Code &amp;elementID=5862", "Click here to submit comment")</f>
        <v>Click here to submit comment</v>
      </c>
    </row>
    <row r="543" spans="1:14" ht="409.5">
      <c r="A543" s="3" t="s">
        <v>2443</v>
      </c>
      <c r="B543" s="3" t="s">
        <v>2444</v>
      </c>
      <c r="C543" s="4" t="s">
        <v>6488</v>
      </c>
      <c r="D543" s="3" t="s">
        <v>6146</v>
      </c>
      <c r="E543" s="3" t="s">
        <v>6147</v>
      </c>
      <c r="F543" s="3"/>
      <c r="G543" s="3"/>
      <c r="H543" s="3"/>
      <c r="I543" s="3"/>
      <c r="J543" s="3" t="s">
        <v>2445</v>
      </c>
      <c r="K543" s="3"/>
      <c r="L543" s="3" t="s">
        <v>2446</v>
      </c>
      <c r="M543" s="3" t="str">
        <f>HYPERLINK("https://ceds.ed.gov/cedselementdetails.aspx?termid=5087")</f>
        <v>https://ceds.ed.gov/cedselementdetails.aspx?termid=5087</v>
      </c>
      <c r="N543" s="3" t="str">
        <f>HYPERLINK("https://ceds.ed.gov/elementComment.aspx?elementName=Education Staff Classification &amp;elementID=5087", "Click here to submit comment")</f>
        <v>Click here to submit comment</v>
      </c>
    </row>
    <row r="544" spans="1:14" ht="75">
      <c r="A544" s="3" t="s">
        <v>2447</v>
      </c>
      <c r="B544" s="3" t="s">
        <v>2448</v>
      </c>
      <c r="C544" s="3" t="s">
        <v>5963</v>
      </c>
      <c r="D544" s="3" t="s">
        <v>6138</v>
      </c>
      <c r="E544" s="3"/>
      <c r="F544" s="3"/>
      <c r="G544" s="3"/>
      <c r="H544" s="3"/>
      <c r="I544" s="3"/>
      <c r="J544" s="3" t="s">
        <v>2449</v>
      </c>
      <c r="K544" s="3"/>
      <c r="L544" s="3" t="s">
        <v>2450</v>
      </c>
      <c r="M544" s="3" t="str">
        <f>HYPERLINK("https://ceds.ed.gov/cedselementdetails.aspx?termid=5570")</f>
        <v>https://ceds.ed.gov/cedselementdetails.aspx?termid=5570</v>
      </c>
      <c r="N544" s="3" t="str">
        <f>HYPERLINK("https://ceds.ed.gov/elementComment.aspx?elementName=Educational Services After Removal &amp;elementID=5570", "Click here to submit comment")</f>
        <v>Click here to submit comment</v>
      </c>
    </row>
    <row r="545" spans="1:14" ht="409.5">
      <c r="A545" s="3" t="s">
        <v>2451</v>
      </c>
      <c r="B545" s="3" t="s">
        <v>2452</v>
      </c>
      <c r="C545" s="3" t="s">
        <v>13</v>
      </c>
      <c r="D545" s="3" t="s">
        <v>6148</v>
      </c>
      <c r="E545" s="3" t="s">
        <v>5968</v>
      </c>
      <c r="F545" s="3" t="s">
        <v>3</v>
      </c>
      <c r="G545" s="3" t="s">
        <v>2453</v>
      </c>
      <c r="H545" s="3"/>
      <c r="I545" s="3"/>
      <c r="J545" s="3" t="s">
        <v>2454</v>
      </c>
      <c r="K545" s="3" t="s">
        <v>2455</v>
      </c>
      <c r="L545" s="3" t="s">
        <v>2456</v>
      </c>
      <c r="M545" s="3" t="str">
        <f>HYPERLINK("https://ceds.ed.gov/cedselementdetails.aspx?termid=5088")</f>
        <v>https://ceds.ed.gov/cedselementdetails.aspx?termid=5088</v>
      </c>
      <c r="N545" s="3" t="str">
        <f>HYPERLINK("https://ceds.ed.gov/elementComment.aspx?elementName=Electronic Mail Address &amp;elementID=5088", "Click here to submit comment")</f>
        <v>Click here to submit comment</v>
      </c>
    </row>
    <row r="546" spans="1:14" ht="409.5">
      <c r="A546" s="3" t="s">
        <v>2457</v>
      </c>
      <c r="B546" s="3" t="s">
        <v>2458</v>
      </c>
      <c r="C546" s="4" t="s">
        <v>6489</v>
      </c>
      <c r="D546" s="3" t="s">
        <v>6148</v>
      </c>
      <c r="E546" s="3" t="s">
        <v>5968</v>
      </c>
      <c r="F546" s="3" t="s">
        <v>3</v>
      </c>
      <c r="G546" s="3"/>
      <c r="H546" s="3"/>
      <c r="I546" s="3"/>
      <c r="J546" s="3" t="s">
        <v>2459</v>
      </c>
      <c r="K546" s="3" t="s">
        <v>2460</v>
      </c>
      <c r="L546" s="3" t="s">
        <v>2461</v>
      </c>
      <c r="M546" s="3" t="str">
        <f>HYPERLINK("https://ceds.ed.gov/cedselementdetails.aspx?termid=5089")</f>
        <v>https://ceds.ed.gov/cedselementdetails.aspx?termid=5089</v>
      </c>
      <c r="N546" s="3" t="str">
        <f>HYPERLINK("https://ceds.ed.gov/elementComment.aspx?elementName=Electronic Mail Address Type &amp;elementID=5089", "Click here to submit comment")</f>
        <v>Click here to submit comment</v>
      </c>
    </row>
    <row r="547" spans="1:14" ht="105">
      <c r="A547" s="3" t="s">
        <v>2462</v>
      </c>
      <c r="B547" s="3" t="s">
        <v>2463</v>
      </c>
      <c r="C547" s="4" t="s">
        <v>6490</v>
      </c>
      <c r="D547" s="3" t="s">
        <v>5979</v>
      </c>
      <c r="E547" s="3" t="s">
        <v>218</v>
      </c>
      <c r="F547" s="3"/>
      <c r="G547" s="3"/>
      <c r="H547" s="3"/>
      <c r="I547" s="3"/>
      <c r="J547" s="3" t="s">
        <v>2464</v>
      </c>
      <c r="K547" s="3"/>
      <c r="L547" s="3" t="s">
        <v>2465</v>
      </c>
      <c r="M547" s="3" t="str">
        <f>HYPERLINK("https://ceds.ed.gov/cedselementdetails.aspx?termid=5091")</f>
        <v>https://ceds.ed.gov/cedselementdetails.aspx?termid=5091</v>
      </c>
      <c r="N547" s="3" t="str">
        <f>HYPERLINK("https://ceds.ed.gov/elementComment.aspx?elementName=Elementary-Middle Additional Indicator Status &amp;elementID=5091", "Click here to submit comment")</f>
        <v>Click here to submit comment</v>
      </c>
    </row>
    <row r="548" spans="1:14" ht="90">
      <c r="A548" s="3" t="s">
        <v>2466</v>
      </c>
      <c r="B548" s="3" t="s">
        <v>2467</v>
      </c>
      <c r="C548" s="4" t="s">
        <v>6491</v>
      </c>
      <c r="D548" s="3" t="s">
        <v>2434</v>
      </c>
      <c r="E548" s="3" t="s">
        <v>5968</v>
      </c>
      <c r="F548" s="3"/>
      <c r="G548" s="3"/>
      <c r="H548" s="3"/>
      <c r="I548" s="3"/>
      <c r="J548" s="3" t="s">
        <v>2468</v>
      </c>
      <c r="K548" s="3"/>
      <c r="L548" s="3" t="s">
        <v>2469</v>
      </c>
      <c r="M548" s="3" t="str">
        <f>HYPERLINK("https://ceds.ed.gov/cedselementdetails.aspx?termid=5092")</f>
        <v>https://ceds.ed.gov/cedselementdetails.aspx?termid=5092</v>
      </c>
      <c r="N548" s="3" t="str">
        <f>HYPERLINK("https://ceds.ed.gov/elementComment.aspx?elementName=Eligibility Status for School Food Service Programs &amp;elementID=5092", "Click here to submit comment")</f>
        <v>Click here to submit comment</v>
      </c>
    </row>
    <row r="549" spans="1:14" ht="45">
      <c r="A549" s="3" t="s">
        <v>2470</v>
      </c>
      <c r="B549" s="3" t="s">
        <v>2471</v>
      </c>
      <c r="C549" s="3" t="s">
        <v>5963</v>
      </c>
      <c r="D549" s="3" t="s">
        <v>6149</v>
      </c>
      <c r="E549" s="3"/>
      <c r="F549" s="3" t="s">
        <v>54</v>
      </c>
      <c r="G549" s="3"/>
      <c r="H549" s="3"/>
      <c r="I549" s="3"/>
      <c r="J549" s="3" t="s">
        <v>2472</v>
      </c>
      <c r="K549" s="3"/>
      <c r="L549" s="3" t="s">
        <v>2473</v>
      </c>
      <c r="M549" s="3" t="str">
        <f>HYPERLINK("https://ceds.ed.gov/cedselementdetails.aspx?termid=6308")</f>
        <v>https://ceds.ed.gov/cedselementdetails.aspx?termid=6308</v>
      </c>
      <c r="N549" s="3" t="str">
        <f>HYPERLINK("https://ceds.ed.gov/elementComment.aspx?elementName=Emergency Contact Indicator &amp;elementID=6308", "Click here to submit comment")</f>
        <v>Click here to submit comment</v>
      </c>
    </row>
    <row r="550" spans="1:14" ht="270">
      <c r="A550" s="3" t="s">
        <v>2474</v>
      </c>
      <c r="B550" s="3" t="s">
        <v>2475</v>
      </c>
      <c r="C550" s="3" t="s">
        <v>6150</v>
      </c>
      <c r="D550" s="3" t="s">
        <v>6151</v>
      </c>
      <c r="E550" s="3" t="s">
        <v>2476</v>
      </c>
      <c r="F550" s="3" t="s">
        <v>66</v>
      </c>
      <c r="G550" s="3"/>
      <c r="H550" s="3" t="s">
        <v>2477</v>
      </c>
      <c r="I550" s="3" t="s">
        <v>2478</v>
      </c>
      <c r="J550" s="3" t="s">
        <v>2479</v>
      </c>
      <c r="K550" s="3"/>
      <c r="L550" s="3" t="s">
        <v>2480</v>
      </c>
      <c r="M550" s="3" t="str">
        <f>HYPERLINK("https://ceds.ed.gov/cedselementdetails.aspx?termid=5990")</f>
        <v>https://ceds.ed.gov/cedselementdetails.aspx?termid=5990</v>
      </c>
      <c r="N550" s="3" t="str">
        <f>HYPERLINK("https://ceds.ed.gov/elementComment.aspx?elementName=Employed After Exit &amp;elementID=5990", "Click here to submit comment")</f>
        <v>Click here to submit comment</v>
      </c>
    </row>
    <row r="551" spans="1:14" ht="225">
      <c r="A551" s="3" t="s">
        <v>2481</v>
      </c>
      <c r="B551" s="3" t="s">
        <v>2482</v>
      </c>
      <c r="C551" s="3" t="s">
        <v>6150</v>
      </c>
      <c r="D551" s="3" t="s">
        <v>2483</v>
      </c>
      <c r="E551" s="3"/>
      <c r="F551" s="3" t="s">
        <v>54</v>
      </c>
      <c r="G551" s="3"/>
      <c r="H551" s="3"/>
      <c r="I551" s="3" t="s">
        <v>2484</v>
      </c>
      <c r="J551" s="3" t="s">
        <v>2485</v>
      </c>
      <c r="K551" s="3"/>
      <c r="L551" s="3" t="s">
        <v>2486</v>
      </c>
      <c r="M551" s="3" t="str">
        <f>HYPERLINK("https://ceds.ed.gov/cedselementdetails.aspx?termid=6309")</f>
        <v>https://ceds.ed.gov/cedselementdetails.aspx?termid=6309</v>
      </c>
      <c r="N551" s="3" t="str">
        <f>HYPERLINK("https://ceds.ed.gov/elementComment.aspx?elementName=Employed Prior to Enrollment &amp;elementID=6309", "Click here to submit comment")</f>
        <v>Click here to submit comment</v>
      </c>
    </row>
    <row r="552" spans="1:14" ht="225">
      <c r="A552" s="3" t="s">
        <v>2487</v>
      </c>
      <c r="B552" s="3" t="s">
        <v>2488</v>
      </c>
      <c r="C552" s="3" t="s">
        <v>6150</v>
      </c>
      <c r="D552" s="3" t="s">
        <v>6151</v>
      </c>
      <c r="E552" s="3" t="s">
        <v>2476</v>
      </c>
      <c r="F552" s="3" t="s">
        <v>66</v>
      </c>
      <c r="G552" s="3"/>
      <c r="H552" s="3" t="s">
        <v>2477</v>
      </c>
      <c r="I552" s="3" t="s">
        <v>2489</v>
      </c>
      <c r="J552" s="3" t="s">
        <v>2490</v>
      </c>
      <c r="K552" s="3"/>
      <c r="L552" s="3" t="s">
        <v>2491</v>
      </c>
      <c r="M552" s="3" t="str">
        <f>HYPERLINK("https://ceds.ed.gov/cedselementdetails.aspx?termid=5989")</f>
        <v>https://ceds.ed.gov/cedselementdetails.aspx?termid=5989</v>
      </c>
      <c r="N552" s="3" t="str">
        <f>HYPERLINK("https://ceds.ed.gov/elementComment.aspx?elementName=Employed While Enrolled &amp;elementID=5989", "Click here to submit comment")</f>
        <v>Click here to submit comment</v>
      </c>
    </row>
    <row r="553" spans="1:14" ht="285">
      <c r="A553" s="3" t="s">
        <v>2492</v>
      </c>
      <c r="B553" s="3" t="s">
        <v>2493</v>
      </c>
      <c r="C553" s="3" t="s">
        <v>13</v>
      </c>
      <c r="D553" s="3" t="s">
        <v>6152</v>
      </c>
      <c r="E553" s="3" t="s">
        <v>202</v>
      </c>
      <c r="F553" s="3" t="s">
        <v>3</v>
      </c>
      <c r="G553" s="3" t="s">
        <v>73</v>
      </c>
      <c r="H553" s="3"/>
      <c r="I553" s="3"/>
      <c r="J553" s="3" t="s">
        <v>2494</v>
      </c>
      <c r="K553" s="3"/>
      <c r="L553" s="3" t="s">
        <v>2495</v>
      </c>
      <c r="M553" s="3" t="str">
        <f>HYPERLINK("https://ceds.ed.gov/cedselementdetails.aspx?termid=5794")</f>
        <v>https://ceds.ed.gov/cedselementdetails.aspx?termid=5794</v>
      </c>
      <c r="N553" s="3" t="str">
        <f>HYPERLINK("https://ceds.ed.gov/elementComment.aspx?elementName=Employment End Date &amp;elementID=5794", "Click here to submit comment")</f>
        <v>Click here to submit comment</v>
      </c>
    </row>
    <row r="554" spans="1:14" ht="409.5">
      <c r="A554" s="3" t="s">
        <v>2496</v>
      </c>
      <c r="B554" s="3" t="s">
        <v>2497</v>
      </c>
      <c r="C554" s="4" t="s">
        <v>6492</v>
      </c>
      <c r="D554" s="3" t="s">
        <v>2483</v>
      </c>
      <c r="E554" s="3"/>
      <c r="F554" s="3" t="s">
        <v>66</v>
      </c>
      <c r="G554" s="3"/>
      <c r="H554" s="3" t="s">
        <v>2498</v>
      </c>
      <c r="I554" s="3" t="s">
        <v>2499</v>
      </c>
      <c r="J554" s="3" t="s">
        <v>2500</v>
      </c>
      <c r="K554" s="3"/>
      <c r="L554" s="3" t="s">
        <v>2501</v>
      </c>
      <c r="M554" s="3" t="str">
        <f>HYPERLINK("https://ceds.ed.gov/cedselementdetails.aspx?termid=5992")</f>
        <v>https://ceds.ed.gov/cedselementdetails.aspx?termid=5992</v>
      </c>
      <c r="N554" s="3" t="str">
        <f>HYPERLINK("https://ceds.ed.gov/elementComment.aspx?elementName=Employment Location &amp;elementID=5992", "Click here to submit comment")</f>
        <v>Click here to submit comment</v>
      </c>
    </row>
    <row r="555" spans="1:14" ht="150">
      <c r="A555" s="3" t="s">
        <v>2502</v>
      </c>
      <c r="B555" s="3" t="s">
        <v>2503</v>
      </c>
      <c r="C555" s="3" t="s">
        <v>2504</v>
      </c>
      <c r="D555" s="3" t="s">
        <v>6151</v>
      </c>
      <c r="E555" s="3"/>
      <c r="F555" s="3"/>
      <c r="G555" s="3" t="s">
        <v>2505</v>
      </c>
      <c r="H555" s="3"/>
      <c r="I555" s="3"/>
      <c r="J555" s="3" t="s">
        <v>2506</v>
      </c>
      <c r="K555" s="3"/>
      <c r="L555" s="3" t="s">
        <v>2507</v>
      </c>
      <c r="M555" s="3" t="str">
        <f>HYPERLINK("https://ceds.ed.gov/cedselementdetails.aspx?termid=6070")</f>
        <v>https://ceds.ed.gov/cedselementdetails.aspx?termid=6070</v>
      </c>
      <c r="N555" s="3" t="str">
        <f>HYPERLINK("https://ceds.ed.gov/elementComment.aspx?elementName=Employment NAICS Code &amp;elementID=6070", "Click here to submit comment")</f>
        <v>Click here to submit comment</v>
      </c>
    </row>
    <row r="556" spans="1:14" ht="300">
      <c r="A556" s="3" t="s">
        <v>2508</v>
      </c>
      <c r="B556" s="3" t="s">
        <v>2509</v>
      </c>
      <c r="C556" s="4" t="s">
        <v>6493</v>
      </c>
      <c r="D556" s="3" t="s">
        <v>2483</v>
      </c>
      <c r="E556" s="3"/>
      <c r="F556" s="3" t="s">
        <v>66</v>
      </c>
      <c r="G556" s="3"/>
      <c r="H556" s="3" t="s">
        <v>2510</v>
      </c>
      <c r="I556" s="3" t="s">
        <v>2511</v>
      </c>
      <c r="J556" s="3" t="s">
        <v>2512</v>
      </c>
      <c r="K556" s="3"/>
      <c r="L556" s="3" t="s">
        <v>2513</v>
      </c>
      <c r="M556" s="3" t="str">
        <f>HYPERLINK("https://ceds.ed.gov/cedselementdetails.aspx?termid=5996")</f>
        <v>https://ceds.ed.gov/cedselementdetails.aspx?termid=5996</v>
      </c>
      <c r="N556" s="3" t="str">
        <f>HYPERLINK("https://ceds.ed.gov/elementComment.aspx?elementName=Employment Record Administrative Data Source &amp;elementID=5996", "Click here to submit comment")</f>
        <v>Click here to submit comment</v>
      </c>
    </row>
    <row r="557" spans="1:14" ht="360">
      <c r="A557" s="3" t="s">
        <v>2514</v>
      </c>
      <c r="B557" s="3" t="s">
        <v>2515</v>
      </c>
      <c r="C557" s="3" t="s">
        <v>13</v>
      </c>
      <c r="D557" s="3" t="s">
        <v>2483</v>
      </c>
      <c r="E557" s="3"/>
      <c r="F557" s="3" t="s">
        <v>66</v>
      </c>
      <c r="G557" s="3" t="s">
        <v>73</v>
      </c>
      <c r="H557" s="3" t="s">
        <v>2516</v>
      </c>
      <c r="I557" s="3" t="s">
        <v>2517</v>
      </c>
      <c r="J557" s="3" t="s">
        <v>2518</v>
      </c>
      <c r="K557" s="3"/>
      <c r="L557" s="3" t="s">
        <v>2519</v>
      </c>
      <c r="M557" s="3" t="str">
        <f>HYPERLINK("https://ceds.ed.gov/cedselementdetails.aspx?termid=5995")</f>
        <v>https://ceds.ed.gov/cedselementdetails.aspx?termid=5995</v>
      </c>
      <c r="N557" s="3" t="str">
        <f>HYPERLINK("https://ceds.ed.gov/elementComment.aspx?elementName=Employment Record Reference Period End Date &amp;elementID=5995", "Click here to submit comment")</f>
        <v>Click here to submit comment</v>
      </c>
    </row>
    <row r="558" spans="1:14" ht="360">
      <c r="A558" s="3" t="s">
        <v>2520</v>
      </c>
      <c r="B558" s="3" t="s">
        <v>2521</v>
      </c>
      <c r="C558" s="3" t="s">
        <v>13</v>
      </c>
      <c r="D558" s="3" t="s">
        <v>2483</v>
      </c>
      <c r="E558" s="3"/>
      <c r="F558" s="3" t="s">
        <v>66</v>
      </c>
      <c r="G558" s="3" t="s">
        <v>73</v>
      </c>
      <c r="H558" s="3" t="s">
        <v>2522</v>
      </c>
      <c r="I558" s="3" t="s">
        <v>2517</v>
      </c>
      <c r="J558" s="3" t="s">
        <v>2523</v>
      </c>
      <c r="K558" s="3"/>
      <c r="L558" s="3" t="s">
        <v>2524</v>
      </c>
      <c r="M558" s="3" t="str">
        <f>HYPERLINK("https://ceds.ed.gov/cedselementdetails.aspx?termid=5994")</f>
        <v>https://ceds.ed.gov/cedselementdetails.aspx?termid=5994</v>
      </c>
      <c r="N558" s="3" t="str">
        <f>HYPERLINK("https://ceds.ed.gov/elementComment.aspx?elementName=Employment Record Reference Period Start Date &amp;elementID=5994", "Click here to submit comment")</f>
        <v>Click here to submit comment</v>
      </c>
    </row>
    <row r="559" spans="1:14" ht="409.5">
      <c r="A559" s="3" t="s">
        <v>2525</v>
      </c>
      <c r="B559" s="3" t="s">
        <v>2526</v>
      </c>
      <c r="C559" s="4" t="s">
        <v>6494</v>
      </c>
      <c r="D559" s="3" t="s">
        <v>6153</v>
      </c>
      <c r="E559" s="3"/>
      <c r="F559" s="3" t="s">
        <v>66</v>
      </c>
      <c r="G559" s="3"/>
      <c r="H559" s="3" t="s">
        <v>2527</v>
      </c>
      <c r="I559" s="3"/>
      <c r="J559" s="3" t="s">
        <v>2528</v>
      </c>
      <c r="K559" s="3"/>
      <c r="L559" s="3" t="s">
        <v>2529</v>
      </c>
      <c r="M559" s="3" t="str">
        <f>HYPERLINK("https://ceds.ed.gov/cedselementdetails.aspx?termid=5613")</f>
        <v>https://ceds.ed.gov/cedselementdetails.aspx?termid=5613</v>
      </c>
      <c r="N559" s="3" t="str">
        <f>HYPERLINK("https://ceds.ed.gov/elementComment.aspx?elementName=Employment Separation Reason &amp;elementID=5613", "Click here to submit comment")</f>
        <v>Click here to submit comment</v>
      </c>
    </row>
    <row r="560" spans="1:14" ht="75">
      <c r="A560" s="3" t="s">
        <v>2530</v>
      </c>
      <c r="B560" s="3" t="s">
        <v>2531</v>
      </c>
      <c r="C560" s="4" t="s">
        <v>6495</v>
      </c>
      <c r="D560" s="3" t="s">
        <v>1779</v>
      </c>
      <c r="E560" s="3"/>
      <c r="F560" s="3"/>
      <c r="G560" s="3"/>
      <c r="H560" s="3"/>
      <c r="I560" s="3"/>
      <c r="J560" s="3" t="s">
        <v>2532</v>
      </c>
      <c r="K560" s="3"/>
      <c r="L560" s="3" t="s">
        <v>2533</v>
      </c>
      <c r="M560" s="3" t="str">
        <f>HYPERLINK("https://ceds.ed.gov/cedselementdetails.aspx?termid=5614")</f>
        <v>https://ceds.ed.gov/cedselementdetails.aspx?termid=5614</v>
      </c>
      <c r="N560" s="3" t="str">
        <f>HYPERLINK("https://ceds.ed.gov/elementComment.aspx?elementName=Employment Separation Type &amp;elementID=5614", "Click here to submit comment")</f>
        <v>Click here to submit comment</v>
      </c>
    </row>
    <row r="561" spans="1:14" ht="285">
      <c r="A561" s="3" t="s">
        <v>2534</v>
      </c>
      <c r="B561" s="3" t="s">
        <v>2535</v>
      </c>
      <c r="C561" s="3" t="s">
        <v>13</v>
      </c>
      <c r="D561" s="3" t="s">
        <v>6152</v>
      </c>
      <c r="E561" s="3" t="s">
        <v>6154</v>
      </c>
      <c r="F561" s="3" t="s">
        <v>3</v>
      </c>
      <c r="G561" s="3" t="s">
        <v>73</v>
      </c>
      <c r="H561" s="3"/>
      <c r="I561" s="3"/>
      <c r="J561" s="3" t="s">
        <v>2536</v>
      </c>
      <c r="K561" s="3"/>
      <c r="L561" s="3" t="s">
        <v>2537</v>
      </c>
      <c r="M561" s="3" t="str">
        <f>HYPERLINK("https://ceds.ed.gov/cedselementdetails.aspx?termid=5345")</f>
        <v>https://ceds.ed.gov/cedselementdetails.aspx?termid=5345</v>
      </c>
      <c r="N561" s="3" t="str">
        <f>HYPERLINK("https://ceds.ed.gov/elementComment.aspx?elementName=Employment Start Date &amp;elementID=5345", "Click here to submit comment")</f>
        <v>Click here to submit comment</v>
      </c>
    </row>
    <row r="562" spans="1:14" ht="210">
      <c r="A562" s="3" t="s">
        <v>2538</v>
      </c>
      <c r="B562" s="3" t="s">
        <v>285</v>
      </c>
      <c r="C562" s="4" t="s">
        <v>6496</v>
      </c>
      <c r="D562" s="3" t="s">
        <v>6155</v>
      </c>
      <c r="E562" s="3" t="s">
        <v>6131</v>
      </c>
      <c r="F562" s="3"/>
      <c r="G562" s="3"/>
      <c r="H562" s="3"/>
      <c r="I562" s="3"/>
      <c r="J562" s="3" t="s">
        <v>2539</v>
      </c>
      <c r="K562" s="3"/>
      <c r="L562" s="3" t="s">
        <v>2540</v>
      </c>
      <c r="M562" s="3" t="str">
        <f>HYPERLINK("https://ceds.ed.gov/cedselementdetails.aspx?termid=5346")</f>
        <v>https://ceds.ed.gov/cedselementdetails.aspx?termid=5346</v>
      </c>
      <c r="N562" s="3" t="str">
        <f>HYPERLINK("https://ceds.ed.gov/elementComment.aspx?elementName=Employment Status &amp;elementID=5346", "Click here to submit comment")</f>
        <v>Click here to submit comment</v>
      </c>
    </row>
    <row r="563" spans="1:14" ht="75">
      <c r="A563" s="3" t="s">
        <v>2541</v>
      </c>
      <c r="B563" s="3" t="s">
        <v>2542</v>
      </c>
      <c r="C563" s="4" t="s">
        <v>6497</v>
      </c>
      <c r="D563" s="3" t="s">
        <v>2543</v>
      </c>
      <c r="E563" s="3"/>
      <c r="F563" s="3" t="s">
        <v>54</v>
      </c>
      <c r="G563" s="3"/>
      <c r="H563" s="3"/>
      <c r="I563" s="3"/>
      <c r="J563" s="3" t="s">
        <v>2544</v>
      </c>
      <c r="K563" s="3"/>
      <c r="L563" s="3" t="s">
        <v>2545</v>
      </c>
      <c r="M563" s="3" t="str">
        <f>HYPERLINK("https://ceds.ed.gov/cedselementdetails.aspx?termid=6310")</f>
        <v>https://ceds.ed.gov/cedselementdetails.aspx?termid=6310</v>
      </c>
      <c r="N563" s="3" t="str">
        <f>HYPERLINK("https://ceds.ed.gov/elementComment.aspx?elementName=Employment Status While Enrolled &amp;elementID=6310", "Click here to submit comment")</f>
        <v>Click here to submit comment</v>
      </c>
    </row>
    <row r="564" spans="1:14" ht="45">
      <c r="A564" s="3" t="s">
        <v>2546</v>
      </c>
      <c r="B564" s="3" t="s">
        <v>2547</v>
      </c>
      <c r="C564" s="3" t="s">
        <v>6156</v>
      </c>
      <c r="D564" s="3" t="s">
        <v>30</v>
      </c>
      <c r="E564" s="3" t="s">
        <v>2</v>
      </c>
      <c r="F564" s="3"/>
      <c r="G564" s="3"/>
      <c r="H564" s="3"/>
      <c r="I564" s="3"/>
      <c r="J564" s="3" t="s">
        <v>2548</v>
      </c>
      <c r="K564" s="3"/>
      <c r="L564" s="3" t="s">
        <v>2549</v>
      </c>
      <c r="M564" s="3" t="str">
        <f>HYPERLINK("https://ceds.ed.gov/cedselementdetails.aspx?termid=5093")</f>
        <v>https://ceds.ed.gov/cedselementdetails.aspx?termid=5093</v>
      </c>
      <c r="N564" s="3" t="str">
        <f>HYPERLINK("https://ceds.ed.gov/elementComment.aspx?elementName=End of Term Status &amp;elementID=5093", "Click here to submit comment")</f>
        <v>Click here to submit comment</v>
      </c>
    </row>
    <row r="565" spans="1:14" ht="75">
      <c r="A565" s="3" t="s">
        <v>2550</v>
      </c>
      <c r="B565" s="3" t="s">
        <v>2551</v>
      </c>
      <c r="C565" s="3" t="s">
        <v>13</v>
      </c>
      <c r="D565" s="3" t="s">
        <v>6157</v>
      </c>
      <c r="E565" s="3" t="s">
        <v>5988</v>
      </c>
      <c r="F565" s="3"/>
      <c r="G565" s="3" t="s">
        <v>73</v>
      </c>
      <c r="H565" s="3"/>
      <c r="I565" s="3"/>
      <c r="J565" s="3" t="s">
        <v>2552</v>
      </c>
      <c r="K565" s="3"/>
      <c r="L565" s="3" t="s">
        <v>2553</v>
      </c>
      <c r="M565" s="3" t="str">
        <f>HYPERLINK("https://ceds.ed.gov/cedselementdetails.aspx?termid=5324")</f>
        <v>https://ceds.ed.gov/cedselementdetails.aspx?termid=5324</v>
      </c>
      <c r="N565" s="3" t="str">
        <f>HYPERLINK("https://ceds.ed.gov/elementComment.aspx?elementName=Enrollment Date &amp;elementID=5324", "Click here to submit comment")</f>
        <v>Click here to submit comment</v>
      </c>
    </row>
    <row r="566" spans="1:14" ht="165">
      <c r="A566" s="3" t="s">
        <v>2554</v>
      </c>
      <c r="B566" s="3" t="s">
        <v>2555</v>
      </c>
      <c r="C566" s="3" t="s">
        <v>13</v>
      </c>
      <c r="D566" s="3" t="s">
        <v>6158</v>
      </c>
      <c r="E566" s="3" t="s">
        <v>6159</v>
      </c>
      <c r="F566" s="3"/>
      <c r="G566" s="3" t="s">
        <v>73</v>
      </c>
      <c r="H566" s="3"/>
      <c r="I566" s="3"/>
      <c r="J566" s="3" t="s">
        <v>2556</v>
      </c>
      <c r="K566" s="3"/>
      <c r="L566" s="3" t="s">
        <v>2557</v>
      </c>
      <c r="M566" s="3" t="str">
        <f>HYPERLINK("https://ceds.ed.gov/cedselementdetails.aspx?termid=5097")</f>
        <v>https://ceds.ed.gov/cedselementdetails.aspx?termid=5097</v>
      </c>
      <c r="N566" s="3" t="str">
        <f>HYPERLINK("https://ceds.ed.gov/elementComment.aspx?elementName=Enrollment Entry Date &amp;elementID=5097", "Click here to submit comment")</f>
        <v>Click here to submit comment</v>
      </c>
    </row>
    <row r="567" spans="1:14" ht="285">
      <c r="A567" s="3" t="s">
        <v>2558</v>
      </c>
      <c r="B567" s="3" t="s">
        <v>2559</v>
      </c>
      <c r="C567" s="4" t="s">
        <v>6346</v>
      </c>
      <c r="D567" s="3" t="s">
        <v>1708</v>
      </c>
      <c r="E567" s="3" t="s">
        <v>5976</v>
      </c>
      <c r="F567" s="3"/>
      <c r="G567" s="3"/>
      <c r="H567" s="3"/>
      <c r="I567" s="3"/>
      <c r="J567" s="3" t="s">
        <v>2560</v>
      </c>
      <c r="K567" s="3"/>
      <c r="L567" s="3" t="s">
        <v>2561</v>
      </c>
      <c r="M567" s="3" t="str">
        <f>HYPERLINK("https://ceds.ed.gov/cedselementdetails.aspx?termid=5360")</f>
        <v>https://ceds.ed.gov/cedselementdetails.aspx?termid=5360</v>
      </c>
      <c r="N567" s="3" t="str">
        <f>HYPERLINK("https://ceds.ed.gov/elementComment.aspx?elementName=Enrollment in Postsecondary Award Type &amp;elementID=5360", "Click here to submit comment")</f>
        <v>Click here to submit comment</v>
      </c>
    </row>
    <row r="568" spans="1:14" ht="75">
      <c r="A568" s="3" t="s">
        <v>2562</v>
      </c>
      <c r="B568" s="3" t="s">
        <v>2563</v>
      </c>
      <c r="C568" s="4" t="s">
        <v>6498</v>
      </c>
      <c r="D568" s="3" t="s">
        <v>154</v>
      </c>
      <c r="E568" s="3" t="s">
        <v>218</v>
      </c>
      <c r="F568" s="3"/>
      <c r="G568" s="3"/>
      <c r="H568" s="3"/>
      <c r="I568" s="3"/>
      <c r="J568" s="3" t="s">
        <v>2564</v>
      </c>
      <c r="K568" s="3"/>
      <c r="L568" s="3" t="s">
        <v>2565</v>
      </c>
      <c r="M568" s="3" t="str">
        <f>HYPERLINK("https://ceds.ed.gov/cedselementdetails.aspx?termid=5094")</f>
        <v>https://ceds.ed.gov/cedselementdetails.aspx?termid=5094</v>
      </c>
      <c r="N568" s="3" t="str">
        <f>HYPERLINK("https://ceds.ed.gov/elementComment.aspx?elementName=Enrollment Status &amp;elementID=5094", "Click here to submit comment")</f>
        <v>Click here to submit comment</v>
      </c>
    </row>
    <row r="569" spans="1:14" ht="90">
      <c r="A569" s="3" t="s">
        <v>2566</v>
      </c>
      <c r="B569" s="3" t="s">
        <v>2567</v>
      </c>
      <c r="C569" s="3" t="s">
        <v>13</v>
      </c>
      <c r="D569" s="3" t="s">
        <v>1708</v>
      </c>
      <c r="E569" s="3" t="s">
        <v>6160</v>
      </c>
      <c r="F569" s="3"/>
      <c r="G569" s="3" t="s">
        <v>73</v>
      </c>
      <c r="H569" s="3"/>
      <c r="I569" s="3"/>
      <c r="J569" s="3" t="s">
        <v>2568</v>
      </c>
      <c r="K569" s="3"/>
      <c r="L569" s="3" t="s">
        <v>2569</v>
      </c>
      <c r="M569" s="3" t="str">
        <f>HYPERLINK("https://ceds.ed.gov/cedselementdetails.aspx?termid=5098")</f>
        <v>https://ceds.ed.gov/cedselementdetails.aspx?termid=5098</v>
      </c>
      <c r="N569" s="3" t="str">
        <f>HYPERLINK("https://ceds.ed.gov/elementComment.aspx?elementName=Entry Date into Postsecondary &amp;elementID=5098", "Click here to submit comment")</f>
        <v>Click here to submit comment</v>
      </c>
    </row>
    <row r="570" spans="1:14" ht="330">
      <c r="A570" s="3" t="s">
        <v>2570</v>
      </c>
      <c r="B570" s="3" t="s">
        <v>2571</v>
      </c>
      <c r="C570" s="4" t="s">
        <v>6499</v>
      </c>
      <c r="D570" s="3" t="s">
        <v>6161</v>
      </c>
      <c r="E570" s="3" t="s">
        <v>6084</v>
      </c>
      <c r="F570" s="3" t="s">
        <v>3</v>
      </c>
      <c r="G570" s="3"/>
      <c r="H570" s="3"/>
      <c r="I570" s="3"/>
      <c r="J570" s="3" t="s">
        <v>2572</v>
      </c>
      <c r="K570" s="3"/>
      <c r="L570" s="3" t="s">
        <v>2573</v>
      </c>
      <c r="M570" s="3" t="str">
        <f>HYPERLINK("https://ceds.ed.gov/cedselementdetails.aspx?termid=5100")</f>
        <v>https://ceds.ed.gov/cedselementdetails.aspx?termid=5100</v>
      </c>
      <c r="N570" s="3" t="str">
        <f>HYPERLINK("https://ceds.ed.gov/elementComment.aspx?elementName=Entry Grade Level &amp;elementID=5100", "Click here to submit comment")</f>
        <v>Click here to submit comment</v>
      </c>
    </row>
    <row r="571" spans="1:14" ht="409.5">
      <c r="A571" s="3" t="s">
        <v>2574</v>
      </c>
      <c r="B571" s="3" t="s">
        <v>2575</v>
      </c>
      <c r="C571" s="4" t="s">
        <v>6500</v>
      </c>
      <c r="D571" s="3" t="s">
        <v>154</v>
      </c>
      <c r="E571" s="3" t="s">
        <v>5968</v>
      </c>
      <c r="F571" s="3"/>
      <c r="G571" s="3"/>
      <c r="H571" s="3"/>
      <c r="I571" s="3"/>
      <c r="J571" s="3" t="s">
        <v>2576</v>
      </c>
      <c r="K571" s="3"/>
      <c r="L571" s="3" t="s">
        <v>2577</v>
      </c>
      <c r="M571" s="3" t="str">
        <f>HYPERLINK("https://ceds.ed.gov/cedselementdetails.aspx?termid=5099")</f>
        <v>https://ceds.ed.gov/cedselementdetails.aspx?termid=5099</v>
      </c>
      <c r="N571" s="3" t="str">
        <f>HYPERLINK("https://ceds.ed.gov/elementComment.aspx?elementName=Entry Type &amp;elementID=5099", "Click here to submit comment")</f>
        <v>Click here to submit comment</v>
      </c>
    </row>
    <row r="572" spans="1:14" ht="150">
      <c r="A572" s="3" t="s">
        <v>2578</v>
      </c>
      <c r="B572" s="3" t="s">
        <v>2579</v>
      </c>
      <c r="C572" s="3" t="s">
        <v>13</v>
      </c>
      <c r="D572" s="3" t="s">
        <v>6162</v>
      </c>
      <c r="E572" s="3" t="s">
        <v>24</v>
      </c>
      <c r="F572" s="3"/>
      <c r="G572" s="3" t="s">
        <v>73</v>
      </c>
      <c r="H572" s="3"/>
      <c r="I572" s="3"/>
      <c r="J572" s="3" t="s">
        <v>2580</v>
      </c>
      <c r="K572" s="3"/>
      <c r="L572" s="3" t="s">
        <v>2581</v>
      </c>
      <c r="M572" s="3" t="str">
        <f>HYPERLINK("https://ceds.ed.gov/cedselementdetails.aspx?termid=5107")</f>
        <v>https://ceds.ed.gov/cedselementdetails.aspx?termid=5107</v>
      </c>
      <c r="N572" s="3" t="str">
        <f>HYPERLINK("https://ceds.ed.gov/elementComment.aspx?elementName=Exit Date &amp;elementID=5107", "Click here to submit comment")</f>
        <v>Click here to submit comment</v>
      </c>
    </row>
    <row r="573" spans="1:14" ht="330">
      <c r="A573" s="3" t="s">
        <v>2582</v>
      </c>
      <c r="B573" s="3" t="s">
        <v>2583</v>
      </c>
      <c r="C573" s="4" t="s">
        <v>6499</v>
      </c>
      <c r="D573" s="3" t="s">
        <v>6161</v>
      </c>
      <c r="E573" s="3"/>
      <c r="F573" s="3" t="s">
        <v>3</v>
      </c>
      <c r="G573" s="3"/>
      <c r="H573" s="3"/>
      <c r="I573" s="3"/>
      <c r="J573" s="3" t="s">
        <v>2584</v>
      </c>
      <c r="K573" s="3"/>
      <c r="L573" s="3" t="s">
        <v>2585</v>
      </c>
      <c r="M573" s="3" t="str">
        <f>HYPERLINK("https://ceds.ed.gov/cedselementdetails.aspx?termid=6177")</f>
        <v>https://ceds.ed.gov/cedselementdetails.aspx?termid=6177</v>
      </c>
      <c r="N573" s="3" t="str">
        <f>HYPERLINK("https://ceds.ed.gov/elementComment.aspx?elementName=Exit Grade Level &amp;elementID=6177", "Click here to submit comment")</f>
        <v>Click here to submit comment</v>
      </c>
    </row>
    <row r="574" spans="1:14" ht="60">
      <c r="A574" s="3" t="s">
        <v>2586</v>
      </c>
      <c r="B574" s="3" t="s">
        <v>2587</v>
      </c>
      <c r="C574" s="3" t="s">
        <v>6163</v>
      </c>
      <c r="D574" s="3" t="s">
        <v>6164</v>
      </c>
      <c r="E574" s="3" t="s">
        <v>1990</v>
      </c>
      <c r="F574" s="3"/>
      <c r="G574" s="3"/>
      <c r="H574" s="3"/>
      <c r="I574" s="3"/>
      <c r="J574" s="3" t="s">
        <v>2588</v>
      </c>
      <c r="K574" s="3"/>
      <c r="L574" s="3" t="s">
        <v>2589</v>
      </c>
      <c r="M574" s="3" t="str">
        <f>HYPERLINK("https://ceds.ed.gov/cedselementdetails.aspx?termid=5108")</f>
        <v>https://ceds.ed.gov/cedselementdetails.aspx?termid=5108</v>
      </c>
      <c r="N574" s="3" t="str">
        <f>HYPERLINK("https://ceds.ed.gov/elementComment.aspx?elementName=Exit or Withdrawal Status &amp;elementID=5108", "Click here to submit comment")</f>
        <v>Click here to submit comment</v>
      </c>
    </row>
    <row r="575" spans="1:14" ht="409.5">
      <c r="A575" s="3" t="s">
        <v>2590</v>
      </c>
      <c r="B575" s="3" t="s">
        <v>2591</v>
      </c>
      <c r="C575" s="4" t="s">
        <v>6501</v>
      </c>
      <c r="D575" s="3" t="s">
        <v>154</v>
      </c>
      <c r="E575" s="3" t="s">
        <v>6165</v>
      </c>
      <c r="F575" s="3"/>
      <c r="G575" s="3"/>
      <c r="H575" s="3"/>
      <c r="I575" s="3"/>
      <c r="J575" s="3" t="s">
        <v>2592</v>
      </c>
      <c r="K575" s="3"/>
      <c r="L575" s="3" t="s">
        <v>2593</v>
      </c>
      <c r="M575" s="3" t="str">
        <f>HYPERLINK("https://ceds.ed.gov/cedselementdetails.aspx?termid=5110")</f>
        <v>https://ceds.ed.gov/cedselementdetails.aspx?termid=5110</v>
      </c>
      <c r="N575" s="3" t="str">
        <f>HYPERLINK("https://ceds.ed.gov/elementComment.aspx?elementName=Exit or Withdrawal Type &amp;elementID=5110", "Click here to submit comment")</f>
        <v>Click here to submit comment</v>
      </c>
    </row>
    <row r="576" spans="1:14" ht="409.5">
      <c r="A576" s="3" t="s">
        <v>2594</v>
      </c>
      <c r="B576" s="3" t="s">
        <v>2595</v>
      </c>
      <c r="C576" s="4" t="s">
        <v>6502</v>
      </c>
      <c r="D576" s="3" t="s">
        <v>6166</v>
      </c>
      <c r="E576" s="3"/>
      <c r="F576" s="3" t="s">
        <v>3</v>
      </c>
      <c r="G576" s="3"/>
      <c r="H576" s="3"/>
      <c r="I576" s="3"/>
      <c r="J576" s="3" t="s">
        <v>2596</v>
      </c>
      <c r="K576" s="3"/>
      <c r="L576" s="3" t="s">
        <v>2597</v>
      </c>
      <c r="M576" s="3" t="str">
        <f>HYPERLINK("https://ceds.ed.gov/cedselementdetails.aspx?termid=5222")</f>
        <v>https://ceds.ed.gov/cedselementdetails.aspx?termid=5222</v>
      </c>
      <c r="N576" s="3" t="str">
        <f>HYPERLINK("https://ceds.ed.gov/elementComment.aspx?elementName=Exit Reason &amp;elementID=5222", "Click here to submit comment")</f>
        <v>Click here to submit comment</v>
      </c>
    </row>
    <row r="577" spans="1:14" ht="120">
      <c r="A577" s="3" t="s">
        <v>2598</v>
      </c>
      <c r="B577" s="3" t="s">
        <v>2599</v>
      </c>
      <c r="C577" s="3" t="s">
        <v>13</v>
      </c>
      <c r="D577" s="3" t="s">
        <v>6167</v>
      </c>
      <c r="E577" s="3"/>
      <c r="F577" s="3"/>
      <c r="G577" s="3" t="s">
        <v>149</v>
      </c>
      <c r="H577" s="3"/>
      <c r="I577" s="3"/>
      <c r="J577" s="3" t="s">
        <v>2600</v>
      </c>
      <c r="K577" s="3"/>
      <c r="L577" s="3" t="s">
        <v>2601</v>
      </c>
      <c r="M577" s="3" t="str">
        <f>HYPERLINK("https://ceds.ed.gov/cedselementdetails.aspx?termid=5495")</f>
        <v>https://ceds.ed.gov/cedselementdetails.aspx?termid=5495</v>
      </c>
      <c r="N577" s="3" t="str">
        <f>HYPERLINK("https://ceds.ed.gov/elementComment.aspx?elementName=Facilities Identifier &amp;elementID=5495", "Click here to submit comment")</f>
        <v>Click here to submit comment</v>
      </c>
    </row>
    <row r="578" spans="1:14" ht="30">
      <c r="A578" s="3" t="s">
        <v>2602</v>
      </c>
      <c r="B578" s="3" t="s">
        <v>2603</v>
      </c>
      <c r="C578" s="3" t="s">
        <v>13</v>
      </c>
      <c r="D578" s="3" t="s">
        <v>1509</v>
      </c>
      <c r="E578" s="3"/>
      <c r="F578" s="3"/>
      <c r="G578" s="3" t="s">
        <v>106</v>
      </c>
      <c r="H578" s="3"/>
      <c r="I578" s="3"/>
      <c r="J578" s="3" t="s">
        <v>2604</v>
      </c>
      <c r="K578" s="3"/>
      <c r="L578" s="3" t="s">
        <v>2605</v>
      </c>
      <c r="M578" s="3" t="str">
        <f>HYPERLINK("https://ceds.ed.gov/cedselementdetails.aspx?termid=6172")</f>
        <v>https://ceds.ed.gov/cedselementdetails.aspx?termid=6172</v>
      </c>
      <c r="N578" s="3" t="str">
        <f>HYPERLINK("https://ceds.ed.gov/elementComment.aspx?elementName=Facility Building Name &amp;elementID=6172", "Click here to submit comment")</f>
        <v>Click here to submit comment</v>
      </c>
    </row>
    <row r="579" spans="1:14" ht="60">
      <c r="A579" s="3" t="s">
        <v>2606</v>
      </c>
      <c r="B579" s="3" t="s">
        <v>2607</v>
      </c>
      <c r="C579" s="3" t="s">
        <v>6168</v>
      </c>
      <c r="D579" s="3" t="s">
        <v>1774</v>
      </c>
      <c r="E579" s="3" t="s">
        <v>6145</v>
      </c>
      <c r="F579" s="3"/>
      <c r="G579" s="3"/>
      <c r="H579" s="3"/>
      <c r="I579" s="3"/>
      <c r="J579" s="3" t="s">
        <v>2608</v>
      </c>
      <c r="K579" s="3"/>
      <c r="L579" s="3" t="s">
        <v>2609</v>
      </c>
      <c r="M579" s="3" t="str">
        <f>HYPERLINK("https://ceds.ed.gov/cedselementdetails.aspx?termid=5985")</f>
        <v>https://ceds.ed.gov/cedselementdetails.aspx?termid=5985</v>
      </c>
      <c r="N579" s="3" t="str">
        <f>HYPERLINK("https://ceds.ed.gov/elementComment.aspx?elementName=Facility Licensing Status &amp;elementID=5985", "Click here to submit comment")</f>
        <v>Click here to submit comment</v>
      </c>
    </row>
    <row r="580" spans="1:14" ht="75">
      <c r="A580" s="3" t="s">
        <v>2610</v>
      </c>
      <c r="B580" s="3" t="s">
        <v>2611</v>
      </c>
      <c r="C580" s="4" t="s">
        <v>6503</v>
      </c>
      <c r="D580" s="3" t="s">
        <v>2612</v>
      </c>
      <c r="E580" s="3" t="s">
        <v>65</v>
      </c>
      <c r="F580" s="3"/>
      <c r="G580" s="3"/>
      <c r="H580" s="3"/>
      <c r="I580" s="3"/>
      <c r="J580" s="3" t="s">
        <v>2613</v>
      </c>
      <c r="K580" s="3"/>
      <c r="L580" s="3" t="s">
        <v>2614</v>
      </c>
      <c r="M580" s="3" t="str">
        <f>HYPERLINK("https://ceds.ed.gov/cedselementdetails.aspx?termid=5834")</f>
        <v>https://ceds.ed.gov/cedselementdetails.aspx?termid=5834</v>
      </c>
      <c r="N580" s="3" t="str">
        <f>HYPERLINK("https://ceds.ed.gov/elementComment.aspx?elementName=Facility Profit Status &amp;elementID=5834", "Click here to submit comment")</f>
        <v>Click here to submit comment</v>
      </c>
    </row>
    <row r="581" spans="1:14" ht="45">
      <c r="A581" s="3" t="s">
        <v>2615</v>
      </c>
      <c r="B581" s="3" t="s">
        <v>2616</v>
      </c>
      <c r="C581" s="3" t="s">
        <v>13</v>
      </c>
      <c r="D581" s="3" t="s">
        <v>1509</v>
      </c>
      <c r="E581" s="3"/>
      <c r="F581" s="3"/>
      <c r="G581" s="3" t="s">
        <v>93</v>
      </c>
      <c r="H581" s="3"/>
      <c r="I581" s="3"/>
      <c r="J581" s="3" t="s">
        <v>2617</v>
      </c>
      <c r="K581" s="3"/>
      <c r="L581" s="3" t="s">
        <v>2618</v>
      </c>
      <c r="M581" s="3" t="str">
        <f>HYPERLINK("https://ceds.ed.gov/cedselementdetails.aspx?termid=6174")</f>
        <v>https://ceds.ed.gov/cedselementdetails.aspx?termid=6174</v>
      </c>
      <c r="N581" s="3" t="str">
        <f>HYPERLINK("https://ceds.ed.gov/elementComment.aspx?elementName=Facility Space Description &amp;elementID=6174", "Click here to submit comment")</f>
        <v>Click here to submit comment</v>
      </c>
    </row>
    <row r="582" spans="1:14" ht="255">
      <c r="A582" s="3" t="s">
        <v>2619</v>
      </c>
      <c r="B582" s="3" t="s">
        <v>2620</v>
      </c>
      <c r="C582" s="4" t="s">
        <v>6504</v>
      </c>
      <c r="D582" s="3" t="s">
        <v>1509</v>
      </c>
      <c r="E582" s="3"/>
      <c r="F582" s="3"/>
      <c r="G582" s="3"/>
      <c r="H582" s="3"/>
      <c r="I582" s="3"/>
      <c r="J582" s="3" t="s">
        <v>2621</v>
      </c>
      <c r="K582" s="3"/>
      <c r="L582" s="3" t="s">
        <v>2622</v>
      </c>
      <c r="M582" s="3" t="str">
        <f>HYPERLINK("https://ceds.ed.gov/cedselementdetails.aspx?termid=6175")</f>
        <v>https://ceds.ed.gov/cedselementdetails.aspx?termid=6175</v>
      </c>
      <c r="N582" s="3" t="str">
        <f>HYPERLINK("https://ceds.ed.gov/elementComment.aspx?elementName=Facility Space Use Type &amp;elementID=6175", "Click here to submit comment")</f>
        <v>Click here to submit comment</v>
      </c>
    </row>
    <row r="583" spans="1:14" ht="120">
      <c r="A583" s="3" t="s">
        <v>2623</v>
      </c>
      <c r="B583" s="3" t="s">
        <v>2624</v>
      </c>
      <c r="C583" s="4" t="s">
        <v>6505</v>
      </c>
      <c r="D583" s="3" t="s">
        <v>2625</v>
      </c>
      <c r="E583" s="3" t="s">
        <v>6051</v>
      </c>
      <c r="F583" s="3"/>
      <c r="G583" s="3"/>
      <c r="H583" s="3"/>
      <c r="I583" s="3"/>
      <c r="J583" s="3" t="s">
        <v>2626</v>
      </c>
      <c r="K583" s="3"/>
      <c r="L583" s="3" t="s">
        <v>2627</v>
      </c>
      <c r="M583" s="3" t="str">
        <f>HYPERLINK("https://ceds.ed.gov/cedselementdetails.aspx?termid=5582")</f>
        <v>https://ceds.ed.gov/cedselementdetails.aspx?termid=5582</v>
      </c>
      <c r="N583" s="3" t="str">
        <f>HYPERLINK("https://ceds.ed.gov/elementComment.aspx?elementName=Faculty and Administration Performance Level &amp;elementID=5582", "Click here to submit comment")</f>
        <v>Click here to submit comment</v>
      </c>
    </row>
    <row r="584" spans="1:14" ht="405">
      <c r="A584" s="3" t="s">
        <v>2628</v>
      </c>
      <c r="B584" s="3" t="s">
        <v>2629</v>
      </c>
      <c r="C584" s="3" t="s">
        <v>5963</v>
      </c>
      <c r="D584" s="3" t="s">
        <v>35</v>
      </c>
      <c r="E584" s="3" t="s">
        <v>36</v>
      </c>
      <c r="F584" s="3"/>
      <c r="G584" s="3"/>
      <c r="H584" s="3"/>
      <c r="I584" s="3" t="s">
        <v>2630</v>
      </c>
      <c r="J584" s="3" t="s">
        <v>2631</v>
      </c>
      <c r="K584" s="3"/>
      <c r="L584" s="3" t="s">
        <v>2632</v>
      </c>
      <c r="M584" s="3" t="str">
        <f>HYPERLINK("https://ceds.ed.gov/cedselementdetails.aspx?termid=5711")</f>
        <v>https://ceds.ed.gov/cedselementdetails.aspx?termid=5711</v>
      </c>
      <c r="N584" s="3" t="str">
        <f>HYPERLINK("https://ceds.ed.gov/elementComment.aspx?elementName=Faculty Status &amp;elementID=5711", "Click here to submit comment")</f>
        <v>Click here to submit comment</v>
      </c>
    </row>
    <row r="585" spans="1:14" ht="45">
      <c r="A585" s="3" t="s">
        <v>2633</v>
      </c>
      <c r="B585" s="3" t="s">
        <v>2634</v>
      </c>
      <c r="C585" s="3" t="s">
        <v>5963</v>
      </c>
      <c r="D585" s="3" t="s">
        <v>6081</v>
      </c>
      <c r="E585" s="3"/>
      <c r="F585" s="3" t="s">
        <v>54</v>
      </c>
      <c r="G585" s="3"/>
      <c r="H585" s="3"/>
      <c r="I585" s="3"/>
      <c r="J585" s="3" t="s">
        <v>2635</v>
      </c>
      <c r="K585" s="3"/>
      <c r="L585" s="3" t="s">
        <v>2636</v>
      </c>
      <c r="M585" s="3" t="str">
        <f>HYPERLINK("https://ceds.ed.gov/cedselementdetails.aspx?termid=6311")</f>
        <v>https://ceds.ed.gov/cedselementdetails.aspx?termid=6311</v>
      </c>
      <c r="N585" s="3" t="str">
        <f>HYPERLINK("https://ceds.ed.gov/elementComment.aspx?elementName=Family and Consumer Sciences Course Indicator &amp;elementID=6311", "Click here to submit comment")</f>
        <v>Click here to submit comment</v>
      </c>
    </row>
    <row r="586" spans="1:14" ht="60">
      <c r="A586" s="3" t="s">
        <v>2637</v>
      </c>
      <c r="B586" s="3" t="s">
        <v>2638</v>
      </c>
      <c r="C586" s="3" t="s">
        <v>13</v>
      </c>
      <c r="D586" s="3" t="s">
        <v>2639</v>
      </c>
      <c r="E586" s="3" t="s">
        <v>6095</v>
      </c>
      <c r="F586" s="3"/>
      <c r="G586" s="3" t="s">
        <v>100</v>
      </c>
      <c r="H586" s="3"/>
      <c r="I586" s="3"/>
      <c r="J586" s="3" t="s">
        <v>2640</v>
      </c>
      <c r="K586" s="3"/>
      <c r="L586" s="3" t="s">
        <v>2641</v>
      </c>
      <c r="M586" s="3" t="str">
        <f>HYPERLINK("https://ceds.ed.gov/cedselementdetails.aspx?termid=5784")</f>
        <v>https://ceds.ed.gov/cedselementdetails.aspx?termid=5784</v>
      </c>
      <c r="N586" s="3" t="str">
        <f>HYPERLINK("https://ceds.ed.gov/elementComment.aspx?elementName=Family Identifier &amp;elementID=5784", "Click here to submit comment")</f>
        <v>Click here to submit comment</v>
      </c>
    </row>
    <row r="587" spans="1:14" ht="409.5">
      <c r="A587" s="3" t="s">
        <v>2642</v>
      </c>
      <c r="B587" s="3" t="s">
        <v>2643</v>
      </c>
      <c r="C587" s="3" t="s">
        <v>13</v>
      </c>
      <c r="D587" s="3" t="s">
        <v>2644</v>
      </c>
      <c r="E587" s="3" t="s">
        <v>5988</v>
      </c>
      <c r="F587" s="3" t="s">
        <v>66</v>
      </c>
      <c r="G587" s="3" t="s">
        <v>1461</v>
      </c>
      <c r="H587" s="3" t="s">
        <v>2645</v>
      </c>
      <c r="I587" s="3" t="s">
        <v>2646</v>
      </c>
      <c r="J587" s="3" t="s">
        <v>2647</v>
      </c>
      <c r="K587" s="3"/>
      <c r="L587" s="3" t="s">
        <v>2648</v>
      </c>
      <c r="M587" s="3" t="str">
        <f>HYPERLINK("https://ceds.ed.gov/cedselementdetails.aspx?termid=5331")</f>
        <v>https://ceds.ed.gov/cedselementdetails.aspx?termid=5331</v>
      </c>
      <c r="N587" s="3" t="str">
        <f>HYPERLINK("https://ceds.ed.gov/elementComment.aspx?elementName=Family Income &amp;elementID=5331", "Click here to submit comment")</f>
        <v>Click here to submit comment</v>
      </c>
    </row>
    <row r="588" spans="1:14" ht="165">
      <c r="A588" s="3" t="s">
        <v>2649</v>
      </c>
      <c r="B588" s="3" t="s">
        <v>2650</v>
      </c>
      <c r="C588" s="4" t="s">
        <v>6506</v>
      </c>
      <c r="D588" s="3" t="s">
        <v>1536</v>
      </c>
      <c r="E588" s="3"/>
      <c r="F588" s="3"/>
      <c r="G588" s="3"/>
      <c r="H588" s="3"/>
      <c r="I588" s="3"/>
      <c r="J588" s="3" t="s">
        <v>2651</v>
      </c>
      <c r="K588" s="3"/>
      <c r="L588" s="3" t="s">
        <v>2652</v>
      </c>
      <c r="M588" s="3" t="str">
        <f>HYPERLINK("https://ceds.ed.gov/cedselementdetails.aspx?termid=6195")</f>
        <v>https://ceds.ed.gov/cedselementdetails.aspx?termid=6195</v>
      </c>
      <c r="N588" s="3" t="str">
        <f>HYPERLINK("https://ceds.ed.gov/elementComment.aspx?elementName=Father's or Paternal Guardian Education &amp;elementID=6195", "Click here to submit comment")</f>
        <v>Click here to submit comment</v>
      </c>
    </row>
    <row r="589" spans="1:14" ht="90">
      <c r="A589" s="3" t="s">
        <v>2653</v>
      </c>
      <c r="B589" s="3" t="s">
        <v>2654</v>
      </c>
      <c r="C589" s="3" t="s">
        <v>13</v>
      </c>
      <c r="D589" s="3" t="s">
        <v>6169</v>
      </c>
      <c r="E589" s="3" t="s">
        <v>218</v>
      </c>
      <c r="F589" s="3" t="s">
        <v>3</v>
      </c>
      <c r="G589" s="3"/>
      <c r="H589" s="3"/>
      <c r="I589" s="3"/>
      <c r="J589" s="3" t="s">
        <v>2655</v>
      </c>
      <c r="K589" s="3"/>
      <c r="L589" s="3" t="s">
        <v>2656</v>
      </c>
      <c r="M589" s="3" t="str">
        <f>HYPERLINK("https://ceds.ed.gov/cedselementdetails.aspx?termid=5538")</f>
        <v>https://ceds.ed.gov/cedselementdetails.aspx?termid=5538</v>
      </c>
      <c r="N589" s="3" t="str">
        <f>HYPERLINK("https://ceds.ed.gov/elementComment.aspx?elementName=Federal Program Code &amp;elementID=5538", "Click here to submit comment")</f>
        <v>Click here to submit comment</v>
      </c>
    </row>
    <row r="590" spans="1:14" ht="135">
      <c r="A590" s="3" t="s">
        <v>2657</v>
      </c>
      <c r="B590" s="3" t="s">
        <v>2658</v>
      </c>
      <c r="C590" s="3" t="s">
        <v>13</v>
      </c>
      <c r="D590" s="3" t="s">
        <v>6170</v>
      </c>
      <c r="E590" s="3" t="s">
        <v>218</v>
      </c>
      <c r="F590" s="3" t="s">
        <v>3</v>
      </c>
      <c r="G590" s="3" t="s">
        <v>1461</v>
      </c>
      <c r="H590" s="3"/>
      <c r="I590" s="3"/>
      <c r="J590" s="3" t="s">
        <v>2659</v>
      </c>
      <c r="K590" s="3"/>
      <c r="L590" s="3" t="s">
        <v>2660</v>
      </c>
      <c r="M590" s="3" t="str">
        <f>HYPERLINK("https://ceds.ed.gov/cedselementdetails.aspx?termid=5540")</f>
        <v>https://ceds.ed.gov/cedselementdetails.aspx?termid=5540</v>
      </c>
      <c r="N590" s="3" t="str">
        <f>HYPERLINK("https://ceds.ed.gov/elementComment.aspx?elementName=Federal Programs Funding Allocation &amp;elementID=5540", "Click here to submit comment")</f>
        <v>Click here to submit comment</v>
      </c>
    </row>
    <row r="591" spans="1:14" ht="135">
      <c r="A591" s="3" t="s">
        <v>2661</v>
      </c>
      <c r="B591" s="3" t="s">
        <v>2662</v>
      </c>
      <c r="C591" s="4" t="s">
        <v>6507</v>
      </c>
      <c r="D591" s="3" t="s">
        <v>2103</v>
      </c>
      <c r="E591" s="3"/>
      <c r="F591" s="3"/>
      <c r="G591" s="3"/>
      <c r="H591" s="3"/>
      <c r="I591" s="3"/>
      <c r="J591" s="3" t="s">
        <v>2663</v>
      </c>
      <c r="K591" s="3"/>
      <c r="L591" s="3" t="s">
        <v>2664</v>
      </c>
      <c r="M591" s="3" t="str">
        <f>HYPERLINK("https://ceds.ed.gov/cedselementdetails.aspx?termid=5539")</f>
        <v>https://ceds.ed.gov/cedselementdetails.aspx?termid=5539</v>
      </c>
      <c r="N591" s="3" t="str">
        <f>HYPERLINK("https://ceds.ed.gov/elementComment.aspx?elementName=Federal Programs Funding Allocation Type &amp;elementID=5539", "Click here to submit comment")</f>
        <v>Click here to submit comment</v>
      </c>
    </row>
    <row r="592" spans="1:14" ht="135">
      <c r="A592" s="3" t="s">
        <v>2665</v>
      </c>
      <c r="B592" s="3" t="s">
        <v>2666</v>
      </c>
      <c r="C592" s="3" t="s">
        <v>2667</v>
      </c>
      <c r="D592" s="3" t="s">
        <v>1606</v>
      </c>
      <c r="E592" s="3" t="s">
        <v>1537</v>
      </c>
      <c r="F592" s="3"/>
      <c r="G592" s="3"/>
      <c r="H592" s="3"/>
      <c r="I592" s="3"/>
      <c r="J592" s="3" t="s">
        <v>2668</v>
      </c>
      <c r="K592" s="3"/>
      <c r="L592" s="3" t="s">
        <v>2669</v>
      </c>
      <c r="M592" s="3" t="str">
        <f>HYPERLINK("https://ceds.ed.gov/cedselementdetails.aspx?termid=5111")</f>
        <v>https://ceds.ed.gov/cedselementdetails.aspx?termid=5111</v>
      </c>
      <c r="N592" s="3" t="str">
        <f>HYPERLINK("https://ceds.ed.gov/elementComment.aspx?elementName=Federal School Code &amp;elementID=5111", "Click here to submit comment")</f>
        <v>Click here to submit comment</v>
      </c>
    </row>
    <row r="593" spans="1:14" ht="105">
      <c r="A593" s="3" t="s">
        <v>2670</v>
      </c>
      <c r="B593" s="3" t="s">
        <v>2671</v>
      </c>
      <c r="C593" s="4" t="s">
        <v>6508</v>
      </c>
      <c r="D593" s="3" t="s">
        <v>6171</v>
      </c>
      <c r="E593" s="3"/>
      <c r="F593" s="3" t="s">
        <v>54</v>
      </c>
      <c r="G593" s="3"/>
      <c r="H593" s="3"/>
      <c r="I593" s="3"/>
      <c r="J593" s="3" t="s">
        <v>2672</v>
      </c>
      <c r="K593" s="3"/>
      <c r="L593" s="3" t="s">
        <v>2673</v>
      </c>
      <c r="M593" s="3" t="str">
        <f>HYPERLINK("https://ceds.ed.gov/cedselementdetails.aspx?termid=6312")</f>
        <v>https://ceds.ed.gov/cedselementdetails.aspx?termid=6312</v>
      </c>
      <c r="N593" s="3" t="str">
        <f>HYPERLINK("https://ceds.ed.gov/elementComment.aspx?elementName=Financial Account Category &amp;elementID=6312", "Click here to submit comment")</f>
        <v>Click here to submit comment</v>
      </c>
    </row>
    <row r="594" spans="1:14" ht="105">
      <c r="A594" s="3" t="s">
        <v>2674</v>
      </c>
      <c r="B594" s="3" t="s">
        <v>2675</v>
      </c>
      <c r="C594" s="3" t="s">
        <v>13</v>
      </c>
      <c r="D594" s="3" t="s">
        <v>6171</v>
      </c>
      <c r="E594" s="3"/>
      <c r="F594" s="3" t="s">
        <v>54</v>
      </c>
      <c r="G594" s="3" t="s">
        <v>93</v>
      </c>
      <c r="H594" s="3"/>
      <c r="I594" s="3"/>
      <c r="J594" s="3" t="s">
        <v>2676</v>
      </c>
      <c r="K594" s="3"/>
      <c r="L594" s="3" t="s">
        <v>2677</v>
      </c>
      <c r="M594" s="3" t="str">
        <f>HYPERLINK("https://ceds.ed.gov/cedselementdetails.aspx?termid=6313")</f>
        <v>https://ceds.ed.gov/cedselementdetails.aspx?termid=6313</v>
      </c>
      <c r="N594" s="3" t="str">
        <f>HYPERLINK("https://ceds.ed.gov/elementComment.aspx?elementName=Financial Account Description &amp;elementID=6313", "Click here to submit comment")</f>
        <v>Click here to submit comment</v>
      </c>
    </row>
    <row r="595" spans="1:14" ht="150">
      <c r="A595" s="3" t="s">
        <v>2678</v>
      </c>
      <c r="B595" s="3" t="s">
        <v>2679</v>
      </c>
      <c r="C595" s="4" t="s">
        <v>6509</v>
      </c>
      <c r="D595" s="3" t="s">
        <v>6171</v>
      </c>
      <c r="E595" s="3"/>
      <c r="F595" s="3" t="s">
        <v>54</v>
      </c>
      <c r="G595" s="3"/>
      <c r="H595" s="3"/>
      <c r="I595" s="3" t="s">
        <v>2680</v>
      </c>
      <c r="J595" s="3" t="s">
        <v>2681</v>
      </c>
      <c r="K595" s="3"/>
      <c r="L595" s="3" t="s">
        <v>2682</v>
      </c>
      <c r="M595" s="3" t="str">
        <f>HYPERLINK("https://ceds.ed.gov/cedselementdetails.aspx?termid=6314")</f>
        <v>https://ceds.ed.gov/cedselementdetails.aspx?termid=6314</v>
      </c>
      <c r="N595" s="3" t="str">
        <f>HYPERLINK("https://ceds.ed.gov/elementComment.aspx?elementName=Financial Account Fund Classification &amp;elementID=6314", "Click here to submit comment")</f>
        <v>Click here to submit comment</v>
      </c>
    </row>
    <row r="596" spans="1:14" ht="105">
      <c r="A596" s="3" t="s">
        <v>2683</v>
      </c>
      <c r="B596" s="3" t="s">
        <v>2684</v>
      </c>
      <c r="C596" s="3" t="s">
        <v>13</v>
      </c>
      <c r="D596" s="3" t="s">
        <v>6171</v>
      </c>
      <c r="E596" s="3"/>
      <c r="F596" s="3" t="s">
        <v>54</v>
      </c>
      <c r="G596" s="3" t="s">
        <v>745</v>
      </c>
      <c r="H596" s="3"/>
      <c r="I596" s="3"/>
      <c r="J596" s="3" t="s">
        <v>2685</v>
      </c>
      <c r="K596" s="3"/>
      <c r="L596" s="3" t="s">
        <v>2686</v>
      </c>
      <c r="M596" s="3" t="str">
        <f>HYPERLINK("https://ceds.ed.gov/cedselementdetails.aspx?termid=6315")</f>
        <v>https://ceds.ed.gov/cedselementdetails.aspx?termid=6315</v>
      </c>
      <c r="N596" s="3" t="str">
        <f>HYPERLINK("https://ceds.ed.gov/elementComment.aspx?elementName=Financial Account Name &amp;elementID=6315", "Click here to submit comment")</f>
        <v>Click here to submit comment</v>
      </c>
    </row>
    <row r="597" spans="1:14" ht="240">
      <c r="A597" s="3" t="s">
        <v>2687</v>
      </c>
      <c r="B597" s="3" t="s">
        <v>2688</v>
      </c>
      <c r="C597" s="4" t="s">
        <v>6510</v>
      </c>
      <c r="D597" s="3" t="s">
        <v>6171</v>
      </c>
      <c r="E597" s="3"/>
      <c r="F597" s="3" t="s">
        <v>54</v>
      </c>
      <c r="G597" s="3"/>
      <c r="H597" s="3"/>
      <c r="I597" s="3"/>
      <c r="J597" s="3" t="s">
        <v>2689</v>
      </c>
      <c r="K597" s="3"/>
      <c r="L597" s="3" t="s">
        <v>2690</v>
      </c>
      <c r="M597" s="3" t="str">
        <f>HYPERLINK("https://ceds.ed.gov/cedselementdetails.aspx?termid=6316")</f>
        <v>https://ceds.ed.gov/cedselementdetails.aspx?termid=6316</v>
      </c>
      <c r="N597" s="3" t="str">
        <f>HYPERLINK("https://ceds.ed.gov/elementComment.aspx?elementName=Financial Account Program Code &amp;elementID=6316", "Click here to submit comment")</f>
        <v>Click here to submit comment</v>
      </c>
    </row>
    <row r="598" spans="1:14" ht="105">
      <c r="A598" s="3" t="s">
        <v>2691</v>
      </c>
      <c r="B598" s="3" t="s">
        <v>2692</v>
      </c>
      <c r="C598" s="3" t="s">
        <v>13</v>
      </c>
      <c r="D598" s="3" t="s">
        <v>6171</v>
      </c>
      <c r="E598" s="3"/>
      <c r="F598" s="3" t="s">
        <v>54</v>
      </c>
      <c r="G598" s="3" t="s">
        <v>1461</v>
      </c>
      <c r="H598" s="3"/>
      <c r="I598" s="3"/>
      <c r="J598" s="3" t="s">
        <v>2693</v>
      </c>
      <c r="K598" s="3"/>
      <c r="L598" s="3" t="s">
        <v>2694</v>
      </c>
      <c r="M598" s="3" t="str">
        <f>HYPERLINK("https://ceds.ed.gov/cedselementdetails.aspx?termid=6317")</f>
        <v>https://ceds.ed.gov/cedselementdetails.aspx?termid=6317</v>
      </c>
      <c r="N598" s="3" t="str">
        <f>HYPERLINK("https://ceds.ed.gov/elementComment.aspx?elementName=Financial Accounting Period Actual Value &amp;elementID=6317", "Click here to submit comment")</f>
        <v>Click here to submit comment</v>
      </c>
    </row>
    <row r="599" spans="1:14" ht="105">
      <c r="A599" s="3" t="s">
        <v>2695</v>
      </c>
      <c r="B599" s="3" t="s">
        <v>2696</v>
      </c>
      <c r="C599" s="3" t="s">
        <v>13</v>
      </c>
      <c r="D599" s="3" t="s">
        <v>6171</v>
      </c>
      <c r="E599" s="3"/>
      <c r="F599" s="3" t="s">
        <v>54</v>
      </c>
      <c r="G599" s="3" t="s">
        <v>1461</v>
      </c>
      <c r="H599" s="3"/>
      <c r="I599" s="3"/>
      <c r="J599" s="3" t="s">
        <v>2697</v>
      </c>
      <c r="K599" s="3"/>
      <c r="L599" s="3" t="s">
        <v>2698</v>
      </c>
      <c r="M599" s="3" t="str">
        <f>HYPERLINK("https://ceds.ed.gov/cedselementdetails.aspx?termid=6318")</f>
        <v>https://ceds.ed.gov/cedselementdetails.aspx?termid=6318</v>
      </c>
      <c r="N599" s="3" t="str">
        <f>HYPERLINK("https://ceds.ed.gov/elementComment.aspx?elementName=Financial Accounting Period Budgeted Value &amp;elementID=6318", "Click here to submit comment")</f>
        <v>Click here to submit comment</v>
      </c>
    </row>
    <row r="600" spans="1:14" ht="30" customHeight="1">
      <c r="A600" s="16" t="s">
        <v>2699</v>
      </c>
      <c r="B600" s="16" t="s">
        <v>2700</v>
      </c>
      <c r="C600" s="16" t="s">
        <v>5963</v>
      </c>
      <c r="D600" s="16" t="s">
        <v>2701</v>
      </c>
      <c r="E600" s="16" t="s">
        <v>237</v>
      </c>
      <c r="F600" s="16"/>
      <c r="G600" s="16"/>
      <c r="H600" s="16"/>
      <c r="I600" s="3" t="s">
        <v>2702</v>
      </c>
      <c r="J600" s="16" t="s">
        <v>2704</v>
      </c>
      <c r="K600" s="16"/>
      <c r="L600" s="16" t="s">
        <v>2705</v>
      </c>
      <c r="M600" s="16" t="str">
        <f>HYPERLINK("https://ceds.ed.gov/cedselementdetails.aspx?termid=5745")</f>
        <v>https://ceds.ed.gov/cedselementdetails.aspx?termid=5745</v>
      </c>
      <c r="N600" s="16" t="str">
        <f>HYPERLINK("https://ceds.ed.gov/elementComment.aspx?elementName=Financial Aid Applicant &amp;elementID=5745", "Click here to submit comment")</f>
        <v>Click here to submit comment</v>
      </c>
    </row>
    <row r="601" spans="1:14" ht="45">
      <c r="A601" s="16"/>
      <c r="B601" s="16"/>
      <c r="C601" s="16"/>
      <c r="D601" s="16"/>
      <c r="E601" s="16"/>
      <c r="F601" s="16"/>
      <c r="G601" s="16"/>
      <c r="H601" s="16"/>
      <c r="I601" s="3" t="s">
        <v>2703</v>
      </c>
      <c r="J601" s="16"/>
      <c r="K601" s="16"/>
      <c r="L601" s="16"/>
      <c r="M601" s="16"/>
      <c r="N601" s="16"/>
    </row>
    <row r="602" spans="1:14" ht="120">
      <c r="A602" s="3" t="s">
        <v>2706</v>
      </c>
      <c r="B602" s="3" t="s">
        <v>2707</v>
      </c>
      <c r="C602" s="4" t="s">
        <v>6511</v>
      </c>
      <c r="D602" s="3" t="s">
        <v>2701</v>
      </c>
      <c r="E602" s="3" t="s">
        <v>237</v>
      </c>
      <c r="F602" s="3"/>
      <c r="G602" s="3"/>
      <c r="H602" s="3"/>
      <c r="I602" s="3" t="s">
        <v>2708</v>
      </c>
      <c r="J602" s="3" t="s">
        <v>2709</v>
      </c>
      <c r="K602" s="3"/>
      <c r="L602" s="3" t="s">
        <v>2710</v>
      </c>
      <c r="M602" s="3" t="str">
        <f>HYPERLINK("https://ceds.ed.gov/cedselementdetails.aspx?termid=6186")</f>
        <v>https://ceds.ed.gov/cedselementdetails.aspx?termid=6186</v>
      </c>
      <c r="N602" s="3" t="str">
        <f>HYPERLINK("https://ceds.ed.gov/elementComment.aspx?elementName=Financial Aid Application Type &amp;elementID=6186", "Click here to submit comment")</f>
        <v>Click here to submit comment</v>
      </c>
    </row>
    <row r="603" spans="1:14" ht="75">
      <c r="A603" s="3" t="s">
        <v>2711</v>
      </c>
      <c r="B603" s="3" t="s">
        <v>2712</v>
      </c>
      <c r="C603" s="3" t="s">
        <v>13</v>
      </c>
      <c r="D603" s="3" t="s">
        <v>2701</v>
      </c>
      <c r="E603" s="3" t="s">
        <v>6172</v>
      </c>
      <c r="F603" s="3"/>
      <c r="G603" s="3" t="s">
        <v>1461</v>
      </c>
      <c r="H603" s="3"/>
      <c r="I603" s="3" t="s">
        <v>2713</v>
      </c>
      <c r="J603" s="3" t="s">
        <v>2714</v>
      </c>
      <c r="K603" s="3"/>
      <c r="L603" s="3" t="s">
        <v>2715</v>
      </c>
      <c r="M603" s="3" t="str">
        <f>HYPERLINK("https://ceds.ed.gov/cedselementdetails.aspx?termid=5112")</f>
        <v>https://ceds.ed.gov/cedselementdetails.aspx?termid=5112</v>
      </c>
      <c r="N603" s="3" t="str">
        <f>HYPERLINK("https://ceds.ed.gov/elementComment.aspx?elementName=Financial Aid Award Amount &amp;elementID=5112", "Click here to submit comment")</f>
        <v>Click here to submit comment</v>
      </c>
    </row>
    <row r="604" spans="1:14" ht="75">
      <c r="A604" s="3" t="s">
        <v>2716</v>
      </c>
      <c r="B604" s="3" t="s">
        <v>2717</v>
      </c>
      <c r="C604" s="3" t="s">
        <v>6173</v>
      </c>
      <c r="D604" s="3" t="s">
        <v>2701</v>
      </c>
      <c r="E604" s="3" t="s">
        <v>6172</v>
      </c>
      <c r="F604" s="3"/>
      <c r="G604" s="3"/>
      <c r="H604" s="3"/>
      <c r="I604" s="3" t="s">
        <v>2718</v>
      </c>
      <c r="J604" s="3" t="s">
        <v>2719</v>
      </c>
      <c r="K604" s="3"/>
      <c r="L604" s="3" t="s">
        <v>2720</v>
      </c>
      <c r="M604" s="3" t="str">
        <f>HYPERLINK("https://ceds.ed.gov/cedselementdetails.aspx?termid=5362")</f>
        <v>https://ceds.ed.gov/cedselementdetails.aspx?termid=5362</v>
      </c>
      <c r="N604" s="3" t="str">
        <f>HYPERLINK("https://ceds.ed.gov/elementComment.aspx?elementName=Financial Aid Award Status &amp;elementID=5362", "Click here to submit comment")</f>
        <v>Click here to submit comment</v>
      </c>
    </row>
    <row r="605" spans="1:14" ht="409.5">
      <c r="A605" s="3" t="s">
        <v>2721</v>
      </c>
      <c r="B605" s="3" t="s">
        <v>2722</v>
      </c>
      <c r="C605" s="4" t="s">
        <v>6512</v>
      </c>
      <c r="D605" s="3" t="s">
        <v>2701</v>
      </c>
      <c r="E605" s="3" t="s">
        <v>6172</v>
      </c>
      <c r="F605" s="3"/>
      <c r="G605" s="3"/>
      <c r="H605" s="3"/>
      <c r="I605" s="3" t="s">
        <v>2723</v>
      </c>
      <c r="J605" s="3" t="s">
        <v>2724</v>
      </c>
      <c r="K605" s="3"/>
      <c r="L605" s="3" t="s">
        <v>2725</v>
      </c>
      <c r="M605" s="3" t="str">
        <f>HYPERLINK("https://ceds.ed.gov/cedselementdetails.aspx?termid=5113")</f>
        <v>https://ceds.ed.gov/cedselementdetails.aspx?termid=5113</v>
      </c>
      <c r="N605" s="3" t="str">
        <f>HYPERLINK("https://ceds.ed.gov/elementComment.aspx?elementName=Financial Aid Award Type &amp;elementID=5113", "Click here to submit comment")</f>
        <v>Click here to submit comment</v>
      </c>
    </row>
    <row r="606" spans="1:14" ht="150">
      <c r="A606" s="3" t="s">
        <v>2726</v>
      </c>
      <c r="B606" s="3" t="s">
        <v>2727</v>
      </c>
      <c r="C606" s="3" t="s">
        <v>13</v>
      </c>
      <c r="D606" s="3" t="s">
        <v>2701</v>
      </c>
      <c r="E606" s="3"/>
      <c r="F606" s="3" t="s">
        <v>54</v>
      </c>
      <c r="G606" s="3" t="s">
        <v>1461</v>
      </c>
      <c r="H606" s="3"/>
      <c r="I606" s="3"/>
      <c r="J606" s="3" t="s">
        <v>2728</v>
      </c>
      <c r="K606" s="3"/>
      <c r="L606" s="3" t="s">
        <v>2729</v>
      </c>
      <c r="M606" s="3" t="str">
        <f>HYPERLINK("https://ceds.ed.gov/cedselementdetails.aspx?termid=6319")</f>
        <v>https://ceds.ed.gov/cedselementdetails.aspx?termid=6319</v>
      </c>
      <c r="N606" s="3" t="str">
        <f>HYPERLINK("https://ceds.ed.gov/elementComment.aspx?elementName=Financial Aid Income Level &amp;elementID=6319", "Click here to submit comment")</f>
        <v>Click here to submit comment</v>
      </c>
    </row>
    <row r="607" spans="1:14" ht="409.5">
      <c r="A607" s="3" t="s">
        <v>2730</v>
      </c>
      <c r="B607" s="3" t="s">
        <v>2731</v>
      </c>
      <c r="C607" s="4" t="s">
        <v>6513</v>
      </c>
      <c r="D607" s="3" t="s">
        <v>6171</v>
      </c>
      <c r="E607" s="3"/>
      <c r="F607" s="3" t="s">
        <v>54</v>
      </c>
      <c r="G607" s="3"/>
      <c r="H607" s="3"/>
      <c r="I607" s="3" t="s">
        <v>2732</v>
      </c>
      <c r="J607" s="3" t="s">
        <v>2733</v>
      </c>
      <c r="K607" s="3"/>
      <c r="L607" s="3" t="s">
        <v>2734</v>
      </c>
      <c r="M607" s="3" t="str">
        <f>HYPERLINK("https://ceds.ed.gov/cedselementdetails.aspx?termid=6320")</f>
        <v>https://ceds.ed.gov/cedselementdetails.aspx?termid=6320</v>
      </c>
      <c r="N607" s="3" t="str">
        <f>HYPERLINK("https://ceds.ed.gov/elementComment.aspx?elementName=Financial Balance Sheet Account Code &amp;elementID=6320", "Click here to submit comment")</f>
        <v>Click here to submit comment</v>
      </c>
    </row>
    <row r="608" spans="1:14" ht="409.5">
      <c r="A608" s="3" t="s">
        <v>2735</v>
      </c>
      <c r="B608" s="3" t="s">
        <v>2736</v>
      </c>
      <c r="C608" s="4" t="s">
        <v>6514</v>
      </c>
      <c r="D608" s="3" t="s">
        <v>6171</v>
      </c>
      <c r="E608" s="3"/>
      <c r="F608" s="3" t="s">
        <v>54</v>
      </c>
      <c r="G608" s="3"/>
      <c r="H608" s="3"/>
      <c r="I608" s="3" t="s">
        <v>2732</v>
      </c>
      <c r="J608" s="3" t="s">
        <v>2737</v>
      </c>
      <c r="K608" s="3"/>
      <c r="L608" s="3" t="s">
        <v>2738</v>
      </c>
      <c r="M608" s="3" t="str">
        <f>HYPERLINK("https://ceds.ed.gov/cedselementdetails.aspx?termid=6321")</f>
        <v>https://ceds.ed.gov/cedselementdetails.aspx?termid=6321</v>
      </c>
      <c r="N608" s="3" t="str">
        <f>HYPERLINK("https://ceds.ed.gov/elementComment.aspx?elementName=Financial Expenditure Function Code &amp;elementID=6321", "Click here to submit comment")</f>
        <v>Click here to submit comment</v>
      </c>
    </row>
    <row r="609" spans="1:14" ht="409.5">
      <c r="A609" s="3" t="s">
        <v>2739</v>
      </c>
      <c r="B609" s="3" t="s">
        <v>2740</v>
      </c>
      <c r="C609" s="4" t="s">
        <v>6515</v>
      </c>
      <c r="D609" s="3" t="s">
        <v>6171</v>
      </c>
      <c r="E609" s="3"/>
      <c r="F609" s="3" t="s">
        <v>54</v>
      </c>
      <c r="G609" s="3"/>
      <c r="H609" s="3"/>
      <c r="I609" s="3" t="s">
        <v>2741</v>
      </c>
      <c r="J609" s="3" t="s">
        <v>2742</v>
      </c>
      <c r="K609" s="3"/>
      <c r="L609" s="3" t="s">
        <v>2743</v>
      </c>
      <c r="M609" s="3" t="str">
        <f>HYPERLINK("https://ceds.ed.gov/cedselementdetails.aspx?termid=6322")</f>
        <v>https://ceds.ed.gov/cedselementdetails.aspx?termid=6322</v>
      </c>
      <c r="N609" s="3" t="str">
        <f>HYPERLINK("https://ceds.ed.gov/elementComment.aspx?elementName=Financial Expenditure Object Code &amp;elementID=6322", "Click here to submit comment")</f>
        <v>Click here to submit comment</v>
      </c>
    </row>
    <row r="610" spans="1:14" ht="60">
      <c r="A610" s="3" t="s">
        <v>2744</v>
      </c>
      <c r="B610" s="3" t="s">
        <v>2745</v>
      </c>
      <c r="C610" s="3" t="s">
        <v>13</v>
      </c>
      <c r="D610" s="3" t="s">
        <v>2701</v>
      </c>
      <c r="E610" s="3" t="s">
        <v>237</v>
      </c>
      <c r="F610" s="3"/>
      <c r="G610" s="3" t="s">
        <v>389</v>
      </c>
      <c r="H610" s="3"/>
      <c r="I610" s="3" t="s">
        <v>2746</v>
      </c>
      <c r="J610" s="3" t="s">
        <v>2747</v>
      </c>
      <c r="K610" s="3"/>
      <c r="L610" s="3" t="s">
        <v>2748</v>
      </c>
      <c r="M610" s="3" t="str">
        <f>HYPERLINK("https://ceds.ed.gov/cedselementdetails.aspx?termid=5747")</f>
        <v>https://ceds.ed.gov/cedselementdetails.aspx?termid=5747</v>
      </c>
      <c r="N610" s="3" t="str">
        <f>HYPERLINK("https://ceds.ed.gov/elementComment.aspx?elementName=Financial Need &amp;elementID=5747", "Click here to submit comment")</f>
        <v>Click here to submit comment</v>
      </c>
    </row>
    <row r="611" spans="1:14" ht="45">
      <c r="A611" s="3" t="s">
        <v>2749</v>
      </c>
      <c r="B611" s="3" t="s">
        <v>2750</v>
      </c>
      <c r="C611" s="3" t="s">
        <v>6174</v>
      </c>
      <c r="D611" s="3" t="s">
        <v>2701</v>
      </c>
      <c r="E611" s="3" t="s">
        <v>237</v>
      </c>
      <c r="F611" s="3"/>
      <c r="G611" s="3"/>
      <c r="H611" s="3"/>
      <c r="I611" s="3" t="s">
        <v>2751</v>
      </c>
      <c r="J611" s="3" t="s">
        <v>2752</v>
      </c>
      <c r="K611" s="3"/>
      <c r="L611" s="3" t="s">
        <v>2753</v>
      </c>
      <c r="M611" s="3" t="str">
        <f>HYPERLINK("https://ceds.ed.gov/cedselementdetails.aspx?termid=6188")</f>
        <v>https://ceds.ed.gov/cedselementdetails.aspx?termid=6188</v>
      </c>
      <c r="N611" s="3" t="str">
        <f>HYPERLINK("https://ceds.ed.gov/elementComment.aspx?elementName=Financial Need Determination Methodology &amp;elementID=6188", "Click here to submit comment")</f>
        <v>Click here to submit comment</v>
      </c>
    </row>
    <row r="612" spans="1:14" ht="409.5">
      <c r="A612" s="3" t="s">
        <v>2754</v>
      </c>
      <c r="B612" s="3" t="s">
        <v>2755</v>
      </c>
      <c r="C612" s="4" t="s">
        <v>6516</v>
      </c>
      <c r="D612" s="3"/>
      <c r="E612" s="3"/>
      <c r="F612" s="3" t="s">
        <v>54</v>
      </c>
      <c r="G612" s="3"/>
      <c r="H612" s="3"/>
      <c r="I612" s="3"/>
      <c r="J612" s="3" t="s">
        <v>2756</v>
      </c>
      <c r="K612" s="3"/>
      <c r="L612" s="3" t="s">
        <v>2757</v>
      </c>
      <c r="M612" s="3" t="str">
        <f>HYPERLINK("https://ceds.ed.gov/cedselementdetails.aspx?termid=6440")</f>
        <v>https://ceds.ed.gov/cedselementdetails.aspx?termid=6440</v>
      </c>
      <c r="N612" s="3" t="str">
        <f>HYPERLINK("https://ceds.ed.gov/elementComment.aspx?elementName=Financial Revenue Account Code &amp;elementID=6440", "Click here to submit comment")</f>
        <v>Click here to submit comment</v>
      </c>
    </row>
    <row r="613" spans="1:14" ht="90">
      <c r="A613" s="3" t="s">
        <v>2758</v>
      </c>
      <c r="B613" s="3" t="s">
        <v>2759</v>
      </c>
      <c r="C613" s="4" t="s">
        <v>6517</v>
      </c>
      <c r="D613" s="3" t="s">
        <v>2760</v>
      </c>
      <c r="E613" s="3" t="s">
        <v>218</v>
      </c>
      <c r="F613" s="3"/>
      <c r="G613" s="3"/>
      <c r="H613" s="3"/>
      <c r="I613" s="3"/>
      <c r="J613" s="3" t="s">
        <v>2761</v>
      </c>
      <c r="K613" s="3"/>
      <c r="L613" s="3" t="s">
        <v>2762</v>
      </c>
      <c r="M613" s="3" t="str">
        <f>HYPERLINK("https://ceds.ed.gov/cedselementdetails.aspx?termid=5548")</f>
        <v>https://ceds.ed.gov/cedselementdetails.aspx?termid=5548</v>
      </c>
      <c r="N613" s="3" t="str">
        <f>HYPERLINK("https://ceds.ed.gov/elementComment.aspx?elementName=Firearm Type &amp;elementID=5548", "Click here to submit comment")</f>
        <v>Click here to submit comment</v>
      </c>
    </row>
    <row r="614" spans="1:14" ht="30">
      <c r="A614" s="3" t="s">
        <v>2763</v>
      </c>
      <c r="B614" s="3" t="s">
        <v>2764</v>
      </c>
      <c r="C614" s="3" t="s">
        <v>13</v>
      </c>
      <c r="D614" s="3" t="s">
        <v>1542</v>
      </c>
      <c r="E614" s="3" t="s">
        <v>202</v>
      </c>
      <c r="F614" s="3"/>
      <c r="G614" s="3" t="s">
        <v>73</v>
      </c>
      <c r="H614" s="3"/>
      <c r="I614" s="3"/>
      <c r="J614" s="3" t="s">
        <v>2765</v>
      </c>
      <c r="K614" s="3"/>
      <c r="L614" s="3" t="s">
        <v>2766</v>
      </c>
      <c r="M614" s="3" t="str">
        <f>HYPERLINK("https://ceds.ed.gov/cedselementdetails.aspx?termid=6066")</f>
        <v>https://ceds.ed.gov/cedselementdetails.aspx?termid=6066</v>
      </c>
      <c r="N614" s="3" t="str">
        <f>HYPERLINK("https://ceds.ed.gov/elementComment.aspx?elementName=First Aid Certification Expiration Date &amp;elementID=6066", "Click here to submit comment")</f>
        <v>Click here to submit comment</v>
      </c>
    </row>
    <row r="615" spans="1:14" ht="45">
      <c r="A615" s="3" t="s">
        <v>2767</v>
      </c>
      <c r="B615" s="3" t="s">
        <v>2768</v>
      </c>
      <c r="C615" s="3" t="s">
        <v>13</v>
      </c>
      <c r="D615" s="3" t="s">
        <v>2769</v>
      </c>
      <c r="E615" s="3"/>
      <c r="F615" s="3"/>
      <c r="G615" s="3" t="s">
        <v>73</v>
      </c>
      <c r="H615" s="3"/>
      <c r="I615" s="3"/>
      <c r="J615" s="3" t="s">
        <v>2770</v>
      </c>
      <c r="K615" s="3"/>
      <c r="L615" s="3" t="s">
        <v>2771</v>
      </c>
      <c r="M615" s="3" t="str">
        <f>HYPERLINK("https://ceds.ed.gov/cedselementdetails.aspx?termid=5520")</f>
        <v>https://ceds.ed.gov/cedselementdetails.aspx?termid=5520</v>
      </c>
      <c r="N615" s="3" t="str">
        <f>HYPERLINK("https://ceds.ed.gov/elementComment.aspx?elementName=First Entry Date into a US School &amp;elementID=5520", "Click here to submit comment")</f>
        <v>Click here to submit comment</v>
      </c>
    </row>
    <row r="616" spans="1:14" ht="45">
      <c r="A616" s="3" t="s">
        <v>2772</v>
      </c>
      <c r="B616" s="3" t="s">
        <v>2773</v>
      </c>
      <c r="C616" s="3" t="s">
        <v>13</v>
      </c>
      <c r="D616" s="3" t="s">
        <v>2116</v>
      </c>
      <c r="E616" s="3"/>
      <c r="F616" s="3"/>
      <c r="G616" s="3" t="s">
        <v>73</v>
      </c>
      <c r="H616" s="3"/>
      <c r="I616" s="3"/>
      <c r="J616" s="3" t="s">
        <v>2774</v>
      </c>
      <c r="K616" s="3"/>
      <c r="L616" s="3" t="s">
        <v>2775</v>
      </c>
      <c r="M616" s="3" t="str">
        <f>HYPERLINK("https://ceds.ed.gov/cedselementdetails.aspx?termid=5488")</f>
        <v>https://ceds.ed.gov/cedselementdetails.aspx?termid=5488</v>
      </c>
      <c r="N616" s="3" t="str">
        <f>HYPERLINK("https://ceds.ed.gov/elementComment.aspx?elementName=First Instruction Date &amp;elementID=5488", "Click here to submit comment")</f>
        <v>Click here to submit comment</v>
      </c>
    </row>
    <row r="617" spans="1:14" ht="409.5">
      <c r="A617" s="3" t="s">
        <v>2776</v>
      </c>
      <c r="B617" s="3" t="s">
        <v>2777</v>
      </c>
      <c r="C617" s="3" t="s">
        <v>13</v>
      </c>
      <c r="D617" s="3" t="s">
        <v>6175</v>
      </c>
      <c r="E617" s="3" t="s">
        <v>6176</v>
      </c>
      <c r="F617" s="3" t="s">
        <v>3</v>
      </c>
      <c r="G617" s="3" t="s">
        <v>1368</v>
      </c>
      <c r="H617" s="3"/>
      <c r="I617" s="3" t="s">
        <v>2778</v>
      </c>
      <c r="J617" s="3" t="s">
        <v>2779</v>
      </c>
      <c r="K617" s="3"/>
      <c r="L617" s="3" t="s">
        <v>2780</v>
      </c>
      <c r="M617" s="3" t="str">
        <f>HYPERLINK("https://ceds.ed.gov/cedselementdetails.aspx?termid=5115")</f>
        <v>https://ceds.ed.gov/cedselementdetails.aspx?termid=5115</v>
      </c>
      <c r="N617" s="3" t="str">
        <f>HYPERLINK("https://ceds.ed.gov/elementComment.aspx?elementName=First Name &amp;elementID=5115", "Click here to submit comment")</f>
        <v>Click here to submit comment</v>
      </c>
    </row>
    <row r="618" spans="1:14" ht="195">
      <c r="A618" s="3" t="s">
        <v>2781</v>
      </c>
      <c r="B618" s="3" t="s">
        <v>2782</v>
      </c>
      <c r="C618" s="3" t="s">
        <v>5963</v>
      </c>
      <c r="D618" s="3" t="s">
        <v>1708</v>
      </c>
      <c r="E618" s="3" t="s">
        <v>5976</v>
      </c>
      <c r="F618" s="3"/>
      <c r="G618" s="3"/>
      <c r="H618" s="3"/>
      <c r="I618" s="3"/>
      <c r="J618" s="3" t="s">
        <v>2783</v>
      </c>
      <c r="K618" s="3"/>
      <c r="L618" s="3" t="s">
        <v>2784</v>
      </c>
      <c r="M618" s="3" t="str">
        <f>HYPERLINK("https://ceds.ed.gov/cedselementdetails.aspx?termid=5117")</f>
        <v>https://ceds.ed.gov/cedselementdetails.aspx?termid=5117</v>
      </c>
      <c r="N618" s="3" t="str">
        <f>HYPERLINK("https://ceds.ed.gov/elementComment.aspx?elementName=First Time Postsecondary Student &amp;elementID=5117", "Click here to submit comment")</f>
        <v>Click here to submit comment</v>
      </c>
    </row>
    <row r="619" spans="1:14" ht="30">
      <c r="A619" s="3" t="s">
        <v>2785</v>
      </c>
      <c r="B619" s="3" t="s">
        <v>2786</v>
      </c>
      <c r="C619" s="3" t="s">
        <v>13</v>
      </c>
      <c r="D619" s="3" t="s">
        <v>2787</v>
      </c>
      <c r="E619" s="3"/>
      <c r="F619" s="3" t="s">
        <v>54</v>
      </c>
      <c r="G619" s="3" t="s">
        <v>73</v>
      </c>
      <c r="H619" s="3"/>
      <c r="I619" s="3"/>
      <c r="J619" s="3" t="s">
        <v>2788</v>
      </c>
      <c r="K619" s="3"/>
      <c r="L619" s="3" t="s">
        <v>2789</v>
      </c>
      <c r="M619" s="3" t="str">
        <f>HYPERLINK("https://ceds.ed.gov/cedselementdetails.aspx?termid=6495")</f>
        <v>https://ceds.ed.gov/cedselementdetails.aspx?termid=6495</v>
      </c>
      <c r="N619" s="3" t="str">
        <f>HYPERLINK("https://ceds.ed.gov/elementComment.aspx?elementName=Foster Care End Date &amp;elementID=6495", "Click here to submit comment")</f>
        <v>Click here to submit comment</v>
      </c>
    </row>
    <row r="620" spans="1:14" ht="30">
      <c r="A620" s="3" t="s">
        <v>2790</v>
      </c>
      <c r="B620" s="3" t="s">
        <v>2791</v>
      </c>
      <c r="C620" s="3" t="s">
        <v>13</v>
      </c>
      <c r="D620" s="3" t="s">
        <v>2787</v>
      </c>
      <c r="E620" s="3"/>
      <c r="F620" s="3" t="s">
        <v>54</v>
      </c>
      <c r="G620" s="3" t="s">
        <v>73</v>
      </c>
      <c r="H620" s="3"/>
      <c r="I620" s="3"/>
      <c r="J620" s="3" t="s">
        <v>2792</v>
      </c>
      <c r="K620" s="3"/>
      <c r="L620" s="3" t="s">
        <v>2793</v>
      </c>
      <c r="M620" s="3" t="str">
        <f>HYPERLINK("https://ceds.ed.gov/cedselementdetails.aspx?termid=6496")</f>
        <v>https://ceds.ed.gov/cedselementdetails.aspx?termid=6496</v>
      </c>
      <c r="N620" s="3" t="str">
        <f>HYPERLINK("https://ceds.ed.gov/elementComment.aspx?elementName=Foster Care Start Date &amp;elementID=6496", "Click here to submit comment")</f>
        <v>Click here to submit comment</v>
      </c>
    </row>
    <row r="621" spans="1:14" ht="60">
      <c r="A621" s="3" t="s">
        <v>2798</v>
      </c>
      <c r="B621" s="3" t="s">
        <v>2799</v>
      </c>
      <c r="C621" s="3" t="s">
        <v>5963</v>
      </c>
      <c r="D621" s="3" t="s">
        <v>1708</v>
      </c>
      <c r="E621" s="3" t="s">
        <v>237</v>
      </c>
      <c r="F621" s="3"/>
      <c r="G621" s="3"/>
      <c r="H621" s="3"/>
      <c r="I621" s="3"/>
      <c r="J621" s="3" t="s">
        <v>2800</v>
      </c>
      <c r="K621" s="3"/>
      <c r="L621" s="3" t="s">
        <v>2801</v>
      </c>
      <c r="M621" s="3" t="str">
        <f>HYPERLINK("https://ceds.ed.gov/cedselementdetails.aspx?termid=5743")</f>
        <v>https://ceds.ed.gov/cedselementdetails.aspx?termid=5743</v>
      </c>
      <c r="N621" s="3" t="str">
        <f>HYPERLINK("https://ceds.ed.gov/elementComment.aspx?elementName=Fraternity Participation Status &amp;elementID=5743", "Click here to submit comment")</f>
        <v>Click here to submit comment</v>
      </c>
    </row>
    <row r="622" spans="1:14" ht="90">
      <c r="A622" s="3" t="s">
        <v>2802</v>
      </c>
      <c r="B622" s="3" t="s">
        <v>2803</v>
      </c>
      <c r="C622" s="3" t="s">
        <v>6177</v>
      </c>
      <c r="D622" s="3" t="s">
        <v>2804</v>
      </c>
      <c r="E622" s="3"/>
      <c r="F622" s="3" t="s">
        <v>54</v>
      </c>
      <c r="G622" s="3"/>
      <c r="H622" s="3"/>
      <c r="I622" s="3"/>
      <c r="J622" s="3" t="s">
        <v>2805</v>
      </c>
      <c r="K622" s="3"/>
      <c r="L622" s="3" t="s">
        <v>2806</v>
      </c>
      <c r="M622" s="3" t="str">
        <f>HYPERLINK("https://ceds.ed.gov/cedselementdetails.aspx?termid=6323")</f>
        <v>https://ceds.ed.gov/cedselementdetails.aspx?termid=6323</v>
      </c>
      <c r="N622" s="3" t="str">
        <f>HYPERLINK("https://ceds.ed.gov/elementComment.aspx?elementName=Frequency of Service &amp;elementID=6323", "Click here to submit comment")</f>
        <v>Click here to submit comment</v>
      </c>
    </row>
    <row r="623" spans="1:14" ht="45">
      <c r="A623" s="3" t="s">
        <v>2807</v>
      </c>
      <c r="B623" s="3" t="s">
        <v>2808</v>
      </c>
      <c r="C623" s="3" t="s">
        <v>5963</v>
      </c>
      <c r="D623" s="3" t="s">
        <v>6138</v>
      </c>
      <c r="E623" s="3"/>
      <c r="F623" s="3"/>
      <c r="G623" s="3"/>
      <c r="H623" s="3"/>
      <c r="I623" s="3"/>
      <c r="J623" s="3" t="s">
        <v>2809</v>
      </c>
      <c r="K623" s="3"/>
      <c r="L623" s="3" t="s">
        <v>2810</v>
      </c>
      <c r="M623" s="3" t="str">
        <f>HYPERLINK("https://ceds.ed.gov/cedselementdetails.aspx?termid=5504")</f>
        <v>https://ceds.ed.gov/cedselementdetails.aspx?termid=5504</v>
      </c>
      <c r="N623" s="3" t="str">
        <f>HYPERLINK("https://ceds.ed.gov/elementComment.aspx?elementName=Full Year Expulsion &amp;elementID=5504", "Click here to submit comment")</f>
        <v>Click here to submit comment</v>
      </c>
    </row>
    <row r="624" spans="1:14" ht="409.5">
      <c r="A624" s="3" t="s">
        <v>2811</v>
      </c>
      <c r="B624" s="3" t="s">
        <v>2812</v>
      </c>
      <c r="C624" s="4" t="s">
        <v>6518</v>
      </c>
      <c r="D624" s="3" t="s">
        <v>2186</v>
      </c>
      <c r="E624" s="3" t="s">
        <v>6145</v>
      </c>
      <c r="F624" s="3"/>
      <c r="G624" s="3"/>
      <c r="H624" s="3"/>
      <c r="I624" s="3"/>
      <c r="J624" s="3" t="s">
        <v>2813</v>
      </c>
      <c r="K624" s="3"/>
      <c r="L624" s="3" t="s">
        <v>2814</v>
      </c>
      <c r="M624" s="3" t="str">
        <f>HYPERLINK("https://ceds.ed.gov/cedselementdetails.aspx?termid=5866")</f>
        <v>https://ceds.ed.gov/cedselementdetails.aspx?termid=5866</v>
      </c>
      <c r="N624" s="3" t="str">
        <f>HYPERLINK("https://ceds.ed.gov/elementComment.aspx?elementName=Full-Time Employee Benefits &amp;elementID=5866", "Click here to submit comment")</f>
        <v>Click here to submit comment</v>
      </c>
    </row>
    <row r="625" spans="1:14" ht="180">
      <c r="A625" s="3" t="s">
        <v>2815</v>
      </c>
      <c r="B625" s="3" t="s">
        <v>2816</v>
      </c>
      <c r="C625" s="3" t="s">
        <v>6178</v>
      </c>
      <c r="D625" s="3" t="s">
        <v>35</v>
      </c>
      <c r="E625" s="3" t="s">
        <v>36</v>
      </c>
      <c r="F625" s="3"/>
      <c r="G625" s="3"/>
      <c r="H625" s="3"/>
      <c r="I625" s="3" t="s">
        <v>2817</v>
      </c>
      <c r="J625" s="3" t="s">
        <v>2818</v>
      </c>
      <c r="K625" s="3"/>
      <c r="L625" s="3" t="s">
        <v>2819</v>
      </c>
      <c r="M625" s="3" t="str">
        <f>HYPERLINK("https://ceds.ed.gov/cedselementdetails.aspx?termid=5713")</f>
        <v>https://ceds.ed.gov/cedselementdetails.aspx?termid=5713</v>
      </c>
      <c r="N625" s="3" t="str">
        <f>HYPERLINK("https://ceds.ed.gov/elementComment.aspx?elementName=Full-time Status &amp;elementID=5713", "Click here to submit comment")</f>
        <v>Click here to submit comment</v>
      </c>
    </row>
    <row r="626" spans="1:14" ht="45">
      <c r="A626" s="3" t="s">
        <v>2820</v>
      </c>
      <c r="B626" s="3" t="s">
        <v>2821</v>
      </c>
      <c r="C626" s="3" t="s">
        <v>13</v>
      </c>
      <c r="D626" s="3" t="s">
        <v>2822</v>
      </c>
      <c r="E626" s="3" t="s">
        <v>207</v>
      </c>
      <c r="F626" s="3"/>
      <c r="G626" s="3" t="s">
        <v>1461</v>
      </c>
      <c r="H626" s="3"/>
      <c r="I626" s="3"/>
      <c r="J626" s="3" t="s">
        <v>2823</v>
      </c>
      <c r="K626" s="3"/>
      <c r="L626" s="3" t="s">
        <v>2824</v>
      </c>
      <c r="M626" s="3" t="str">
        <f>HYPERLINK("https://ceds.ed.gov/cedselementdetails.aspx?termid=5442")</f>
        <v>https://ceds.ed.gov/cedselementdetails.aspx?termid=5442</v>
      </c>
      <c r="N626" s="3" t="str">
        <f>HYPERLINK("https://ceds.ed.gov/elementComment.aspx?elementName=Funds Transfer Amount &amp;elementID=5442", "Click here to submit comment")</f>
        <v>Click here to submit comment</v>
      </c>
    </row>
    <row r="627" spans="1:14" ht="60">
      <c r="A627" s="3" t="s">
        <v>2825</v>
      </c>
      <c r="B627" s="3" t="s">
        <v>2826</v>
      </c>
      <c r="C627" s="3" t="s">
        <v>5963</v>
      </c>
      <c r="D627" s="3" t="s">
        <v>154</v>
      </c>
      <c r="E627" s="3" t="s">
        <v>2</v>
      </c>
      <c r="F627" s="3"/>
      <c r="G627" s="3"/>
      <c r="H627" s="3"/>
      <c r="I627" s="3"/>
      <c r="J627" s="3" t="s">
        <v>2827</v>
      </c>
      <c r="K627" s="3"/>
      <c r="L627" s="3" t="s">
        <v>2828</v>
      </c>
      <c r="M627" s="3" t="str">
        <f>HYPERLINK("https://ceds.ed.gov/cedselementdetails.aspx?termid=5120")</f>
        <v>https://ceds.ed.gov/cedselementdetails.aspx?termid=5120</v>
      </c>
      <c r="N627" s="3" t="str">
        <f>HYPERLINK("https://ceds.ed.gov/elementComment.aspx?elementName=GED Preparation Program Participation Status &amp;elementID=5120", "Click here to submit comment")</f>
        <v>Click here to submit comment</v>
      </c>
    </row>
    <row r="628" spans="1:14" ht="409.5">
      <c r="A628" s="3" t="s">
        <v>2829</v>
      </c>
      <c r="B628" s="3" t="s">
        <v>2830</v>
      </c>
      <c r="C628" s="3" t="s">
        <v>13</v>
      </c>
      <c r="D628" s="3" t="s">
        <v>6175</v>
      </c>
      <c r="E628" s="3" t="s">
        <v>6179</v>
      </c>
      <c r="F628" s="3" t="s">
        <v>3</v>
      </c>
      <c r="G628" s="3" t="s">
        <v>2031</v>
      </c>
      <c r="H628" s="3"/>
      <c r="I628" s="3" t="s">
        <v>2778</v>
      </c>
      <c r="J628" s="3" t="s">
        <v>2831</v>
      </c>
      <c r="K628" s="3"/>
      <c r="L628" s="3" t="s">
        <v>2832</v>
      </c>
      <c r="M628" s="3" t="str">
        <f>HYPERLINK("https://ceds.ed.gov/cedselementdetails.aspx?termid=5121")</f>
        <v>https://ceds.ed.gov/cedselementdetails.aspx?termid=5121</v>
      </c>
      <c r="N628" s="3" t="str">
        <f>HYPERLINK("https://ceds.ed.gov/elementComment.aspx?elementName=Generation Code or Suffix &amp;elementID=5121", "Click here to submit comment")</f>
        <v>Click here to submit comment</v>
      </c>
    </row>
    <row r="629" spans="1:14" ht="90">
      <c r="A629" s="3" t="s">
        <v>2833</v>
      </c>
      <c r="B629" s="3" t="s">
        <v>2834</v>
      </c>
      <c r="C629" s="3" t="s">
        <v>6180</v>
      </c>
      <c r="D629" s="3" t="s">
        <v>154</v>
      </c>
      <c r="E629" s="3" t="s">
        <v>5968</v>
      </c>
      <c r="F629" s="3" t="s">
        <v>66</v>
      </c>
      <c r="G629" s="3"/>
      <c r="H629" s="3" t="s">
        <v>2835</v>
      </c>
      <c r="I629" s="3"/>
      <c r="J629" s="3" t="s">
        <v>2836</v>
      </c>
      <c r="K629" s="3"/>
      <c r="L629" s="3" t="s">
        <v>2837</v>
      </c>
      <c r="M629" s="3" t="str">
        <f>HYPERLINK("https://ceds.ed.gov/cedselementdetails.aspx?termid=5122")</f>
        <v>https://ceds.ed.gov/cedselementdetails.aspx?termid=5122</v>
      </c>
      <c r="N629" s="3" t="str">
        <f>HYPERLINK("https://ceds.ed.gov/elementComment.aspx?elementName=Gifted and Talented Indicator &amp;elementID=5122", "Click here to submit comment")</f>
        <v>Click here to submit comment</v>
      </c>
    </row>
    <row r="630" spans="1:14" ht="195">
      <c r="A630" s="3" t="s">
        <v>2838</v>
      </c>
      <c r="B630" s="3" t="s">
        <v>2839</v>
      </c>
      <c r="C630" s="4" t="s">
        <v>6519</v>
      </c>
      <c r="D630" s="3" t="s">
        <v>248</v>
      </c>
      <c r="E630" s="3"/>
      <c r="F630" s="3"/>
      <c r="G630" s="3"/>
      <c r="H630" s="3"/>
      <c r="I630" s="3"/>
      <c r="J630" s="3" t="s">
        <v>2840</v>
      </c>
      <c r="K630" s="3"/>
      <c r="L630" s="3" t="s">
        <v>2841</v>
      </c>
      <c r="M630" s="3" t="str">
        <f>HYPERLINK("https://ceds.ed.gov/cedselementdetails.aspx?termid=5767")</f>
        <v>https://ceds.ed.gov/cedselementdetails.aspx?termid=5767</v>
      </c>
      <c r="N630" s="3" t="str">
        <f>HYPERLINK("https://ceds.ed.gov/elementComment.aspx?elementName=Goals for Attending Adult Education &amp;elementID=5767", "Click here to submit comment")</f>
        <v>Click here to submit comment</v>
      </c>
    </row>
    <row r="631" spans="1:14" ht="90">
      <c r="A631" s="3" t="s">
        <v>2842</v>
      </c>
      <c r="B631" s="3" t="s">
        <v>2843</v>
      </c>
      <c r="C631" s="3" t="s">
        <v>13</v>
      </c>
      <c r="D631" s="3" t="s">
        <v>6181</v>
      </c>
      <c r="E631" s="3" t="s">
        <v>5968</v>
      </c>
      <c r="F631" s="3"/>
      <c r="G631" s="3" t="s">
        <v>2844</v>
      </c>
      <c r="H631" s="3"/>
      <c r="I631" s="3"/>
      <c r="J631" s="3" t="s">
        <v>2845</v>
      </c>
      <c r="K631" s="3"/>
      <c r="L631" s="3" t="s">
        <v>2846</v>
      </c>
      <c r="M631" s="3" t="str">
        <f>HYPERLINK("https://ceds.ed.gov/cedselementdetails.aspx?termid=5124")</f>
        <v>https://ceds.ed.gov/cedselementdetails.aspx?termid=5124</v>
      </c>
      <c r="N631" s="3" t="str">
        <f>HYPERLINK("https://ceds.ed.gov/elementComment.aspx?elementName=Grade Earned &amp;elementID=5124", "Click here to submit comment")</f>
        <v>Click here to submit comment</v>
      </c>
    </row>
    <row r="632" spans="1:14" ht="345">
      <c r="A632" s="3" t="s">
        <v>2847</v>
      </c>
      <c r="B632" s="3" t="s">
        <v>2848</v>
      </c>
      <c r="C632" s="4" t="s">
        <v>6520</v>
      </c>
      <c r="D632" s="3" t="s">
        <v>6050</v>
      </c>
      <c r="E632" s="3" t="s">
        <v>6182</v>
      </c>
      <c r="F632" s="3"/>
      <c r="G632" s="3"/>
      <c r="H632" s="3"/>
      <c r="I632" s="3"/>
      <c r="J632" s="3" t="s">
        <v>2849</v>
      </c>
      <c r="K632" s="3"/>
      <c r="L632" s="3" t="s">
        <v>2850</v>
      </c>
      <c r="M632" s="3" t="str">
        <f>HYPERLINK("https://ceds.ed.gov/cedselementdetails.aspx?termid=5126")</f>
        <v>https://ceds.ed.gov/cedselementdetails.aspx?termid=5126</v>
      </c>
      <c r="N632" s="3" t="str">
        <f>HYPERLINK("https://ceds.ed.gov/elementComment.aspx?elementName=Grade Level When Assessed &amp;elementID=5126", "Click here to submit comment")</f>
        <v>Click here to submit comment</v>
      </c>
    </row>
    <row r="633" spans="1:14" ht="330">
      <c r="A633" s="3" t="s">
        <v>2851</v>
      </c>
      <c r="B633" s="3" t="s">
        <v>2852</v>
      </c>
      <c r="C633" s="4" t="s">
        <v>6499</v>
      </c>
      <c r="D633" s="3" t="s">
        <v>6183</v>
      </c>
      <c r="E633" s="3" t="s">
        <v>5968</v>
      </c>
      <c r="F633" s="3"/>
      <c r="G633" s="3"/>
      <c r="H633" s="3"/>
      <c r="I633" s="3"/>
      <c r="J633" s="3" t="s">
        <v>2853</v>
      </c>
      <c r="K633" s="3"/>
      <c r="L633" s="3" t="s">
        <v>2854</v>
      </c>
      <c r="M633" s="3" t="str">
        <f>HYPERLINK("https://ceds.ed.gov/cedselementdetails.aspx?termid=5125")</f>
        <v>https://ceds.ed.gov/cedselementdetails.aspx?termid=5125</v>
      </c>
      <c r="N633" s="3" t="str">
        <f>HYPERLINK("https://ceds.ed.gov/elementComment.aspx?elementName=Grade Level When Course Taken &amp;elementID=5125", "Click here to submit comment")</f>
        <v>Click here to submit comment</v>
      </c>
    </row>
    <row r="634" spans="1:14" ht="45">
      <c r="A634" s="3" t="s">
        <v>2855</v>
      </c>
      <c r="B634" s="3" t="s">
        <v>2856</v>
      </c>
      <c r="C634" s="3" t="s">
        <v>13</v>
      </c>
      <c r="D634" s="3" t="s">
        <v>14</v>
      </c>
      <c r="E634" s="3" t="s">
        <v>24</v>
      </c>
      <c r="F634" s="3"/>
      <c r="G634" s="3" t="s">
        <v>2857</v>
      </c>
      <c r="H634" s="3"/>
      <c r="I634" s="3"/>
      <c r="J634" s="3" t="s">
        <v>2858</v>
      </c>
      <c r="K634" s="3"/>
      <c r="L634" s="3" t="s">
        <v>2859</v>
      </c>
      <c r="M634" s="3" t="str">
        <f>HYPERLINK("https://ceds.ed.gov/cedselementdetails.aspx?termid=5127")</f>
        <v>https://ceds.ed.gov/cedselementdetails.aspx?termid=5127</v>
      </c>
      <c r="N634" s="3" t="str">
        <f>HYPERLINK("https://ceds.ed.gov/elementComment.aspx?elementName=Grade Point Average &amp;elementID=5127", "Click here to submit comment")</f>
        <v>Click here to submit comment</v>
      </c>
    </row>
    <row r="635" spans="1:14" ht="180">
      <c r="A635" s="3" t="s">
        <v>2860</v>
      </c>
      <c r="B635" s="3" t="s">
        <v>2861</v>
      </c>
      <c r="C635" s="3" t="s">
        <v>13</v>
      </c>
      <c r="D635" s="3" t="s">
        <v>6184</v>
      </c>
      <c r="E635" s="3" t="s">
        <v>6185</v>
      </c>
      <c r="F635" s="3"/>
      <c r="G635" s="3" t="s">
        <v>2857</v>
      </c>
      <c r="H635" s="3"/>
      <c r="I635" s="3" t="s">
        <v>2862</v>
      </c>
      <c r="J635" s="3" t="s">
        <v>2863</v>
      </c>
      <c r="K635" s="3" t="s">
        <v>2864</v>
      </c>
      <c r="L635" s="3" t="s">
        <v>2865</v>
      </c>
      <c r="M635" s="3" t="str">
        <f>HYPERLINK("https://ceds.ed.gov/cedselementdetails.aspx?termid=5128")</f>
        <v>https://ceds.ed.gov/cedselementdetails.aspx?termid=5128</v>
      </c>
      <c r="N635" s="3" t="str">
        <f>HYPERLINK("https://ceds.ed.gov/elementComment.aspx?elementName=Grade Point Average Cumulative &amp;elementID=5128", "Click here to submit comment")</f>
        <v>Click here to submit comment</v>
      </c>
    </row>
    <row r="636" spans="1:14" ht="105">
      <c r="A636" s="3" t="s">
        <v>2866</v>
      </c>
      <c r="B636" s="3" t="s">
        <v>2867</v>
      </c>
      <c r="C636" s="4" t="s">
        <v>6521</v>
      </c>
      <c r="D636" s="3" t="s">
        <v>236</v>
      </c>
      <c r="E636" s="3" t="s">
        <v>237</v>
      </c>
      <c r="F636" s="3"/>
      <c r="G636" s="3"/>
      <c r="H636" s="3"/>
      <c r="I636" s="3" t="s">
        <v>2868</v>
      </c>
      <c r="J636" s="3" t="s">
        <v>2869</v>
      </c>
      <c r="K636" s="3" t="s">
        <v>2870</v>
      </c>
      <c r="L636" s="3" t="s">
        <v>2871</v>
      </c>
      <c r="M636" s="3" t="str">
        <f>HYPERLINK("https://ceds.ed.gov/cedselementdetails.aspx?termid=5739")</f>
        <v>https://ceds.ed.gov/cedselementdetails.aspx?termid=5739</v>
      </c>
      <c r="N636" s="3" t="str">
        <f>HYPERLINK("https://ceds.ed.gov/elementComment.aspx?elementName=Grade Point Average Domain &amp;elementID=5739", "Click here to submit comment")</f>
        <v>Click here to submit comment</v>
      </c>
    </row>
    <row r="637" spans="1:14" ht="90">
      <c r="A637" s="3" t="s">
        <v>2872</v>
      </c>
      <c r="B637" s="3" t="s">
        <v>2873</v>
      </c>
      <c r="C637" s="3" t="s">
        <v>13</v>
      </c>
      <c r="D637" s="3" t="s">
        <v>30</v>
      </c>
      <c r="E637" s="3" t="s">
        <v>5968</v>
      </c>
      <c r="F637" s="3"/>
      <c r="G637" s="3" t="s">
        <v>2857</v>
      </c>
      <c r="H637" s="3"/>
      <c r="I637" s="3"/>
      <c r="J637" s="3" t="s">
        <v>2874</v>
      </c>
      <c r="K637" s="3" t="s">
        <v>2875</v>
      </c>
      <c r="L637" s="3" t="s">
        <v>2876</v>
      </c>
      <c r="M637" s="3" t="str">
        <f>HYPERLINK("https://ceds.ed.gov/cedselementdetails.aspx?termid=5129")</f>
        <v>https://ceds.ed.gov/cedselementdetails.aspx?termid=5129</v>
      </c>
      <c r="N637" s="3" t="str">
        <f>HYPERLINK("https://ceds.ed.gov/elementComment.aspx?elementName=Grade Point Average Given Session &amp;elementID=5129", "Click here to submit comment")</f>
        <v>Click here to submit comment</v>
      </c>
    </row>
    <row r="638" spans="1:14" ht="60">
      <c r="A638" s="3" t="s">
        <v>2877</v>
      </c>
      <c r="B638" s="3" t="s">
        <v>2878</v>
      </c>
      <c r="C638" s="3" t="s">
        <v>6186</v>
      </c>
      <c r="D638" s="3" t="s">
        <v>6187</v>
      </c>
      <c r="E638" s="3" t="s">
        <v>6188</v>
      </c>
      <c r="F638" s="3"/>
      <c r="G638" s="3"/>
      <c r="H638" s="3"/>
      <c r="I638" s="3"/>
      <c r="J638" s="3" t="s">
        <v>2879</v>
      </c>
      <c r="K638" s="3" t="s">
        <v>2880</v>
      </c>
      <c r="L638" s="3" t="s">
        <v>2881</v>
      </c>
      <c r="M638" s="3" t="str">
        <f>HYPERLINK("https://ceds.ed.gov/cedselementdetails.aspx?termid=5123")</f>
        <v>https://ceds.ed.gov/cedselementdetails.aspx?termid=5123</v>
      </c>
      <c r="N638" s="3" t="str">
        <f>HYPERLINK("https://ceds.ed.gov/elementComment.aspx?elementName=Grade Point Average Weighted Indicator &amp;elementID=5123", "Click here to submit comment")</f>
        <v>Click here to submit comment</v>
      </c>
    </row>
    <row r="639" spans="1:14" ht="105">
      <c r="A639" s="3" t="s">
        <v>2882</v>
      </c>
      <c r="B639" s="3" t="s">
        <v>2883</v>
      </c>
      <c r="C639" s="3" t="s">
        <v>13</v>
      </c>
      <c r="D639" s="3" t="s">
        <v>30</v>
      </c>
      <c r="E639" s="3" t="s">
        <v>5968</v>
      </c>
      <c r="F639" s="3"/>
      <c r="G639" s="3" t="s">
        <v>1461</v>
      </c>
      <c r="H639" s="3"/>
      <c r="I639" s="3"/>
      <c r="J639" s="3" t="s">
        <v>2884</v>
      </c>
      <c r="K639" s="3"/>
      <c r="L639" s="3" t="s">
        <v>2885</v>
      </c>
      <c r="M639" s="3" t="str">
        <f>HYPERLINK("https://ceds.ed.gov/cedselementdetails.aspx?termid=5130")</f>
        <v>https://ceds.ed.gov/cedselementdetails.aspx?termid=5130</v>
      </c>
      <c r="N639" s="3" t="str">
        <f>HYPERLINK("https://ceds.ed.gov/elementComment.aspx?elementName=Grade Points Earned Cumulative &amp;elementID=5130", "Click here to submit comment")</f>
        <v>Click here to submit comment</v>
      </c>
    </row>
    <row r="640" spans="1:14" ht="135">
      <c r="A640" s="3" t="s">
        <v>2886</v>
      </c>
      <c r="B640" s="3" t="s">
        <v>2887</v>
      </c>
      <c r="C640" s="3" t="s">
        <v>13</v>
      </c>
      <c r="D640" s="3" t="s">
        <v>6181</v>
      </c>
      <c r="E640" s="3"/>
      <c r="F640" s="3"/>
      <c r="G640" s="3" t="s">
        <v>745</v>
      </c>
      <c r="H640" s="3"/>
      <c r="I640" s="3" t="s">
        <v>2888</v>
      </c>
      <c r="J640" s="3" t="s">
        <v>2889</v>
      </c>
      <c r="K640" s="3"/>
      <c r="L640" s="3" t="s">
        <v>2890</v>
      </c>
      <c r="M640" s="3" t="str">
        <f>HYPERLINK("https://ceds.ed.gov/cedselementdetails.aspx?termid=5609")</f>
        <v>https://ceds.ed.gov/cedselementdetails.aspx?termid=5609</v>
      </c>
      <c r="N640" s="3" t="str">
        <f>HYPERLINK("https://ceds.ed.gov/elementComment.aspx?elementName=Grade Value Qualifier &amp;elementID=5609", "Click here to submit comment")</f>
        <v>Click here to submit comment</v>
      </c>
    </row>
    <row r="641" spans="1:14" ht="390">
      <c r="A641" s="3" t="s">
        <v>2891</v>
      </c>
      <c r="B641" s="3" t="s">
        <v>2892</v>
      </c>
      <c r="C641" s="4" t="s">
        <v>6522</v>
      </c>
      <c r="D641" s="3" t="s">
        <v>224</v>
      </c>
      <c r="E641" s="3" t="s">
        <v>5968</v>
      </c>
      <c r="F641" s="3"/>
      <c r="G641" s="3"/>
      <c r="H641" s="3"/>
      <c r="I641" s="3"/>
      <c r="J641" s="3" t="s">
        <v>2893</v>
      </c>
      <c r="K641" s="3"/>
      <c r="L641" s="3" t="s">
        <v>2894</v>
      </c>
      <c r="M641" s="3" t="str">
        <f>HYPERLINK("https://ceds.ed.gov/cedselementdetails.aspx?termid=5131")</f>
        <v>https://ceds.ed.gov/cedselementdetails.aspx?termid=5131</v>
      </c>
      <c r="N641" s="3" t="str">
        <f>HYPERLINK("https://ceds.ed.gov/elementComment.aspx?elementName=Grades Offered &amp;elementID=5131", "Click here to submit comment")</f>
        <v>Click here to submit comment</v>
      </c>
    </row>
    <row r="642" spans="1:14" ht="195">
      <c r="A642" s="3" t="s">
        <v>2895</v>
      </c>
      <c r="B642" s="3" t="s">
        <v>2896</v>
      </c>
      <c r="C642" s="4" t="s">
        <v>6523</v>
      </c>
      <c r="D642" s="3" t="s">
        <v>35</v>
      </c>
      <c r="E642" s="3" t="s">
        <v>36</v>
      </c>
      <c r="F642" s="3"/>
      <c r="G642" s="3"/>
      <c r="H642" s="3"/>
      <c r="I642" s="3" t="s">
        <v>1785</v>
      </c>
      <c r="J642" s="3" t="s">
        <v>2897</v>
      </c>
      <c r="K642" s="3"/>
      <c r="L642" s="3" t="s">
        <v>2898</v>
      </c>
      <c r="M642" s="3" t="str">
        <f>HYPERLINK("https://ceds.ed.gov/cedselementdetails.aspx?termid=5721")</f>
        <v>https://ceds.ed.gov/cedselementdetails.aspx?termid=5721</v>
      </c>
      <c r="N642" s="3" t="str">
        <f>HYPERLINK("https://ceds.ed.gov/elementComment.aspx?elementName=Graduate Assistant IPEDS Occupation Category &amp;elementID=5721", "Click here to submit comment")</f>
        <v>Click here to submit comment</v>
      </c>
    </row>
    <row r="643" spans="1:14" ht="150">
      <c r="A643" s="3" t="s">
        <v>2899</v>
      </c>
      <c r="B643" s="3" t="s">
        <v>2900</v>
      </c>
      <c r="C643" s="3" t="s">
        <v>5963</v>
      </c>
      <c r="D643" s="3" t="s">
        <v>35</v>
      </c>
      <c r="E643" s="3" t="s">
        <v>36</v>
      </c>
      <c r="F643" s="3"/>
      <c r="G643" s="3"/>
      <c r="H643" s="3"/>
      <c r="I643" s="3" t="s">
        <v>358</v>
      </c>
      <c r="J643" s="3" t="s">
        <v>2901</v>
      </c>
      <c r="K643" s="3"/>
      <c r="L643" s="3" t="s">
        <v>2902</v>
      </c>
      <c r="M643" s="3" t="str">
        <f>HYPERLINK("https://ceds.ed.gov/cedselementdetails.aspx?termid=5720")</f>
        <v>https://ceds.ed.gov/cedselementdetails.aspx?termid=5720</v>
      </c>
      <c r="N643" s="3" t="str">
        <f>HYPERLINK("https://ceds.ed.gov/elementComment.aspx?elementName=Graduate Assistant Status &amp;elementID=5720", "Click here to submit comment")</f>
        <v>Click here to submit comment</v>
      </c>
    </row>
    <row r="644" spans="1:14" ht="105">
      <c r="A644" s="3" t="s">
        <v>2903</v>
      </c>
      <c r="B644" s="3" t="s">
        <v>2904</v>
      </c>
      <c r="C644" s="4" t="s">
        <v>6524</v>
      </c>
      <c r="D644" s="3" t="s">
        <v>2267</v>
      </c>
      <c r="E644" s="3"/>
      <c r="F644" s="3" t="s">
        <v>54</v>
      </c>
      <c r="G644" s="3"/>
      <c r="H644" s="3"/>
      <c r="I644" s="3"/>
      <c r="J644" s="3" t="s">
        <v>2905</v>
      </c>
      <c r="K644" s="3"/>
      <c r="L644" s="3" t="s">
        <v>2906</v>
      </c>
      <c r="M644" s="3" t="str">
        <f>HYPERLINK("https://ceds.ed.gov/cedselementdetails.aspx?termid=6324")</f>
        <v>https://ceds.ed.gov/cedselementdetails.aspx?termid=6324</v>
      </c>
      <c r="N644" s="3" t="str">
        <f>HYPERLINK("https://ceds.ed.gov/elementComment.aspx?elementName=Graduate or Doctoral Exam Results Status &amp;elementID=6324", "Click here to submit comment")</f>
        <v>Click here to submit comment</v>
      </c>
    </row>
    <row r="645" spans="1:14" ht="30">
      <c r="A645" s="3" t="s">
        <v>2907</v>
      </c>
      <c r="B645" s="3" t="s">
        <v>2908</v>
      </c>
      <c r="C645" s="3" t="s">
        <v>13</v>
      </c>
      <c r="D645" s="3" t="s">
        <v>30</v>
      </c>
      <c r="E645" s="3"/>
      <c r="F645" s="3"/>
      <c r="G645" s="3" t="s">
        <v>1736</v>
      </c>
      <c r="H645" s="3"/>
      <c r="I645" s="3"/>
      <c r="J645" s="3" t="s">
        <v>2909</v>
      </c>
      <c r="K645" s="3"/>
      <c r="L645" s="3" t="s">
        <v>2910</v>
      </c>
      <c r="M645" s="3" t="str">
        <f>HYPERLINK("https://ceds.ed.gov/cedselementdetails.aspx?termid=5132")</f>
        <v>https://ceds.ed.gov/cedselementdetails.aspx?termid=5132</v>
      </c>
      <c r="N645" s="3" t="str">
        <f>HYPERLINK("https://ceds.ed.gov/elementComment.aspx?elementName=Graduation Rate Survey Cohort Year &amp;elementID=5132", "Click here to submit comment")</f>
        <v>Click here to submit comment</v>
      </c>
    </row>
    <row r="646" spans="1:14" ht="75">
      <c r="A646" s="3" t="s">
        <v>2911</v>
      </c>
      <c r="B646" s="3" t="s">
        <v>2912</v>
      </c>
      <c r="C646" s="3" t="s">
        <v>5963</v>
      </c>
      <c r="D646" s="3" t="s">
        <v>30</v>
      </c>
      <c r="E646" s="3" t="s">
        <v>2913</v>
      </c>
      <c r="F646" s="3"/>
      <c r="G646" s="3"/>
      <c r="H646" s="3"/>
      <c r="I646" s="3"/>
      <c r="J646" s="3" t="s">
        <v>2914</v>
      </c>
      <c r="K646" s="3"/>
      <c r="L646" s="3" t="s">
        <v>2915</v>
      </c>
      <c r="M646" s="3" t="str">
        <f>HYPERLINK("https://ceds.ed.gov/cedselementdetails.aspx?termid=5133")</f>
        <v>https://ceds.ed.gov/cedselementdetails.aspx?termid=5133</v>
      </c>
      <c r="N646" s="3" t="str">
        <f>HYPERLINK("https://ceds.ed.gov/elementComment.aspx?elementName=Graduation Rate Survey Indicator &amp;elementID=5133", "Click here to submit comment")</f>
        <v>Click here to submit comment</v>
      </c>
    </row>
    <row r="647" spans="1:14" ht="120">
      <c r="A647" s="3" t="s">
        <v>2916</v>
      </c>
      <c r="B647" s="3" t="s">
        <v>2917</v>
      </c>
      <c r="C647" s="4" t="s">
        <v>6525</v>
      </c>
      <c r="D647" s="3" t="s">
        <v>5979</v>
      </c>
      <c r="E647" s="3" t="s">
        <v>218</v>
      </c>
      <c r="F647" s="3"/>
      <c r="G647" s="3"/>
      <c r="H647" s="3"/>
      <c r="I647" s="3"/>
      <c r="J647" s="3" t="s">
        <v>2918</v>
      </c>
      <c r="K647" s="3"/>
      <c r="L647" s="3" t="s">
        <v>2919</v>
      </c>
      <c r="M647" s="3" t="str">
        <f>HYPERLINK("https://ceds.ed.gov/cedselementdetails.aspx?termid=5134")</f>
        <v>https://ceds.ed.gov/cedselementdetails.aspx?termid=5134</v>
      </c>
      <c r="N647" s="3" t="str">
        <f>HYPERLINK("https://ceds.ed.gov/elementComment.aspx?elementName=Gun Free Schools Act Reporting Status &amp;elementID=5134", "Click here to submit comment")</f>
        <v>Click here to submit comment</v>
      </c>
    </row>
    <row r="648" spans="1:14" ht="60">
      <c r="A648" s="3" t="s">
        <v>2920</v>
      </c>
      <c r="B648" s="3" t="s">
        <v>2921</v>
      </c>
      <c r="C648" s="3" t="s">
        <v>5963</v>
      </c>
      <c r="D648" s="3" t="s">
        <v>1471</v>
      </c>
      <c r="E648" s="3" t="s">
        <v>2</v>
      </c>
      <c r="F648" s="3"/>
      <c r="G648" s="3"/>
      <c r="H648" s="3"/>
      <c r="I648" s="3"/>
      <c r="J648" s="3" t="s">
        <v>2922</v>
      </c>
      <c r="K648" s="3"/>
      <c r="L648" s="3" t="s">
        <v>2923</v>
      </c>
      <c r="M648" s="3" t="str">
        <f>HYPERLINK("https://ceds.ed.gov/cedselementdetails.aspx?termid=5135")</f>
        <v>https://ceds.ed.gov/cedselementdetails.aspx?termid=5135</v>
      </c>
      <c r="N648" s="3" t="str">
        <f>HYPERLINK("https://ceds.ed.gov/elementComment.aspx?elementName=Harassment or Bullying Policy Status &amp;elementID=5135", "Click here to submit comment")</f>
        <v>Click here to submit comment</v>
      </c>
    </row>
    <row r="649" spans="1:14" ht="45">
      <c r="A649" s="3" t="s">
        <v>2924</v>
      </c>
      <c r="B649" s="3" t="s">
        <v>2925</v>
      </c>
      <c r="C649" s="3" t="s">
        <v>13</v>
      </c>
      <c r="D649" s="3" t="s">
        <v>2926</v>
      </c>
      <c r="E649" s="3"/>
      <c r="F649" s="3" t="s">
        <v>54</v>
      </c>
      <c r="G649" s="3" t="s">
        <v>93</v>
      </c>
      <c r="H649" s="3"/>
      <c r="I649" s="3"/>
      <c r="J649" s="3" t="s">
        <v>2927</v>
      </c>
      <c r="K649" s="3"/>
      <c r="L649" s="3" t="s">
        <v>2928</v>
      </c>
      <c r="M649" s="3" t="str">
        <f>HYPERLINK("https://ceds.ed.gov/cedselementdetails.aspx?termid=6325")</f>
        <v>https://ceds.ed.gov/cedselementdetails.aspx?termid=6325</v>
      </c>
      <c r="N649" s="3" t="str">
        <f>HYPERLINK("https://ceds.ed.gov/elementComment.aspx?elementName=Health Screening Equipment Used &amp;elementID=6325", "Click here to submit comment")</f>
        <v>Click here to submit comment</v>
      </c>
    </row>
    <row r="650" spans="1:14" ht="45">
      <c r="A650" s="3" t="s">
        <v>2929</v>
      </c>
      <c r="B650" s="3" t="s">
        <v>2930</v>
      </c>
      <c r="C650" s="3" t="s">
        <v>13</v>
      </c>
      <c r="D650" s="3" t="s">
        <v>2926</v>
      </c>
      <c r="E650" s="3"/>
      <c r="F650" s="3" t="s">
        <v>54</v>
      </c>
      <c r="G650" s="3" t="s">
        <v>319</v>
      </c>
      <c r="H650" s="3"/>
      <c r="I650" s="3"/>
      <c r="J650" s="3" t="s">
        <v>2931</v>
      </c>
      <c r="K650" s="3"/>
      <c r="L650" s="3" t="s">
        <v>2932</v>
      </c>
      <c r="M650" s="3" t="str">
        <f>HYPERLINK("https://ceds.ed.gov/cedselementdetails.aspx?termid=6326")</f>
        <v>https://ceds.ed.gov/cedselementdetails.aspx?termid=6326</v>
      </c>
      <c r="N650" s="3" t="str">
        <f>HYPERLINK("https://ceds.ed.gov/elementComment.aspx?elementName=Health Screening Follow-up Recommendation &amp;elementID=6326", "Click here to submit comment")</f>
        <v>Click here to submit comment</v>
      </c>
    </row>
    <row r="651" spans="1:14" ht="60">
      <c r="A651" s="3" t="s">
        <v>2933</v>
      </c>
      <c r="B651" s="3" t="s">
        <v>2934</v>
      </c>
      <c r="C651" s="3" t="s">
        <v>13</v>
      </c>
      <c r="D651" s="3" t="s">
        <v>6189</v>
      </c>
      <c r="E651" s="3"/>
      <c r="F651" s="3" t="s">
        <v>3</v>
      </c>
      <c r="G651" s="3" t="s">
        <v>73</v>
      </c>
      <c r="H651" s="3"/>
      <c r="I651" s="3"/>
      <c r="J651" s="3" t="s">
        <v>2935</v>
      </c>
      <c r="K651" s="3"/>
      <c r="L651" s="3" t="s">
        <v>2936</v>
      </c>
      <c r="M651" s="3" t="str">
        <f>HYPERLINK("https://ceds.ed.gov/cedselementdetails.aspx?termid=5681")</f>
        <v>https://ceds.ed.gov/cedselementdetails.aspx?termid=5681</v>
      </c>
      <c r="N651" s="3" t="str">
        <f>HYPERLINK("https://ceds.ed.gov/elementComment.aspx?elementName=Hearing Screening Date &amp;elementID=5681", "Click here to submit comment")</f>
        <v>Click here to submit comment</v>
      </c>
    </row>
    <row r="652" spans="1:14" ht="60">
      <c r="A652" s="3" t="s">
        <v>2937</v>
      </c>
      <c r="B652" s="3" t="s">
        <v>2938</v>
      </c>
      <c r="C652" s="4" t="s">
        <v>6526</v>
      </c>
      <c r="D652" s="3" t="s">
        <v>6189</v>
      </c>
      <c r="E652" s="3" t="s">
        <v>2158</v>
      </c>
      <c r="F652" s="3" t="s">
        <v>3</v>
      </c>
      <c r="G652" s="3"/>
      <c r="H652" s="3"/>
      <c r="I652" s="3"/>
      <c r="J652" s="3" t="s">
        <v>2939</v>
      </c>
      <c r="K652" s="3"/>
      <c r="L652" s="3" t="s">
        <v>2940</v>
      </c>
      <c r="M652" s="3" t="str">
        <f>HYPERLINK("https://ceds.ed.gov/cedselementdetails.aspx?termid=5309")</f>
        <v>https://ceds.ed.gov/cedselementdetails.aspx?termid=5309</v>
      </c>
      <c r="N652" s="3" t="str">
        <f>HYPERLINK("https://ceds.ed.gov/elementComment.aspx?elementName=Hearing Screening Status &amp;elementID=5309", "Click here to submit comment")</f>
        <v>Click here to submit comment</v>
      </c>
    </row>
    <row r="653" spans="1:14" ht="120">
      <c r="A653" s="3" t="s">
        <v>2941</v>
      </c>
      <c r="B653" s="3" t="s">
        <v>2942</v>
      </c>
      <c r="C653" s="3" t="s">
        <v>5963</v>
      </c>
      <c r="D653" s="3" t="s">
        <v>6077</v>
      </c>
      <c r="E653" s="3" t="s">
        <v>6078</v>
      </c>
      <c r="F653" s="3"/>
      <c r="G653" s="3"/>
      <c r="H653" s="3"/>
      <c r="I653" s="3"/>
      <c r="J653" s="3" t="s">
        <v>2943</v>
      </c>
      <c r="K653" s="3"/>
      <c r="L653" s="3" t="s">
        <v>2944</v>
      </c>
      <c r="M653" s="3" t="str">
        <f>HYPERLINK("https://ceds.ed.gov/cedselementdetails.aspx?termid=5137")</f>
        <v>https://ceds.ed.gov/cedselementdetails.aspx?termid=5137</v>
      </c>
      <c r="N653" s="3" t="str">
        <f>HYPERLINK("https://ceds.ed.gov/elementComment.aspx?elementName=High School Course Requirement &amp;elementID=5137", "Click here to submit comment")</f>
        <v>Click here to submit comment</v>
      </c>
    </row>
    <row r="654" spans="1:14" ht="105">
      <c r="A654" s="3" t="s">
        <v>2945</v>
      </c>
      <c r="B654" s="3" t="s">
        <v>2946</v>
      </c>
      <c r="C654" s="4" t="s">
        <v>6527</v>
      </c>
      <c r="D654" s="3" t="s">
        <v>30</v>
      </c>
      <c r="E654" s="3"/>
      <c r="F654" s="3"/>
      <c r="G654" s="3"/>
      <c r="H654" s="3"/>
      <c r="I654" s="3"/>
      <c r="J654" s="3" t="s">
        <v>2947</v>
      </c>
      <c r="K654" s="3"/>
      <c r="L654" s="3" t="s">
        <v>2948</v>
      </c>
      <c r="M654" s="3" t="str">
        <f>HYPERLINK("https://ceds.ed.gov/cedselementdetails.aspx?termid=5689")</f>
        <v>https://ceds.ed.gov/cedselementdetails.aspx?termid=5689</v>
      </c>
      <c r="N654" s="3" t="str">
        <f>HYPERLINK("https://ceds.ed.gov/elementComment.aspx?elementName=High School Diploma Distinction Type &amp;elementID=5689", "Click here to submit comment")</f>
        <v>Click here to submit comment</v>
      </c>
    </row>
    <row r="655" spans="1:14" ht="285">
      <c r="A655" s="3" t="s">
        <v>2949</v>
      </c>
      <c r="B655" s="3" t="s">
        <v>2950</v>
      </c>
      <c r="C655" s="4" t="s">
        <v>6528</v>
      </c>
      <c r="D655" s="3" t="s">
        <v>6190</v>
      </c>
      <c r="E655" s="3" t="s">
        <v>6191</v>
      </c>
      <c r="F655" s="3"/>
      <c r="G655" s="3"/>
      <c r="H655" s="3"/>
      <c r="I655" s="3"/>
      <c r="J655" s="3" t="s">
        <v>2951</v>
      </c>
      <c r="K655" s="3"/>
      <c r="L655" s="3" t="s">
        <v>2952</v>
      </c>
      <c r="M655" s="3" t="str">
        <f>HYPERLINK("https://ceds.ed.gov/cedselementdetails.aspx?termid=5138")</f>
        <v>https://ceds.ed.gov/cedselementdetails.aspx?termid=5138</v>
      </c>
      <c r="N655" s="3" t="str">
        <f>HYPERLINK("https://ceds.ed.gov/elementComment.aspx?elementName=High School Diploma Type &amp;elementID=5138", "Click here to submit comment")</f>
        <v>Click here to submit comment</v>
      </c>
    </row>
    <row r="656" spans="1:14" ht="120">
      <c r="A656" s="3" t="s">
        <v>2953</v>
      </c>
      <c r="B656" s="3" t="s">
        <v>2954</v>
      </c>
      <c r="C656" s="4" t="s">
        <v>6529</v>
      </c>
      <c r="D656" s="3" t="s">
        <v>5979</v>
      </c>
      <c r="E656" s="3" t="s">
        <v>218</v>
      </c>
      <c r="F656" s="3"/>
      <c r="G656" s="3"/>
      <c r="H656" s="3"/>
      <c r="I656" s="3"/>
      <c r="J656" s="3" t="s">
        <v>2955</v>
      </c>
      <c r="K656" s="3"/>
      <c r="L656" s="3" t="s">
        <v>2956</v>
      </c>
      <c r="M656" s="3" t="str">
        <f>HYPERLINK("https://ceds.ed.gov/cedselementdetails.aspx?termid=5140")</f>
        <v>https://ceds.ed.gov/cedselementdetails.aspx?termid=5140</v>
      </c>
      <c r="N656" s="3" t="str">
        <f>HYPERLINK("https://ceds.ed.gov/elementComment.aspx?elementName=High School Graduation Rate Indicator Status &amp;elementID=5140", "Click here to submit comment")</f>
        <v>Click here to submit comment</v>
      </c>
    </row>
    <row r="657" spans="1:14" ht="120">
      <c r="A657" s="3" t="s">
        <v>2957</v>
      </c>
      <c r="B657" s="3" t="s">
        <v>2958</v>
      </c>
      <c r="C657" s="3" t="s">
        <v>13</v>
      </c>
      <c r="D657" s="3" t="s">
        <v>236</v>
      </c>
      <c r="E657" s="3" t="s">
        <v>237</v>
      </c>
      <c r="F657" s="3"/>
      <c r="G657" s="3" t="s">
        <v>740</v>
      </c>
      <c r="H657" s="3"/>
      <c r="I657" s="3" t="s">
        <v>2959</v>
      </c>
      <c r="J657" s="3" t="s">
        <v>2960</v>
      </c>
      <c r="K657" s="3"/>
      <c r="L657" s="3" t="s">
        <v>2961</v>
      </c>
      <c r="M657" s="3" t="str">
        <f>HYPERLINK("https://ceds.ed.gov/cedselementdetails.aspx?termid=5740")</f>
        <v>https://ceds.ed.gov/cedselementdetails.aspx?termid=5740</v>
      </c>
      <c r="N657" s="3" t="str">
        <f>HYPERLINK("https://ceds.ed.gov/elementComment.aspx?elementName=High School Percentile &amp;elementID=5740", "Click here to submit comment")</f>
        <v>Click here to submit comment</v>
      </c>
    </row>
    <row r="658" spans="1:14" ht="120">
      <c r="A658" s="3" t="s">
        <v>2962</v>
      </c>
      <c r="B658" s="3" t="s">
        <v>2963</v>
      </c>
      <c r="C658" s="3" t="s">
        <v>13</v>
      </c>
      <c r="D658" s="3" t="s">
        <v>6192</v>
      </c>
      <c r="E658" s="3" t="s">
        <v>6193</v>
      </c>
      <c r="F658" s="3"/>
      <c r="G658" s="3" t="s">
        <v>308</v>
      </c>
      <c r="H658" s="3"/>
      <c r="I658" s="3"/>
      <c r="J658" s="3" t="s">
        <v>2964</v>
      </c>
      <c r="K658" s="3"/>
      <c r="L658" s="3" t="s">
        <v>2965</v>
      </c>
      <c r="M658" s="3" t="str">
        <f>HYPERLINK("https://ceds.ed.gov/cedselementdetails.aspx?termid=5041")</f>
        <v>https://ceds.ed.gov/cedselementdetails.aspx?termid=5041</v>
      </c>
      <c r="N658" s="3" t="str">
        <f>HYPERLINK("https://ceds.ed.gov/elementComment.aspx?elementName=High School Student Class Rank &amp;elementID=5041", "Click here to submit comment")</f>
        <v>Click here to submit comment</v>
      </c>
    </row>
    <row r="659" spans="1:14" ht="120">
      <c r="A659" s="3" t="s">
        <v>2966</v>
      </c>
      <c r="B659" s="3" t="s">
        <v>2967</v>
      </c>
      <c r="C659" s="4" t="s">
        <v>6530</v>
      </c>
      <c r="D659" s="3" t="s">
        <v>388</v>
      </c>
      <c r="E659" s="3" t="s">
        <v>202</v>
      </c>
      <c r="F659" s="3"/>
      <c r="G659" s="3"/>
      <c r="H659" s="3"/>
      <c r="I659" s="3"/>
      <c r="J659" s="3" t="s">
        <v>2968</v>
      </c>
      <c r="K659" s="3"/>
      <c r="L659" s="3" t="s">
        <v>2969</v>
      </c>
      <c r="M659" s="3" t="str">
        <f>HYPERLINK("https://ceds.ed.gov/cedselementdetails.aspx?termid=5817")</f>
        <v>https://ceds.ed.gov/cedselementdetails.aspx?termid=5817</v>
      </c>
      <c r="N659" s="3" t="str">
        <f>HYPERLINK("https://ceds.ed.gov/elementComment.aspx?elementName=Higher Education Institution Accreditation Status &amp;elementID=5817", "Click here to submit comment")</f>
        <v>Click here to submit comment</v>
      </c>
    </row>
    <row r="660" spans="1:14" ht="409.5">
      <c r="A660" s="3" t="s">
        <v>2970</v>
      </c>
      <c r="B660" s="3" t="s">
        <v>2971</v>
      </c>
      <c r="C660" s="4" t="s">
        <v>6531</v>
      </c>
      <c r="D660" s="3" t="s">
        <v>6194</v>
      </c>
      <c r="E660" s="3" t="s">
        <v>6195</v>
      </c>
      <c r="F660" s="3" t="s">
        <v>66</v>
      </c>
      <c r="G660" s="3"/>
      <c r="H660" s="3" t="s">
        <v>2972</v>
      </c>
      <c r="I660" s="3"/>
      <c r="J660" s="3" t="s">
        <v>2973</v>
      </c>
      <c r="K660" s="3"/>
      <c r="L660" s="3" t="s">
        <v>2974</v>
      </c>
      <c r="M660" s="3" t="str">
        <f>HYPERLINK("https://ceds.ed.gov/cedselementdetails.aspx?termid=5141")</f>
        <v>https://ceds.ed.gov/cedselementdetails.aspx?termid=5141</v>
      </c>
      <c r="N660" s="3" t="str">
        <f>HYPERLINK("https://ceds.ed.gov/elementComment.aspx?elementName=Highest Level of Education Completed &amp;elementID=5141", "Click here to submit comment")</f>
        <v>Click here to submit comment</v>
      </c>
    </row>
    <row r="661" spans="1:14" ht="60">
      <c r="A661" s="3" t="s">
        <v>2975</v>
      </c>
      <c r="B661" s="3" t="s">
        <v>2976</v>
      </c>
      <c r="C661" s="4" t="s">
        <v>6532</v>
      </c>
      <c r="D661" s="3" t="s">
        <v>2977</v>
      </c>
      <c r="E661" s="3" t="s">
        <v>218</v>
      </c>
      <c r="F661" s="3"/>
      <c r="G661" s="3"/>
      <c r="H661" s="3"/>
      <c r="I661" s="3"/>
      <c r="J661" s="3" t="s">
        <v>2978</v>
      </c>
      <c r="K661" s="3"/>
      <c r="L661" s="3" t="s">
        <v>2979</v>
      </c>
      <c r="M661" s="3" t="str">
        <f>HYPERLINK("https://ceds.ed.gov/cedselementdetails.aspx?termid=5142")</f>
        <v>https://ceds.ed.gov/cedselementdetails.aspx?termid=5142</v>
      </c>
      <c r="N661" s="3" t="str">
        <f>HYPERLINK("https://ceds.ed.gov/elementComment.aspx?elementName=Highly Qualified Teacher Indicator &amp;elementID=5142", "Click here to submit comment")</f>
        <v>Click here to submit comment</v>
      </c>
    </row>
    <row r="662" spans="1:14" ht="210">
      <c r="A662" s="3" t="s">
        <v>2980</v>
      </c>
      <c r="B662" s="3" t="s">
        <v>2981</v>
      </c>
      <c r="C662" s="3" t="s">
        <v>13</v>
      </c>
      <c r="D662" s="3" t="s">
        <v>6196</v>
      </c>
      <c r="E662" s="3" t="s">
        <v>6197</v>
      </c>
      <c r="F662" s="3" t="s">
        <v>3</v>
      </c>
      <c r="G662" s="3" t="s">
        <v>73</v>
      </c>
      <c r="H662" s="3"/>
      <c r="I662" s="3" t="s">
        <v>2982</v>
      </c>
      <c r="J662" s="3" t="s">
        <v>2983</v>
      </c>
      <c r="K662" s="3"/>
      <c r="L662" s="3" t="s">
        <v>2984</v>
      </c>
      <c r="M662" s="3" t="str">
        <f>HYPERLINK("https://ceds.ed.gov/cedselementdetails.aspx?termid=5143")</f>
        <v>https://ceds.ed.gov/cedselementdetails.aspx?termid=5143</v>
      </c>
      <c r="N662" s="3" t="str">
        <f>HYPERLINK("https://ceds.ed.gov/elementComment.aspx?elementName=Hire Date &amp;elementID=5143", "Click here to submit comment")</f>
        <v>Click here to submit comment</v>
      </c>
    </row>
    <row r="663" spans="1:14" ht="315">
      <c r="A663" s="3" t="s">
        <v>2985</v>
      </c>
      <c r="B663" s="3" t="s">
        <v>2986</v>
      </c>
      <c r="C663" s="4" t="s">
        <v>6373</v>
      </c>
      <c r="D663" s="3" t="s">
        <v>5985</v>
      </c>
      <c r="E663" s="3" t="s">
        <v>5986</v>
      </c>
      <c r="F663" s="3"/>
      <c r="G663" s="3"/>
      <c r="H663" s="3"/>
      <c r="I663" s="3" t="s">
        <v>353</v>
      </c>
      <c r="J663" s="3" t="s">
        <v>2987</v>
      </c>
      <c r="K663" s="3"/>
      <c r="L663" s="3" t="s">
        <v>2988</v>
      </c>
      <c r="M663" s="3" t="str">
        <f>HYPERLINK("https://ceds.ed.gov/cedselementdetails.aspx?termid=5144")</f>
        <v>https://ceds.ed.gov/cedselementdetails.aspx?termid=5144</v>
      </c>
      <c r="N663" s="3" t="str">
        <f>HYPERLINK("https://ceds.ed.gov/elementComment.aspx?elementName=Hispanic or Latino Ethnicity &amp;elementID=5144", "Click here to submit comment")</f>
        <v>Click here to submit comment</v>
      </c>
    </row>
    <row r="664" spans="1:14" ht="75">
      <c r="A664" s="3" t="s">
        <v>2989</v>
      </c>
      <c r="B664" s="3" t="s">
        <v>2990</v>
      </c>
      <c r="C664" s="4" t="s">
        <v>6533</v>
      </c>
      <c r="D664" s="3" t="s">
        <v>2991</v>
      </c>
      <c r="E664" s="3" t="s">
        <v>218</v>
      </c>
      <c r="F664" s="3"/>
      <c r="G664" s="3"/>
      <c r="H664" s="3"/>
      <c r="I664" s="3"/>
      <c r="J664" s="3" t="s">
        <v>2992</v>
      </c>
      <c r="K664" s="3"/>
      <c r="L664" s="3" t="s">
        <v>2993</v>
      </c>
      <c r="M664" s="3" t="str">
        <f>HYPERLINK("https://ceds.ed.gov/cedselementdetails.aspx?termid=5146")</f>
        <v>https://ceds.ed.gov/cedselementdetails.aspx?termid=5146</v>
      </c>
      <c r="N664" s="3" t="str">
        <f>HYPERLINK("https://ceds.ed.gov/elementComment.aspx?elementName=Homeless Primary Nighttime Residence &amp;elementID=5146", "Click here to submit comment")</f>
        <v>Click here to submit comment</v>
      </c>
    </row>
    <row r="665" spans="1:14" ht="45">
      <c r="A665" s="3" t="s">
        <v>2994</v>
      </c>
      <c r="B665" s="3" t="s">
        <v>2995</v>
      </c>
      <c r="C665" s="3" t="s">
        <v>5963</v>
      </c>
      <c r="D665" s="3" t="s">
        <v>2991</v>
      </c>
      <c r="E665" s="3"/>
      <c r="F665" s="3"/>
      <c r="G665" s="3"/>
      <c r="H665" s="3"/>
      <c r="I665" s="3"/>
      <c r="J665" s="3" t="s">
        <v>2996</v>
      </c>
      <c r="K665" s="3"/>
      <c r="L665" s="3" t="s">
        <v>2997</v>
      </c>
      <c r="M665" s="3" t="str">
        <f>HYPERLINK("https://ceds.ed.gov/cedselementdetails.aspx?termid=5147")</f>
        <v>https://ceds.ed.gov/cedselementdetails.aspx?termid=5147</v>
      </c>
      <c r="N665" s="3" t="str">
        <f>HYPERLINK("https://ceds.ed.gov/elementComment.aspx?elementName=Homeless Serviced Indicator &amp;elementID=5147", "Click here to submit comment")</f>
        <v>Click here to submit comment</v>
      </c>
    </row>
    <row r="666" spans="1:14" ht="45">
      <c r="A666" s="3" t="s">
        <v>2998</v>
      </c>
      <c r="B666" s="3" t="s">
        <v>2999</v>
      </c>
      <c r="C666" s="3" t="s">
        <v>5963</v>
      </c>
      <c r="D666" s="3" t="s">
        <v>2991</v>
      </c>
      <c r="E666" s="3" t="s">
        <v>218</v>
      </c>
      <c r="F666" s="3"/>
      <c r="G666" s="3"/>
      <c r="H666" s="3"/>
      <c r="I666" s="3"/>
      <c r="J666" s="3" t="s">
        <v>3000</v>
      </c>
      <c r="K666" s="3"/>
      <c r="L666" s="3" t="s">
        <v>3001</v>
      </c>
      <c r="M666" s="3" t="str">
        <f>HYPERLINK("https://ceds.ed.gov/cedselementdetails.aspx?termid=5148")</f>
        <v>https://ceds.ed.gov/cedselementdetails.aspx?termid=5148</v>
      </c>
      <c r="N666" s="3" t="str">
        <f>HYPERLINK("https://ceds.ed.gov/elementComment.aspx?elementName=Homeless Unaccompanied Youth Status &amp;elementID=5148", "Click here to submit comment")</f>
        <v>Click here to submit comment</v>
      </c>
    </row>
    <row r="667" spans="1:14" ht="409.5">
      <c r="A667" s="3" t="s">
        <v>3002</v>
      </c>
      <c r="B667" s="3" t="s">
        <v>3003</v>
      </c>
      <c r="C667" s="3" t="s">
        <v>5963</v>
      </c>
      <c r="D667" s="3" t="s">
        <v>6198</v>
      </c>
      <c r="E667" s="3" t="s">
        <v>6199</v>
      </c>
      <c r="F667" s="3"/>
      <c r="G667" s="3"/>
      <c r="H667" s="3"/>
      <c r="I667" s="3"/>
      <c r="J667" s="3" t="s">
        <v>3004</v>
      </c>
      <c r="K667" s="3"/>
      <c r="L667" s="3" t="s">
        <v>3005</v>
      </c>
      <c r="M667" s="3" t="str">
        <f>HYPERLINK("https://ceds.ed.gov/cedselementdetails.aspx?termid=5149")</f>
        <v>https://ceds.ed.gov/cedselementdetails.aspx?termid=5149</v>
      </c>
      <c r="N667" s="3" t="str">
        <f>HYPERLINK("https://ceds.ed.gov/elementComment.aspx?elementName=Homelessness Status &amp;elementID=5149", "Click here to submit comment")</f>
        <v>Click here to submit comment</v>
      </c>
    </row>
    <row r="668" spans="1:14" ht="90">
      <c r="A668" s="3" t="s">
        <v>3006</v>
      </c>
      <c r="B668" s="3" t="s">
        <v>3007</v>
      </c>
      <c r="C668" s="3" t="s">
        <v>13</v>
      </c>
      <c r="D668" s="3" t="s">
        <v>30</v>
      </c>
      <c r="E668" s="3" t="s">
        <v>5968</v>
      </c>
      <c r="F668" s="3"/>
      <c r="G668" s="3" t="s">
        <v>25</v>
      </c>
      <c r="H668" s="3"/>
      <c r="I668" s="3"/>
      <c r="J668" s="3" t="s">
        <v>3008</v>
      </c>
      <c r="K668" s="3"/>
      <c r="L668" s="3" t="s">
        <v>3009</v>
      </c>
      <c r="M668" s="3" t="str">
        <f>HYPERLINK("https://ceds.ed.gov/cedselementdetails.aspx?termid=5150")</f>
        <v>https://ceds.ed.gov/cedselementdetails.aspx?termid=5150</v>
      </c>
      <c r="N668" s="3" t="str">
        <f>HYPERLINK("https://ceds.ed.gov/elementComment.aspx?elementName=Honors Description &amp;elementID=5150", "Click here to submit comment")</f>
        <v>Click here to submit comment</v>
      </c>
    </row>
    <row r="669" spans="1:14" ht="30">
      <c r="A669" s="3" t="s">
        <v>3010</v>
      </c>
      <c r="B669" s="3" t="s">
        <v>3011</v>
      </c>
      <c r="C669" s="3" t="s">
        <v>13</v>
      </c>
      <c r="D669" s="3" t="s">
        <v>3012</v>
      </c>
      <c r="E669" s="3" t="s">
        <v>202</v>
      </c>
      <c r="F669" s="3"/>
      <c r="G669" s="3" t="s">
        <v>389</v>
      </c>
      <c r="H669" s="3"/>
      <c r="I669" s="3"/>
      <c r="J669" s="3" t="s">
        <v>3013</v>
      </c>
      <c r="K669" s="3"/>
      <c r="L669" s="3" t="s">
        <v>3014</v>
      </c>
      <c r="M669" s="3" t="str">
        <f>HYPERLINK("https://ceds.ed.gov/cedselementdetails.aspx?termid=5796")</f>
        <v>https://ceds.ed.gov/cedselementdetails.aspx?termid=5796</v>
      </c>
      <c r="N669" s="3" t="str">
        <f>HYPERLINK("https://ceds.ed.gov/elementComment.aspx?elementName=Hourly Wage &amp;elementID=5796", "Click here to submit comment")</f>
        <v>Click here to submit comment</v>
      </c>
    </row>
    <row r="670" spans="1:14" ht="75">
      <c r="A670" s="3" t="s">
        <v>3015</v>
      </c>
      <c r="B670" s="3" t="s">
        <v>3016</v>
      </c>
      <c r="C670" s="3" t="s">
        <v>13</v>
      </c>
      <c r="D670" s="3" t="s">
        <v>6128</v>
      </c>
      <c r="E670" s="3" t="s">
        <v>6129</v>
      </c>
      <c r="F670" s="3"/>
      <c r="G670" s="3" t="s">
        <v>1461</v>
      </c>
      <c r="H670" s="3"/>
      <c r="I670" s="3"/>
      <c r="J670" s="3" t="s">
        <v>3017</v>
      </c>
      <c r="K670" s="3"/>
      <c r="L670" s="3" t="s">
        <v>3018</v>
      </c>
      <c r="M670" s="3" t="str">
        <f>HYPERLINK("https://ceds.ed.gov/cedselementdetails.aspx?termid=5353")</f>
        <v>https://ceds.ed.gov/cedselementdetails.aspx?termid=5353</v>
      </c>
      <c r="N670" s="3" t="str">
        <f>HYPERLINK("https://ceds.ed.gov/elementComment.aspx?elementName=Hours Available Per Day &amp;elementID=5353", "Click here to submit comment")</f>
        <v>Click here to submit comment</v>
      </c>
    </row>
    <row r="671" spans="1:14" ht="30">
      <c r="A671" s="3" t="s">
        <v>3019</v>
      </c>
      <c r="B671" s="3" t="s">
        <v>3020</v>
      </c>
      <c r="C671" s="3" t="s">
        <v>13</v>
      </c>
      <c r="D671" s="3" t="s">
        <v>3012</v>
      </c>
      <c r="E671" s="3" t="s">
        <v>202</v>
      </c>
      <c r="F671" s="3"/>
      <c r="G671" s="3" t="s">
        <v>389</v>
      </c>
      <c r="H671" s="3"/>
      <c r="I671" s="3"/>
      <c r="J671" s="3" t="s">
        <v>3021</v>
      </c>
      <c r="K671" s="3"/>
      <c r="L671" s="3" t="s">
        <v>3022</v>
      </c>
      <c r="M671" s="3" t="str">
        <f>HYPERLINK("https://ceds.ed.gov/cedselementdetails.aspx?termid=5795")</f>
        <v>https://ceds.ed.gov/cedselementdetails.aspx?termid=5795</v>
      </c>
      <c r="N671" s="3" t="str">
        <f>HYPERLINK("https://ceds.ed.gov/elementComment.aspx?elementName=Hours Worked Per Week &amp;elementID=5795", "Click here to submit comment")</f>
        <v>Click here to submit comment</v>
      </c>
    </row>
    <row r="672" spans="1:14" ht="180">
      <c r="A672" s="3" t="s">
        <v>3023</v>
      </c>
      <c r="B672" s="3" t="s">
        <v>3024</v>
      </c>
      <c r="C672" s="4" t="s">
        <v>6534</v>
      </c>
      <c r="D672" s="3" t="s">
        <v>2235</v>
      </c>
      <c r="E672" s="3" t="s">
        <v>218</v>
      </c>
      <c r="F672" s="3"/>
      <c r="G672" s="3"/>
      <c r="H672" s="3"/>
      <c r="I672" s="3"/>
      <c r="J672" s="3" t="s">
        <v>3025</v>
      </c>
      <c r="K672" s="3"/>
      <c r="L672" s="3" t="s">
        <v>3026</v>
      </c>
      <c r="M672" s="3" t="str">
        <f>HYPERLINK("https://ceds.ed.gov/cedselementdetails.aspx?termid=5547")</f>
        <v>https://ceds.ed.gov/cedselementdetails.aspx?termid=5547</v>
      </c>
      <c r="N672" s="3" t="str">
        <f>HYPERLINK("https://ceds.ed.gov/elementComment.aspx?elementName=IDEA Discipline Method for Firearms Incidents &amp;elementID=5547", "Click here to submit comment")</f>
        <v>Click here to submit comment</v>
      </c>
    </row>
    <row r="673" spans="1:14" ht="255">
      <c r="A673" s="3" t="s">
        <v>3027</v>
      </c>
      <c r="B673" s="3" t="s">
        <v>3028</v>
      </c>
      <c r="C673" s="4" t="s">
        <v>6535</v>
      </c>
      <c r="D673" s="3" t="s">
        <v>383</v>
      </c>
      <c r="E673" s="3" t="s">
        <v>218</v>
      </c>
      <c r="F673" s="3"/>
      <c r="G673" s="3"/>
      <c r="H673" s="3"/>
      <c r="I673" s="3"/>
      <c r="J673" s="3" t="s">
        <v>3029</v>
      </c>
      <c r="K673" s="3"/>
      <c r="L673" s="3" t="s">
        <v>3030</v>
      </c>
      <c r="M673" s="3" t="str">
        <f>HYPERLINK("https://ceds.ed.gov/cedselementdetails.aspx?termid=5550")</f>
        <v>https://ceds.ed.gov/cedselementdetails.aspx?termid=5550</v>
      </c>
      <c r="N673" s="3" t="str">
        <f>HYPERLINK("https://ceds.ed.gov/elementComment.aspx?elementName=IDEA Educational Environment for Early Childhood &amp;elementID=5550", "Click here to submit comment")</f>
        <v>Click here to submit comment</v>
      </c>
    </row>
    <row r="674" spans="1:14" ht="195">
      <c r="A674" s="3" t="s">
        <v>3031</v>
      </c>
      <c r="B674" s="3" t="s">
        <v>3032</v>
      </c>
      <c r="C674" s="4" t="s">
        <v>6536</v>
      </c>
      <c r="D674" s="3" t="s">
        <v>1466</v>
      </c>
      <c r="E674" s="3" t="s">
        <v>218</v>
      </c>
      <c r="F674" s="3"/>
      <c r="G674" s="3"/>
      <c r="H674" s="3"/>
      <c r="I674" s="3"/>
      <c r="J674" s="3" t="s">
        <v>3033</v>
      </c>
      <c r="K674" s="3"/>
      <c r="L674" s="3" t="s">
        <v>3034</v>
      </c>
      <c r="M674" s="3" t="str">
        <f>HYPERLINK("https://ceds.ed.gov/cedselementdetails.aspx?termid=5526")</f>
        <v>https://ceds.ed.gov/cedselementdetails.aspx?termid=5526</v>
      </c>
      <c r="N674" s="3" t="str">
        <f>HYPERLINK("https://ceds.ed.gov/elementComment.aspx?elementName=IDEA Educational Environment for School Age &amp;elementID=5526", "Click here to submit comment")</f>
        <v>Click here to submit comment</v>
      </c>
    </row>
    <row r="675" spans="1:14" ht="60">
      <c r="A675" s="3" t="s">
        <v>3035</v>
      </c>
      <c r="B675" s="3" t="s">
        <v>3036</v>
      </c>
      <c r="C675" s="4" t="s">
        <v>6537</v>
      </c>
      <c r="D675" s="3" t="s">
        <v>3037</v>
      </c>
      <c r="E675" s="3"/>
      <c r="F675" s="3" t="s">
        <v>54</v>
      </c>
      <c r="G675" s="3"/>
      <c r="H675" s="3"/>
      <c r="I675" s="3"/>
      <c r="J675" s="3" t="s">
        <v>3038</v>
      </c>
      <c r="K675" s="3"/>
      <c r="L675" s="3" t="s">
        <v>3039</v>
      </c>
      <c r="M675" s="3" t="str">
        <f>HYPERLINK("https://ceds.ed.gov/cedselementdetails.aspx?termid=6473")</f>
        <v>https://ceds.ed.gov/cedselementdetails.aspx?termid=6473</v>
      </c>
      <c r="N675" s="3" t="str">
        <f>HYPERLINK("https://ceds.ed.gov/elementComment.aspx?elementName=IDEA IEP Status &amp;elementID=6473", "Click here to submit comment")</f>
        <v>Click here to submit comment</v>
      </c>
    </row>
    <row r="676" spans="1:14" ht="285">
      <c r="A676" s="3" t="s">
        <v>3040</v>
      </c>
      <c r="B676" s="3" t="s">
        <v>3041</v>
      </c>
      <c r="C676" s="3" t="s">
        <v>5963</v>
      </c>
      <c r="D676" s="3" t="s">
        <v>6137</v>
      </c>
      <c r="E676" s="3" t="s">
        <v>6200</v>
      </c>
      <c r="F676" s="3" t="s">
        <v>3</v>
      </c>
      <c r="G676" s="3"/>
      <c r="H676" s="3"/>
      <c r="I676" s="3"/>
      <c r="J676" s="3" t="s">
        <v>3042</v>
      </c>
      <c r="K676" s="3"/>
      <c r="L676" s="3" t="s">
        <v>3043</v>
      </c>
      <c r="M676" s="3" t="str">
        <f>HYPERLINK("https://ceds.ed.gov/cedselementdetails.aspx?termid=5151")</f>
        <v>https://ceds.ed.gov/cedselementdetails.aspx?termid=5151</v>
      </c>
      <c r="N676" s="3" t="str">
        <f>HYPERLINK("https://ceds.ed.gov/elementComment.aspx?elementName=IDEA Indicator &amp;elementID=5151", "Click here to submit comment")</f>
        <v>Click here to submit comment</v>
      </c>
    </row>
    <row r="677" spans="1:14" ht="75">
      <c r="A677" s="3" t="s">
        <v>3044</v>
      </c>
      <c r="B677" s="3" t="s">
        <v>3045</v>
      </c>
      <c r="C677" s="4" t="s">
        <v>6538</v>
      </c>
      <c r="D677" s="3" t="s">
        <v>6138</v>
      </c>
      <c r="E677" s="3" t="s">
        <v>218</v>
      </c>
      <c r="F677" s="3"/>
      <c r="G677" s="3"/>
      <c r="H677" s="3"/>
      <c r="I677" s="3"/>
      <c r="J677" s="3" t="s">
        <v>3046</v>
      </c>
      <c r="K677" s="3"/>
      <c r="L677" s="3" t="s">
        <v>3047</v>
      </c>
      <c r="M677" s="3" t="str">
        <f>HYPERLINK("https://ceds.ed.gov/cedselementdetails.aspx?termid=5532")</f>
        <v>https://ceds.ed.gov/cedselementdetails.aspx?termid=5532</v>
      </c>
      <c r="N677" s="3" t="str">
        <f>HYPERLINK("https://ceds.ed.gov/elementComment.aspx?elementName=IDEA Interim Removal &amp;elementID=5532", "Click here to submit comment")</f>
        <v>Click here to submit comment</v>
      </c>
    </row>
    <row r="678" spans="1:14" ht="75">
      <c r="A678" s="3" t="s">
        <v>3048</v>
      </c>
      <c r="B678" s="3" t="s">
        <v>3049</v>
      </c>
      <c r="C678" s="4" t="s">
        <v>6539</v>
      </c>
      <c r="D678" s="3" t="s">
        <v>6138</v>
      </c>
      <c r="E678" s="3" t="s">
        <v>218</v>
      </c>
      <c r="F678" s="3"/>
      <c r="G678" s="3"/>
      <c r="H678" s="3"/>
      <c r="I678" s="3"/>
      <c r="J678" s="3" t="s">
        <v>3050</v>
      </c>
      <c r="K678" s="3"/>
      <c r="L678" s="3" t="s">
        <v>3051</v>
      </c>
      <c r="M678" s="3" t="str">
        <f>HYPERLINK("https://ceds.ed.gov/cedselementdetails.aspx?termid=5530")</f>
        <v>https://ceds.ed.gov/cedselementdetails.aspx?termid=5530</v>
      </c>
      <c r="N678" s="3" t="str">
        <f>HYPERLINK("https://ceds.ed.gov/elementComment.aspx?elementName=IDEA Interim Removal Reason &amp;elementID=5530", "Click here to submit comment")</f>
        <v>Click here to submit comment</v>
      </c>
    </row>
    <row r="679" spans="1:14" ht="45">
      <c r="A679" s="3" t="s">
        <v>3052</v>
      </c>
      <c r="B679" s="3" t="s">
        <v>3053</v>
      </c>
      <c r="C679" s="3" t="s">
        <v>5963</v>
      </c>
      <c r="D679" s="3" t="s">
        <v>6201</v>
      </c>
      <c r="E679" s="3"/>
      <c r="F679" s="3" t="s">
        <v>54</v>
      </c>
      <c r="G679" s="3"/>
      <c r="H679" s="3"/>
      <c r="I679" s="3"/>
      <c r="J679" s="3" t="s">
        <v>3054</v>
      </c>
      <c r="K679" s="3"/>
      <c r="L679" s="3" t="s">
        <v>3055</v>
      </c>
      <c r="M679" s="3" t="str">
        <f>HYPERLINK("https://ceds.ed.gov/cedselementdetails.aspx?termid=6327")</f>
        <v>https://ceds.ed.gov/cedselementdetails.aspx?termid=6327</v>
      </c>
      <c r="N679" s="3" t="str">
        <f>HYPERLINK("https://ceds.ed.gov/elementComment.aspx?elementName=IDEA Part B 619 Potential Eligibility Indicator &amp;elementID=6327", "Click here to submit comment")</f>
        <v>Click here to submit comment</v>
      </c>
    </row>
    <row r="680" spans="1:14" ht="75">
      <c r="A680" s="3" t="s">
        <v>3056</v>
      </c>
      <c r="B680" s="3" t="s">
        <v>3057</v>
      </c>
      <c r="C680" s="3" t="s">
        <v>13</v>
      </c>
      <c r="D680" s="3" t="s">
        <v>3037</v>
      </c>
      <c r="E680" s="3"/>
      <c r="F680" s="3" t="s">
        <v>54</v>
      </c>
      <c r="G680" s="3" t="s">
        <v>73</v>
      </c>
      <c r="H680" s="3"/>
      <c r="I680" s="3"/>
      <c r="J680" s="3" t="s">
        <v>3058</v>
      </c>
      <c r="K680" s="3"/>
      <c r="L680" s="3" t="s">
        <v>3059</v>
      </c>
      <c r="M680" s="3" t="str">
        <f>HYPERLINK("https://ceds.ed.gov/cedselementdetails.aspx?termid=6472")</f>
        <v>https://ceds.ed.gov/cedselementdetails.aspx?termid=6472</v>
      </c>
      <c r="N680" s="3" t="str">
        <f>HYPERLINK("https://ceds.ed.gov/elementComment.aspx?elementName=IDEA Part C to B Sharing Notification Date &amp;elementID=6472", "Click here to submit comment")</f>
        <v>Click here to submit comment</v>
      </c>
    </row>
    <row r="681" spans="1:14" ht="30">
      <c r="A681" s="3" t="s">
        <v>3060</v>
      </c>
      <c r="B681" s="3" t="s">
        <v>3061</v>
      </c>
      <c r="C681" s="3" t="s">
        <v>13</v>
      </c>
      <c r="D681" s="3" t="s">
        <v>3037</v>
      </c>
      <c r="E681" s="3"/>
      <c r="F681" s="3" t="s">
        <v>54</v>
      </c>
      <c r="G681" s="3" t="s">
        <v>73</v>
      </c>
      <c r="H681" s="3"/>
      <c r="I681" s="3"/>
      <c r="J681" s="3" t="s">
        <v>3062</v>
      </c>
      <c r="K681" s="3"/>
      <c r="L681" s="3" t="s">
        <v>3063</v>
      </c>
      <c r="M681" s="3" t="str">
        <f>HYPERLINK("https://ceds.ed.gov/cedselementdetails.aspx?termid=6333")</f>
        <v>https://ceds.ed.gov/cedselementdetails.aspx?termid=6333</v>
      </c>
      <c r="N681" s="3" t="str">
        <f>HYPERLINK("https://ceds.ed.gov/elementComment.aspx?elementName=IDEA Part C to Part B Date of Transition Conference &amp;elementID=6333", "Click here to submit comment")</f>
        <v>Click here to submit comment</v>
      </c>
    </row>
    <row r="682" spans="1:14" ht="45">
      <c r="A682" s="3" t="s">
        <v>3064</v>
      </c>
      <c r="B682" s="3" t="s">
        <v>3065</v>
      </c>
      <c r="C682" s="3" t="s">
        <v>13</v>
      </c>
      <c r="D682" s="3" t="s">
        <v>3037</v>
      </c>
      <c r="E682" s="3"/>
      <c r="F682" s="3" t="s">
        <v>54</v>
      </c>
      <c r="G682" s="3" t="s">
        <v>73</v>
      </c>
      <c r="H682" s="3"/>
      <c r="I682" s="3"/>
      <c r="J682" s="3" t="s">
        <v>3066</v>
      </c>
      <c r="K682" s="3"/>
      <c r="L682" s="3" t="s">
        <v>3067</v>
      </c>
      <c r="M682" s="3" t="str">
        <f>HYPERLINK("https://ceds.ed.gov/cedselementdetails.aspx?termid=6334")</f>
        <v>https://ceds.ed.gov/cedselementdetails.aspx?termid=6334</v>
      </c>
      <c r="N682" s="3" t="str">
        <f>HYPERLINK("https://ceds.ed.gov/elementComment.aspx?elementName=IDEA Part C to Part B Date of Transition Conference Decline &amp;elementID=6334", "Click here to submit comment")</f>
        <v>Click here to submit comment</v>
      </c>
    </row>
    <row r="683" spans="1:14" ht="45">
      <c r="A683" s="3" t="s">
        <v>3068</v>
      </c>
      <c r="B683" s="3" t="s">
        <v>3069</v>
      </c>
      <c r="C683" s="3" t="s">
        <v>13</v>
      </c>
      <c r="D683" s="3" t="s">
        <v>3037</v>
      </c>
      <c r="E683" s="3"/>
      <c r="F683" s="3" t="s">
        <v>54</v>
      </c>
      <c r="G683" s="3" t="s">
        <v>73</v>
      </c>
      <c r="H683" s="3"/>
      <c r="I683" s="3"/>
      <c r="J683" s="3" t="s">
        <v>3070</v>
      </c>
      <c r="K683" s="3"/>
      <c r="L683" s="3" t="s">
        <v>3071</v>
      </c>
      <c r="M683" s="3" t="str">
        <f>HYPERLINK("https://ceds.ed.gov/cedselementdetails.aspx?termid=6335")</f>
        <v>https://ceds.ed.gov/cedselementdetails.aspx?termid=6335</v>
      </c>
      <c r="N683" s="3" t="str">
        <f>HYPERLINK("https://ceds.ed.gov/elementComment.aspx?elementName=IDEA Part C to Part B Date of Transition Plan Steps or Services &amp;elementID=6335", "Click here to submit comment")</f>
        <v>Click here to submit comment</v>
      </c>
    </row>
    <row r="684" spans="1:14" ht="105">
      <c r="A684" s="3" t="s">
        <v>3072</v>
      </c>
      <c r="B684" s="3" t="s">
        <v>3073</v>
      </c>
      <c r="C684" s="3" t="s">
        <v>13</v>
      </c>
      <c r="D684" s="3" t="s">
        <v>3037</v>
      </c>
      <c r="E684" s="3"/>
      <c r="F684" s="3" t="s">
        <v>54</v>
      </c>
      <c r="G684" s="3" t="s">
        <v>73</v>
      </c>
      <c r="H684" s="3"/>
      <c r="I684" s="3"/>
      <c r="J684" s="3" t="s">
        <v>3074</v>
      </c>
      <c r="K684" s="3"/>
      <c r="L684" s="3" t="s">
        <v>3075</v>
      </c>
      <c r="M684" s="3" t="str">
        <f>HYPERLINK("https://ceds.ed.gov/cedselementdetails.aspx?termid=6331")</f>
        <v>https://ceds.ed.gov/cedselementdetails.aspx?termid=6331</v>
      </c>
      <c r="N684" s="3" t="str">
        <f>HYPERLINK("https://ceds.ed.gov/elementComment.aspx?elementName=IDEA Part C to Part B Parent Notification Opt Out Date &amp;elementID=6331", "Click here to submit comment")</f>
        <v>Click here to submit comment</v>
      </c>
    </row>
    <row r="685" spans="1:14" ht="105">
      <c r="A685" s="3" t="s">
        <v>3076</v>
      </c>
      <c r="B685" s="3" t="s">
        <v>3077</v>
      </c>
      <c r="C685" s="3" t="s">
        <v>5963</v>
      </c>
      <c r="D685" s="3" t="s">
        <v>3037</v>
      </c>
      <c r="E685" s="3"/>
      <c r="F685" s="3" t="s">
        <v>54</v>
      </c>
      <c r="G685" s="3"/>
      <c r="H685" s="3"/>
      <c r="I685" s="3"/>
      <c r="J685" s="3" t="s">
        <v>3078</v>
      </c>
      <c r="K685" s="3"/>
      <c r="L685" s="3" t="s">
        <v>3079</v>
      </c>
      <c r="M685" s="3" t="str">
        <f>HYPERLINK("https://ceds.ed.gov/cedselementdetails.aspx?termid=6330")</f>
        <v>https://ceds.ed.gov/cedselementdetails.aspx?termid=6330</v>
      </c>
      <c r="N685" s="3" t="str">
        <f>HYPERLINK("https://ceds.ed.gov/elementComment.aspx?elementName=IDEA Part C to Part B Parent Notification Opt Out Indicator &amp;elementID=6330", "Click here to submit comment")</f>
        <v>Click here to submit comment</v>
      </c>
    </row>
    <row r="686" spans="1:14" ht="120">
      <c r="A686" s="3" t="s">
        <v>3080</v>
      </c>
      <c r="B686" s="3" t="s">
        <v>3081</v>
      </c>
      <c r="C686" s="3" t="s">
        <v>6065</v>
      </c>
      <c r="D686" s="3" t="s">
        <v>6202</v>
      </c>
      <c r="E686" s="3"/>
      <c r="F686" s="3"/>
      <c r="G686" s="3"/>
      <c r="H686" s="3"/>
      <c r="I686" s="3"/>
      <c r="J686" s="3" t="s">
        <v>3082</v>
      </c>
      <c r="K686" s="3"/>
      <c r="L686" s="3" t="s">
        <v>3083</v>
      </c>
      <c r="M686" s="3" t="str">
        <f>HYPERLINK("https://ceds.ed.gov/cedselementdetails.aspx?termid=6141")</f>
        <v>https://ceds.ed.gov/cedselementdetails.aspx?termid=6141</v>
      </c>
      <c r="N686" s="3" t="str">
        <f>HYPERLINK("https://ceds.ed.gov/elementComment.aspx?elementName=Identification System for Assessment Form Section &amp;elementID=6141", "Click here to submit comment")</f>
        <v>Click here to submit comment</v>
      </c>
    </row>
    <row r="687" spans="1:14" ht="75">
      <c r="A687" s="3" t="s">
        <v>3084</v>
      </c>
      <c r="B687" s="3" t="s">
        <v>3085</v>
      </c>
      <c r="C687" s="3" t="s">
        <v>13</v>
      </c>
      <c r="D687" s="3" t="s">
        <v>6203</v>
      </c>
      <c r="E687" s="3" t="s">
        <v>6204</v>
      </c>
      <c r="F687" s="3"/>
      <c r="G687" s="3" t="s">
        <v>73</v>
      </c>
      <c r="H687" s="3"/>
      <c r="I687" s="3"/>
      <c r="J687" s="3" t="s">
        <v>3086</v>
      </c>
      <c r="K687" s="3"/>
      <c r="L687" s="3" t="s">
        <v>3087</v>
      </c>
      <c r="M687" s="3" t="str">
        <f>HYPERLINK("https://ceds.ed.gov/cedselementdetails.aspx?termid=5306")</f>
        <v>https://ceds.ed.gov/cedselementdetails.aspx?termid=5306</v>
      </c>
      <c r="N687" s="3" t="str">
        <f>HYPERLINK("https://ceds.ed.gov/elementComment.aspx?elementName=Immunization Date &amp;elementID=5306", "Click here to submit comment")</f>
        <v>Click here to submit comment</v>
      </c>
    </row>
    <row r="688" spans="1:14" ht="60">
      <c r="A688" s="3" t="s">
        <v>3088</v>
      </c>
      <c r="B688" s="3" t="s">
        <v>3089</v>
      </c>
      <c r="C688" s="3" t="s">
        <v>5963</v>
      </c>
      <c r="D688" s="3" t="s">
        <v>2387</v>
      </c>
      <c r="E688" s="3" t="s">
        <v>65</v>
      </c>
      <c r="F688" s="3"/>
      <c r="G688" s="3"/>
      <c r="H688" s="3"/>
      <c r="I688" s="3"/>
      <c r="J688" s="3" t="s">
        <v>3090</v>
      </c>
      <c r="K688" s="3"/>
      <c r="L688" s="3" t="s">
        <v>3091</v>
      </c>
      <c r="M688" s="3" t="str">
        <f>HYPERLINK("https://ceds.ed.gov/cedselementdetails.aspx?termid=5849")</f>
        <v>https://ceds.ed.gov/cedselementdetails.aspx?termid=5849</v>
      </c>
      <c r="N688" s="3" t="str">
        <f>HYPERLINK("https://ceds.ed.gov/elementComment.aspx?elementName=Immunization Policy &amp;elementID=5849", "Click here to submit comment")</f>
        <v>Click here to submit comment</v>
      </c>
    </row>
    <row r="689" spans="1:14" ht="45">
      <c r="A689" s="3" t="s">
        <v>3092</v>
      </c>
      <c r="B689" s="3" t="s">
        <v>3093</v>
      </c>
      <c r="C689" s="3" t="s">
        <v>5963</v>
      </c>
      <c r="D689" s="3" t="s">
        <v>1479</v>
      </c>
      <c r="E689" s="3" t="s">
        <v>1480</v>
      </c>
      <c r="F689" s="3"/>
      <c r="G689" s="3"/>
      <c r="H689" s="3"/>
      <c r="I689" s="3"/>
      <c r="J689" s="3" t="s">
        <v>3094</v>
      </c>
      <c r="K689" s="3"/>
      <c r="L689" s="3" t="s">
        <v>3095</v>
      </c>
      <c r="M689" s="3" t="str">
        <f>HYPERLINK("https://ceds.ed.gov/cedselementdetails.aspx?termid=5428")</f>
        <v>https://ceds.ed.gov/cedselementdetails.aspx?termid=5428</v>
      </c>
      <c r="N689" s="3" t="str">
        <f>HYPERLINK("https://ceds.ed.gov/elementComment.aspx?elementName=Immunization Record Flag &amp;elementID=5428", "Click here to submit comment")</f>
        <v>Click here to submit comment</v>
      </c>
    </row>
    <row r="690" spans="1:14" ht="345">
      <c r="A690" s="3" t="s">
        <v>3096</v>
      </c>
      <c r="B690" s="3" t="s">
        <v>3097</v>
      </c>
      <c r="C690" s="4" t="s">
        <v>6540</v>
      </c>
      <c r="D690" s="3" t="s">
        <v>6203</v>
      </c>
      <c r="E690" s="3"/>
      <c r="F690" s="3"/>
      <c r="G690" s="3"/>
      <c r="H690" s="3"/>
      <c r="I690" s="3"/>
      <c r="J690" s="3" t="s">
        <v>3098</v>
      </c>
      <c r="K690" s="3"/>
      <c r="L690" s="3" t="s">
        <v>3099</v>
      </c>
      <c r="M690" s="3" t="str">
        <f>HYPERLINK("https://ceds.ed.gov/cedselementdetails.aspx?termid=6214")</f>
        <v>https://ceds.ed.gov/cedselementdetails.aspx?termid=6214</v>
      </c>
      <c r="N690" s="3" t="str">
        <f>HYPERLINK("https://ceds.ed.gov/elementComment.aspx?elementName=Immunization Type &amp;elementID=6214", "Click here to submit comment")</f>
        <v>Click here to submit comment</v>
      </c>
    </row>
    <row r="691" spans="1:14" ht="409.5">
      <c r="A691" s="3" t="s">
        <v>3100</v>
      </c>
      <c r="B691" s="3" t="s">
        <v>3101</v>
      </c>
      <c r="C691" s="4" t="s">
        <v>6541</v>
      </c>
      <c r="D691" s="3" t="s">
        <v>2760</v>
      </c>
      <c r="E691" s="3"/>
      <c r="F691" s="3"/>
      <c r="G691" s="3"/>
      <c r="H691" s="3"/>
      <c r="I691" s="3"/>
      <c r="J691" s="3" t="s">
        <v>3102</v>
      </c>
      <c r="K691" s="3"/>
      <c r="L691" s="3" t="s">
        <v>3103</v>
      </c>
      <c r="M691" s="3" t="str">
        <f>HYPERLINK("https://ceds.ed.gov/cedselementdetails.aspx?termid=5500")</f>
        <v>https://ceds.ed.gov/cedselementdetails.aspx?termid=5500</v>
      </c>
      <c r="N691" s="3" t="str">
        <f>HYPERLINK("https://ceds.ed.gov/elementComment.aspx?elementName=Incident Behavior &amp;elementID=5500", "Click here to submit comment")</f>
        <v>Click here to submit comment</v>
      </c>
    </row>
    <row r="692" spans="1:14" ht="195">
      <c r="A692" s="3" t="s">
        <v>3104</v>
      </c>
      <c r="B692" s="3" t="s">
        <v>3105</v>
      </c>
      <c r="C692" s="3" t="s">
        <v>13</v>
      </c>
      <c r="D692" s="3" t="s">
        <v>2760</v>
      </c>
      <c r="E692" s="3"/>
      <c r="F692" s="3"/>
      <c r="G692" s="3" t="s">
        <v>100</v>
      </c>
      <c r="H692" s="3"/>
      <c r="I692" s="3"/>
      <c r="J692" s="3" t="s">
        <v>3106</v>
      </c>
      <c r="K692" s="3"/>
      <c r="L692" s="3" t="s">
        <v>3107</v>
      </c>
      <c r="M692" s="3" t="str">
        <f>HYPERLINK("https://ceds.ed.gov/cedselementdetails.aspx?termid=5496")</f>
        <v>https://ceds.ed.gov/cedselementdetails.aspx?termid=5496</v>
      </c>
      <c r="N692" s="3" t="str">
        <f>HYPERLINK("https://ceds.ed.gov/elementComment.aspx?elementName=Incident Cost &amp;elementID=5496", "Click here to submit comment")</f>
        <v>Click here to submit comment</v>
      </c>
    </row>
    <row r="693" spans="1:14" ht="30">
      <c r="A693" s="3" t="s">
        <v>3108</v>
      </c>
      <c r="B693" s="3" t="s">
        <v>3109</v>
      </c>
      <c r="C693" s="3" t="s">
        <v>13</v>
      </c>
      <c r="D693" s="3" t="s">
        <v>2760</v>
      </c>
      <c r="E693" s="3"/>
      <c r="F693" s="3"/>
      <c r="G693" s="3" t="s">
        <v>73</v>
      </c>
      <c r="H693" s="3"/>
      <c r="I693" s="3"/>
      <c r="J693" s="3" t="s">
        <v>3110</v>
      </c>
      <c r="K693" s="3"/>
      <c r="L693" s="3" t="s">
        <v>3111</v>
      </c>
      <c r="M693" s="3" t="str">
        <f>HYPERLINK("https://ceds.ed.gov/cedselementdetails.aspx?termid=5493")</f>
        <v>https://ceds.ed.gov/cedselementdetails.aspx?termid=5493</v>
      </c>
      <c r="N693" s="3" t="str">
        <f>HYPERLINK("https://ceds.ed.gov/elementComment.aspx?elementName=Incident Date &amp;elementID=5493", "Click here to submit comment")</f>
        <v>Click here to submit comment</v>
      </c>
    </row>
    <row r="694" spans="1:14">
      <c r="A694" s="3" t="s">
        <v>3112</v>
      </c>
      <c r="B694" s="3" t="s">
        <v>3113</v>
      </c>
      <c r="C694" s="3" t="s">
        <v>13</v>
      </c>
      <c r="D694" s="3" t="s">
        <v>2760</v>
      </c>
      <c r="E694" s="3"/>
      <c r="F694" s="3"/>
      <c r="G694" s="3" t="s">
        <v>3114</v>
      </c>
      <c r="H694" s="3"/>
      <c r="I694" s="3"/>
      <c r="J694" s="3" t="s">
        <v>3115</v>
      </c>
      <c r="K694" s="3"/>
      <c r="L694" s="3" t="s">
        <v>3116</v>
      </c>
      <c r="M694" s="3" t="str">
        <f>HYPERLINK("https://ceds.ed.gov/cedselementdetails.aspx?termid=5499")</f>
        <v>https://ceds.ed.gov/cedselementdetails.aspx?termid=5499</v>
      </c>
      <c r="N694" s="3" t="str">
        <f>HYPERLINK("https://ceds.ed.gov/elementComment.aspx?elementName=Incident Description &amp;elementID=5499", "Click here to submit comment")</f>
        <v>Click here to submit comment</v>
      </c>
    </row>
    <row r="695" spans="1:14" ht="105">
      <c r="A695" s="3" t="s">
        <v>3117</v>
      </c>
      <c r="B695" s="3" t="s">
        <v>3118</v>
      </c>
      <c r="C695" s="3" t="s">
        <v>13</v>
      </c>
      <c r="D695" s="3" t="s">
        <v>2760</v>
      </c>
      <c r="E695" s="3"/>
      <c r="F695" s="3"/>
      <c r="G695" s="3" t="s">
        <v>149</v>
      </c>
      <c r="H695" s="3"/>
      <c r="I695" s="3"/>
      <c r="J695" s="3" t="s">
        <v>3119</v>
      </c>
      <c r="K695" s="3"/>
      <c r="L695" s="3" t="s">
        <v>3120</v>
      </c>
      <c r="M695" s="3" t="str">
        <f>HYPERLINK("https://ceds.ed.gov/cedselementdetails.aspx?termid=5492")</f>
        <v>https://ceds.ed.gov/cedselementdetails.aspx?termid=5492</v>
      </c>
      <c r="N695" s="3" t="str">
        <f>HYPERLINK("https://ceds.ed.gov/elementComment.aspx?elementName=Incident Identifier &amp;elementID=5492", "Click here to submit comment")</f>
        <v>Click here to submit comment</v>
      </c>
    </row>
    <row r="696" spans="1:14" ht="105">
      <c r="A696" s="3" t="s">
        <v>3121</v>
      </c>
      <c r="B696" s="3" t="s">
        <v>3122</v>
      </c>
      <c r="C696" s="4" t="s">
        <v>6542</v>
      </c>
      <c r="D696" s="3" t="s">
        <v>2760</v>
      </c>
      <c r="E696" s="3"/>
      <c r="F696" s="3"/>
      <c r="G696" s="3"/>
      <c r="H696" s="3"/>
      <c r="I696" s="3" t="s">
        <v>3123</v>
      </c>
      <c r="J696" s="3" t="s">
        <v>3124</v>
      </c>
      <c r="K696" s="3"/>
      <c r="L696" s="3" t="s">
        <v>3125</v>
      </c>
      <c r="M696" s="3" t="str">
        <f>HYPERLINK("https://ceds.ed.gov/cedselementdetails.aspx?termid=5501")</f>
        <v>https://ceds.ed.gov/cedselementdetails.aspx?termid=5501</v>
      </c>
      <c r="N696" s="3" t="str">
        <f>HYPERLINK("https://ceds.ed.gov/elementComment.aspx?elementName=Incident Injury Type &amp;elementID=5501", "Click here to submit comment")</f>
        <v>Click here to submit comment</v>
      </c>
    </row>
    <row r="697" spans="1:14" ht="409.5">
      <c r="A697" s="3" t="s">
        <v>3126</v>
      </c>
      <c r="B697" s="3" t="s">
        <v>3127</v>
      </c>
      <c r="C697" s="4" t="s">
        <v>6543</v>
      </c>
      <c r="D697" s="3" t="s">
        <v>2760</v>
      </c>
      <c r="E697" s="3"/>
      <c r="F697" s="3"/>
      <c r="G697" s="3"/>
      <c r="H697" s="3"/>
      <c r="I697" s="3"/>
      <c r="J697" s="3" t="s">
        <v>3128</v>
      </c>
      <c r="K697" s="3"/>
      <c r="L697" s="3" t="s">
        <v>3129</v>
      </c>
      <c r="M697" s="3" t="str">
        <f>HYPERLINK("https://ceds.ed.gov/cedselementdetails.aspx?termid=5610")</f>
        <v>https://ceds.ed.gov/cedselementdetails.aspx?termid=5610</v>
      </c>
      <c r="N697" s="3" t="str">
        <f>HYPERLINK("https://ceds.ed.gov/elementComment.aspx?elementName=Incident Location &amp;elementID=5610", "Click here to submit comment")</f>
        <v>Click here to submit comment</v>
      </c>
    </row>
    <row r="698" spans="1:14" ht="60">
      <c r="A698" s="3" t="s">
        <v>3130</v>
      </c>
      <c r="B698" s="3" t="s">
        <v>3131</v>
      </c>
      <c r="C698" s="3" t="s">
        <v>6205</v>
      </c>
      <c r="D698" s="3" t="s">
        <v>2760</v>
      </c>
      <c r="E698" s="3"/>
      <c r="F698" s="3" t="s">
        <v>54</v>
      </c>
      <c r="G698" s="3"/>
      <c r="H698" s="3"/>
      <c r="I698" s="3"/>
      <c r="J698" s="3" t="s">
        <v>3132</v>
      </c>
      <c r="K698" s="3"/>
      <c r="L698" s="3" t="s">
        <v>3133</v>
      </c>
      <c r="M698" s="3" t="str">
        <f>HYPERLINK("https://ceds.ed.gov/cedselementdetails.aspx?termid=6337")</f>
        <v>https://ceds.ed.gov/cedselementdetails.aspx?termid=6337</v>
      </c>
      <c r="N698" s="3" t="str">
        <f>HYPERLINK("https://ceds.ed.gov/elementComment.aspx?elementName=Incident Multiple Offense Type &amp;elementID=6337", "Click here to submit comment")</f>
        <v>Click here to submit comment</v>
      </c>
    </row>
    <row r="699" spans="1:14" ht="60">
      <c r="A699" s="3" t="s">
        <v>3134</v>
      </c>
      <c r="B699" s="3" t="s">
        <v>3135</v>
      </c>
      <c r="C699" s="3" t="s">
        <v>13</v>
      </c>
      <c r="D699" s="3" t="s">
        <v>2760</v>
      </c>
      <c r="E699" s="3"/>
      <c r="F699" s="3" t="s">
        <v>54</v>
      </c>
      <c r="G699" s="3" t="s">
        <v>100</v>
      </c>
      <c r="H699" s="3"/>
      <c r="I699" s="3"/>
      <c r="J699" s="3" t="s">
        <v>3136</v>
      </c>
      <c r="K699" s="3"/>
      <c r="L699" s="3" t="s">
        <v>3137</v>
      </c>
      <c r="M699" s="3" t="str">
        <f>HYPERLINK("https://ceds.ed.gov/cedselementdetails.aspx?termid=6338")</f>
        <v>https://ceds.ed.gov/cedselementdetails.aspx?termid=6338</v>
      </c>
      <c r="N699" s="3" t="str">
        <f>HYPERLINK("https://ceds.ed.gov/elementComment.aspx?elementName=Incident Perpetrator Identifier &amp;elementID=6338", "Click here to submit comment")</f>
        <v>Click here to submit comment</v>
      </c>
    </row>
    <row r="700" spans="1:14" ht="105">
      <c r="A700" s="3" t="s">
        <v>3138</v>
      </c>
      <c r="B700" s="3" t="s">
        <v>3139</v>
      </c>
      <c r="C700" s="4" t="s">
        <v>6542</v>
      </c>
      <c r="D700" s="3" t="s">
        <v>2760</v>
      </c>
      <c r="E700" s="3"/>
      <c r="F700" s="3" t="s">
        <v>54</v>
      </c>
      <c r="G700" s="3"/>
      <c r="H700" s="3"/>
      <c r="I700" s="3"/>
      <c r="J700" s="3" t="s">
        <v>3140</v>
      </c>
      <c r="K700" s="3"/>
      <c r="L700" s="3" t="s">
        <v>3141</v>
      </c>
      <c r="M700" s="3" t="str">
        <f>HYPERLINK("https://ceds.ed.gov/cedselementdetails.aspx?termid=6339")</f>
        <v>https://ceds.ed.gov/cedselementdetails.aspx?termid=6339</v>
      </c>
      <c r="N700" s="3" t="str">
        <f>HYPERLINK("https://ceds.ed.gov/elementComment.aspx?elementName=Incident Perpetrator Injury Type &amp;elementID=6339", "Click here to submit comment")</f>
        <v>Click here to submit comment</v>
      </c>
    </row>
    <row r="701" spans="1:14" ht="409.5">
      <c r="A701" s="3" t="s">
        <v>3142</v>
      </c>
      <c r="B701" s="3" t="s">
        <v>3143</v>
      </c>
      <c r="C701" s="4" t="s">
        <v>6544</v>
      </c>
      <c r="D701" s="3" t="s">
        <v>2760</v>
      </c>
      <c r="E701" s="3"/>
      <c r="F701" s="3" t="s">
        <v>54</v>
      </c>
      <c r="G701" s="3"/>
      <c r="H701" s="3"/>
      <c r="I701" s="3"/>
      <c r="J701" s="3" t="s">
        <v>3144</v>
      </c>
      <c r="K701" s="3"/>
      <c r="L701" s="3" t="s">
        <v>3145</v>
      </c>
      <c r="M701" s="3" t="str">
        <f>HYPERLINK("https://ceds.ed.gov/cedselementdetails.aspx?termid=6340")</f>
        <v>https://ceds.ed.gov/cedselementdetails.aspx?termid=6340</v>
      </c>
      <c r="N701" s="3" t="str">
        <f>HYPERLINK("https://ceds.ed.gov/elementComment.aspx?elementName=Incident Perpetrator Type &amp;elementID=6340", "Click here to submit comment")</f>
        <v>Click here to submit comment</v>
      </c>
    </row>
    <row r="702" spans="1:14" ht="75">
      <c r="A702" s="3" t="s">
        <v>3146</v>
      </c>
      <c r="B702" s="3" t="s">
        <v>3147</v>
      </c>
      <c r="C702" s="3" t="s">
        <v>6206</v>
      </c>
      <c r="D702" s="3" t="s">
        <v>2760</v>
      </c>
      <c r="E702" s="3"/>
      <c r="F702" s="3" t="s">
        <v>54</v>
      </c>
      <c r="G702" s="3"/>
      <c r="H702" s="3"/>
      <c r="I702" s="3"/>
      <c r="J702" s="3" t="s">
        <v>3148</v>
      </c>
      <c r="K702" s="3"/>
      <c r="L702" s="3" t="s">
        <v>3149</v>
      </c>
      <c r="M702" s="3" t="str">
        <f>HYPERLINK("https://ceds.ed.gov/cedselementdetails.aspx?termid=6341")</f>
        <v>https://ceds.ed.gov/cedselementdetails.aspx?termid=6341</v>
      </c>
      <c r="N702" s="3" t="str">
        <f>HYPERLINK("https://ceds.ed.gov/elementComment.aspx?elementName=Incident Person Role Type &amp;elementID=6341", "Click here to submit comment")</f>
        <v>Click here to submit comment</v>
      </c>
    </row>
    <row r="703" spans="1:14" ht="90">
      <c r="A703" s="3" t="s">
        <v>3150</v>
      </c>
      <c r="B703" s="3" t="s">
        <v>3151</v>
      </c>
      <c r="C703" s="3" t="s">
        <v>13</v>
      </c>
      <c r="D703" s="3" t="s">
        <v>2760</v>
      </c>
      <c r="E703" s="3"/>
      <c r="F703" s="3" t="s">
        <v>54</v>
      </c>
      <c r="G703" s="3" t="s">
        <v>745</v>
      </c>
      <c r="H703" s="3"/>
      <c r="I703" s="3"/>
      <c r="J703" s="3" t="s">
        <v>3152</v>
      </c>
      <c r="K703" s="3"/>
      <c r="L703" s="3" t="s">
        <v>3153</v>
      </c>
      <c r="M703" s="3" t="str">
        <f>HYPERLINK("https://ceds.ed.gov/cedselementdetails.aspx?termid=6342")</f>
        <v>https://ceds.ed.gov/cedselementdetails.aspx?termid=6342</v>
      </c>
      <c r="N703" s="3" t="str">
        <f>HYPERLINK("https://ceds.ed.gov/elementComment.aspx?elementName=Incident Regulation Violated Description &amp;elementID=6342", "Click here to submit comment")</f>
        <v>Click here to submit comment</v>
      </c>
    </row>
    <row r="704" spans="1:14" ht="90">
      <c r="A704" s="3" t="s">
        <v>3154</v>
      </c>
      <c r="B704" s="3" t="s">
        <v>3155</v>
      </c>
      <c r="C704" s="3" t="s">
        <v>5963</v>
      </c>
      <c r="D704" s="3" t="s">
        <v>2760</v>
      </c>
      <c r="E704" s="3"/>
      <c r="F704" s="3" t="s">
        <v>54</v>
      </c>
      <c r="G704" s="3"/>
      <c r="H704" s="3"/>
      <c r="I704" s="3" t="s">
        <v>3156</v>
      </c>
      <c r="J704" s="3" t="s">
        <v>3157</v>
      </c>
      <c r="K704" s="3"/>
      <c r="L704" s="3" t="s">
        <v>3158</v>
      </c>
      <c r="M704" s="3" t="str">
        <f>HYPERLINK("https://ceds.ed.gov/cedselementdetails.aspx?termid=6343")</f>
        <v>https://ceds.ed.gov/cedselementdetails.aspx?termid=6343</v>
      </c>
      <c r="N704" s="3" t="str">
        <f>HYPERLINK("https://ceds.ed.gov/elementComment.aspx?elementName=Incident Related to Disability Manifestation &amp;elementID=6343", "Click here to submit comment")</f>
        <v>Click here to submit comment</v>
      </c>
    </row>
    <row r="705" spans="1:14" ht="75">
      <c r="A705" s="3" t="s">
        <v>3159</v>
      </c>
      <c r="B705" s="3" t="s">
        <v>3160</v>
      </c>
      <c r="C705" s="3" t="s">
        <v>5963</v>
      </c>
      <c r="D705" s="3" t="s">
        <v>2760</v>
      </c>
      <c r="E705" s="3"/>
      <c r="F705" s="3" t="s">
        <v>54</v>
      </c>
      <c r="G705" s="3"/>
      <c r="H705" s="3"/>
      <c r="I705" s="3"/>
      <c r="J705" s="3" t="s">
        <v>3161</v>
      </c>
      <c r="K705" s="3"/>
      <c r="L705" s="3" t="s">
        <v>3162</v>
      </c>
      <c r="M705" s="3" t="str">
        <f>HYPERLINK("https://ceds.ed.gov/cedselementdetails.aspx?termid=6345")</f>
        <v>https://ceds.ed.gov/cedselementdetails.aspx?termid=6345</v>
      </c>
      <c r="N705" s="3" t="str">
        <f>HYPERLINK("https://ceds.ed.gov/elementComment.aspx?elementName=Incident Reported to Law Enforcement Indicator &amp;elementID=6345", "Click here to submit comment")</f>
        <v>Click here to submit comment</v>
      </c>
    </row>
    <row r="706" spans="1:14" ht="409.5">
      <c r="A706" s="3" t="s">
        <v>3163</v>
      </c>
      <c r="B706" s="3" t="s">
        <v>3164</v>
      </c>
      <c r="C706" s="4" t="s">
        <v>6545</v>
      </c>
      <c r="D706" s="3" t="s">
        <v>2760</v>
      </c>
      <c r="E706" s="3"/>
      <c r="F706" s="3"/>
      <c r="G706" s="3"/>
      <c r="H706" s="3"/>
      <c r="I706" s="3"/>
      <c r="J706" s="3" t="s">
        <v>3165</v>
      </c>
      <c r="K706" s="3"/>
      <c r="L706" s="3" t="s">
        <v>3166</v>
      </c>
      <c r="M706" s="3" t="str">
        <f>HYPERLINK("https://ceds.ed.gov/cedselementdetails.aspx?termid=5497")</f>
        <v>https://ceds.ed.gov/cedselementdetails.aspx?termid=5497</v>
      </c>
      <c r="N706" s="3" t="str">
        <f>HYPERLINK("https://ceds.ed.gov/elementComment.aspx?elementName=Incident Reporter Type &amp;elementID=5497", "Click here to submit comment")</f>
        <v>Click here to submit comment</v>
      </c>
    </row>
    <row r="707" spans="1:14" ht="30">
      <c r="A707" s="3" t="s">
        <v>3167</v>
      </c>
      <c r="B707" s="3" t="s">
        <v>3168</v>
      </c>
      <c r="C707" s="3" t="s">
        <v>13</v>
      </c>
      <c r="D707" s="3" t="s">
        <v>2760</v>
      </c>
      <c r="E707" s="3"/>
      <c r="F707" s="3"/>
      <c r="G707" s="3" t="s">
        <v>426</v>
      </c>
      <c r="H707" s="3"/>
      <c r="I707" s="3"/>
      <c r="J707" s="3" t="s">
        <v>3169</v>
      </c>
      <c r="K707" s="3"/>
      <c r="L707" s="3" t="s">
        <v>3170</v>
      </c>
      <c r="M707" s="3" t="str">
        <f>HYPERLINK("https://ceds.ed.gov/cedselementdetails.aspx?termid=5494")</f>
        <v>https://ceds.ed.gov/cedselementdetails.aspx?termid=5494</v>
      </c>
      <c r="N707" s="3" t="str">
        <f>HYPERLINK("https://ceds.ed.gov/elementComment.aspx?elementName=Incident Time &amp;elementID=5494", "Click here to submit comment")</f>
        <v>Click here to submit comment</v>
      </c>
    </row>
    <row r="708" spans="1:14" ht="210">
      <c r="A708" s="3" t="s">
        <v>3171</v>
      </c>
      <c r="B708" s="3" t="s">
        <v>3172</v>
      </c>
      <c r="C708" s="4" t="s">
        <v>6546</v>
      </c>
      <c r="D708" s="3" t="s">
        <v>2760</v>
      </c>
      <c r="E708" s="3"/>
      <c r="F708" s="3"/>
      <c r="G708" s="3"/>
      <c r="H708" s="3"/>
      <c r="I708" s="3"/>
      <c r="J708" s="3" t="s">
        <v>3173</v>
      </c>
      <c r="K708" s="3"/>
      <c r="L708" s="3" t="s">
        <v>3174</v>
      </c>
      <c r="M708" s="3" t="str">
        <f>HYPERLINK("https://ceds.ed.gov/cedselementdetails.aspx?termid=5506")</f>
        <v>https://ceds.ed.gov/cedselementdetails.aspx?termid=5506</v>
      </c>
      <c r="N708" s="3" t="str">
        <f>HYPERLINK("https://ceds.ed.gov/elementComment.aspx?elementName=Incident Time Description Code &amp;elementID=5506", "Click here to submit comment")</f>
        <v>Click here to submit comment</v>
      </c>
    </row>
    <row r="709" spans="1:14" ht="60">
      <c r="A709" s="3" t="s">
        <v>3175</v>
      </c>
      <c r="B709" s="3" t="s">
        <v>3176</v>
      </c>
      <c r="C709" s="3" t="s">
        <v>13</v>
      </c>
      <c r="D709" s="3" t="s">
        <v>2760</v>
      </c>
      <c r="E709" s="3"/>
      <c r="F709" s="3" t="s">
        <v>54</v>
      </c>
      <c r="G709" s="3" t="s">
        <v>100</v>
      </c>
      <c r="H709" s="3"/>
      <c r="I709" s="3"/>
      <c r="J709" s="3" t="s">
        <v>3177</v>
      </c>
      <c r="K709" s="3"/>
      <c r="L709" s="3" t="s">
        <v>3178</v>
      </c>
      <c r="M709" s="3" t="str">
        <f>HYPERLINK("https://ceds.ed.gov/cedselementdetails.aspx?termid=6346")</f>
        <v>https://ceds.ed.gov/cedselementdetails.aspx?termid=6346</v>
      </c>
      <c r="N709" s="3" t="str">
        <f>HYPERLINK("https://ceds.ed.gov/elementComment.aspx?elementName=Incident Victim Identifier &amp;elementID=6346", "Click here to submit comment")</f>
        <v>Click here to submit comment</v>
      </c>
    </row>
    <row r="710" spans="1:14" ht="409.5">
      <c r="A710" s="3" t="s">
        <v>3179</v>
      </c>
      <c r="B710" s="3" t="s">
        <v>3180</v>
      </c>
      <c r="C710" s="4" t="s">
        <v>6544</v>
      </c>
      <c r="D710" s="3" t="s">
        <v>2760</v>
      </c>
      <c r="E710" s="3"/>
      <c r="F710" s="3" t="s">
        <v>54</v>
      </c>
      <c r="G710" s="3"/>
      <c r="H710" s="3"/>
      <c r="I710" s="3"/>
      <c r="J710" s="3" t="s">
        <v>3181</v>
      </c>
      <c r="K710" s="3"/>
      <c r="L710" s="3" t="s">
        <v>3182</v>
      </c>
      <c r="M710" s="3" t="str">
        <f>HYPERLINK("https://ceds.ed.gov/cedselementdetails.aspx?termid=6347")</f>
        <v>https://ceds.ed.gov/cedselementdetails.aspx?termid=6347</v>
      </c>
      <c r="N710" s="3" t="str">
        <f>HYPERLINK("https://ceds.ed.gov/elementComment.aspx?elementName=Incident Victim Type &amp;elementID=6347", "Click here to submit comment")</f>
        <v>Click here to submit comment</v>
      </c>
    </row>
    <row r="711" spans="1:14" ht="120">
      <c r="A711" s="3" t="s">
        <v>3183</v>
      </c>
      <c r="B711" s="3" t="s">
        <v>3184</v>
      </c>
      <c r="C711" s="3" t="s">
        <v>13</v>
      </c>
      <c r="D711" s="3" t="s">
        <v>2760</v>
      </c>
      <c r="E711" s="3"/>
      <c r="F711" s="3" t="s">
        <v>54</v>
      </c>
      <c r="G711" s="3" t="s">
        <v>100</v>
      </c>
      <c r="H711" s="3"/>
      <c r="I711" s="3"/>
      <c r="J711" s="3" t="s">
        <v>3185</v>
      </c>
      <c r="K711" s="3"/>
      <c r="L711" s="3" t="s">
        <v>3186</v>
      </c>
      <c r="M711" s="3" t="str">
        <f>HYPERLINK("https://ceds.ed.gov/cedselementdetails.aspx?termid=6348")</f>
        <v>https://ceds.ed.gov/cedselementdetails.aspx?termid=6348</v>
      </c>
      <c r="N711" s="3" t="str">
        <f>HYPERLINK("https://ceds.ed.gov/elementComment.aspx?elementName=Incident Witness Identifier &amp;elementID=6348", "Click here to submit comment")</f>
        <v>Click here to submit comment</v>
      </c>
    </row>
    <row r="712" spans="1:14" ht="409.5">
      <c r="A712" s="3" t="s">
        <v>3187</v>
      </c>
      <c r="B712" s="3" t="s">
        <v>3188</v>
      </c>
      <c r="C712" s="4" t="s">
        <v>6544</v>
      </c>
      <c r="D712" s="3" t="s">
        <v>2760</v>
      </c>
      <c r="E712" s="3"/>
      <c r="F712" s="3" t="s">
        <v>54</v>
      </c>
      <c r="G712" s="3"/>
      <c r="H712" s="3"/>
      <c r="I712" s="3"/>
      <c r="J712" s="3" t="s">
        <v>3189</v>
      </c>
      <c r="K712" s="3"/>
      <c r="L712" s="3" t="s">
        <v>3190</v>
      </c>
      <c r="M712" s="3" t="str">
        <f>HYPERLINK("https://ceds.ed.gov/cedselementdetails.aspx?termid=6349")</f>
        <v>https://ceds.ed.gov/cedselementdetails.aspx?termid=6349</v>
      </c>
      <c r="N712" s="3" t="str">
        <f>HYPERLINK("https://ceds.ed.gov/elementComment.aspx?elementName=Incident Witness Type &amp;elementID=6349", "Click here to submit comment")</f>
        <v>Click here to submit comment</v>
      </c>
    </row>
    <row r="713" spans="1:14" ht="60">
      <c r="A713" s="3" t="s">
        <v>3191</v>
      </c>
      <c r="B713" s="3" t="s">
        <v>3192</v>
      </c>
      <c r="C713" s="4" t="s">
        <v>6547</v>
      </c>
      <c r="D713" s="3" t="s">
        <v>2644</v>
      </c>
      <c r="E713" s="3"/>
      <c r="F713" s="3"/>
      <c r="G713" s="3"/>
      <c r="H713" s="3"/>
      <c r="I713" s="3"/>
      <c r="J713" s="3" t="s">
        <v>3193</v>
      </c>
      <c r="K713" s="3"/>
      <c r="L713" s="3" t="s">
        <v>3194</v>
      </c>
      <c r="M713" s="3" t="str">
        <f>HYPERLINK("https://ceds.ed.gov/cedselementdetails.aspx?termid=5333")</f>
        <v>https://ceds.ed.gov/cedselementdetails.aspx?termid=5333</v>
      </c>
      <c r="N713" s="3" t="str">
        <f>HYPERLINK("https://ceds.ed.gov/elementComment.aspx?elementName=Income Calculation Method &amp;elementID=5333", "Click here to submit comment")</f>
        <v>Click here to submit comment</v>
      </c>
    </row>
    <row r="714" spans="1:14" ht="120">
      <c r="A714" s="3" t="s">
        <v>3195</v>
      </c>
      <c r="B714" s="3" t="s">
        <v>3196</v>
      </c>
      <c r="C714" s="4" t="s">
        <v>6548</v>
      </c>
      <c r="D714" s="3" t="s">
        <v>2235</v>
      </c>
      <c r="E714" s="3" t="s">
        <v>218</v>
      </c>
      <c r="F714" s="3"/>
      <c r="G714" s="3"/>
      <c r="H714" s="3"/>
      <c r="I714" s="3"/>
      <c r="J714" s="3" t="s">
        <v>3197</v>
      </c>
      <c r="K714" s="3"/>
      <c r="L714" s="3" t="s">
        <v>3198</v>
      </c>
      <c r="M714" s="3" t="str">
        <f>HYPERLINK("https://ceds.ed.gov/cedselementdetails.aspx?termid=5164")</f>
        <v>https://ceds.ed.gov/cedselementdetails.aspx?termid=5164</v>
      </c>
      <c r="N714" s="3" t="str">
        <f>HYPERLINK("https://ceds.ed.gov/elementComment.aspx?elementName=Increased Learning Time Type &amp;elementID=5164", "Click here to submit comment")</f>
        <v>Click here to submit comment</v>
      </c>
    </row>
    <row r="715" spans="1:14" ht="75">
      <c r="A715" s="3" t="s">
        <v>3199</v>
      </c>
      <c r="B715" s="3" t="s">
        <v>3200</v>
      </c>
      <c r="C715" s="3" t="s">
        <v>13</v>
      </c>
      <c r="D715" s="3" t="s">
        <v>6207</v>
      </c>
      <c r="E715" s="3"/>
      <c r="F715" s="3" t="s">
        <v>3</v>
      </c>
      <c r="G715" s="3" t="s">
        <v>73</v>
      </c>
      <c r="H715" s="3"/>
      <c r="I715" s="3"/>
      <c r="J715" s="3" t="s">
        <v>3201</v>
      </c>
      <c r="K715" s="3"/>
      <c r="L715" s="3" t="s">
        <v>3202</v>
      </c>
      <c r="M715" s="3" t="str">
        <f>HYPERLINK("https://ceds.ed.gov/cedselementdetails.aspx?termid=6197")</f>
        <v>https://ceds.ed.gov/cedselementdetails.aspx?termid=6197</v>
      </c>
      <c r="N715" s="3" t="str">
        <f>HYPERLINK("https://ceds.ed.gov/elementComment.aspx?elementName=Individualized Program Date &amp;elementID=6197", "Click here to submit comment")</f>
        <v>Click here to submit comment</v>
      </c>
    </row>
    <row r="716" spans="1:14" ht="120">
      <c r="A716" s="3" t="s">
        <v>3203</v>
      </c>
      <c r="B716" s="3" t="s">
        <v>3204</v>
      </c>
      <c r="C716" s="4" t="s">
        <v>6549</v>
      </c>
      <c r="D716" s="3" t="s">
        <v>6207</v>
      </c>
      <c r="E716" s="3"/>
      <c r="F716" s="3"/>
      <c r="G716" s="3"/>
      <c r="H716" s="3"/>
      <c r="I716" s="3"/>
      <c r="J716" s="3" t="s">
        <v>3205</v>
      </c>
      <c r="K716" s="3"/>
      <c r="L716" s="3" t="s">
        <v>3206</v>
      </c>
      <c r="M716" s="3" t="str">
        <f>HYPERLINK("https://ceds.ed.gov/cedselementdetails.aspx?termid=6196")</f>
        <v>https://ceds.ed.gov/cedselementdetails.aspx?termid=6196</v>
      </c>
      <c r="N716" s="3" t="str">
        <f>HYPERLINK("https://ceds.ed.gov/elementComment.aspx?elementName=Individualized Program Date Type &amp;elementID=6196", "Click here to submit comment")</f>
        <v>Click here to submit comment</v>
      </c>
    </row>
    <row r="717" spans="1:14" ht="75">
      <c r="A717" s="3" t="s">
        <v>3207</v>
      </c>
      <c r="B717" s="3" t="s">
        <v>3208</v>
      </c>
      <c r="C717" s="3" t="s">
        <v>13</v>
      </c>
      <c r="D717" s="3" t="s">
        <v>6207</v>
      </c>
      <c r="E717" s="3"/>
      <c r="F717" s="3"/>
      <c r="G717" s="3" t="s">
        <v>575</v>
      </c>
      <c r="H717" s="3"/>
      <c r="I717" s="3"/>
      <c r="J717" s="3" t="s">
        <v>3209</v>
      </c>
      <c r="K717" s="3"/>
      <c r="L717" s="3" t="s">
        <v>3210</v>
      </c>
      <c r="M717" s="3" t="str">
        <f>HYPERLINK("https://ceds.ed.gov/cedselementdetails.aspx?termid=6199")</f>
        <v>https://ceds.ed.gov/cedselementdetails.aspx?termid=6199</v>
      </c>
      <c r="N717" s="3" t="str">
        <f>HYPERLINK("https://ceds.ed.gov/elementComment.aspx?elementName=Individualized Program Inclusion Minutes Per Week &amp;elementID=6199", "Click here to submit comment")</f>
        <v>Click here to submit comment</v>
      </c>
    </row>
    <row r="718" spans="1:14" ht="75">
      <c r="A718" s="3" t="s">
        <v>3211</v>
      </c>
      <c r="B718" s="3" t="s">
        <v>3212</v>
      </c>
      <c r="C718" s="3" t="s">
        <v>13</v>
      </c>
      <c r="D718" s="3" t="s">
        <v>6207</v>
      </c>
      <c r="E718" s="3"/>
      <c r="F718" s="3"/>
      <c r="G718" s="3" t="s">
        <v>575</v>
      </c>
      <c r="H718" s="3"/>
      <c r="I718" s="3"/>
      <c r="J718" s="3" t="s">
        <v>3213</v>
      </c>
      <c r="K718" s="3"/>
      <c r="L718" s="3" t="s">
        <v>3214</v>
      </c>
      <c r="M718" s="3" t="str">
        <f>HYPERLINK("https://ceds.ed.gov/cedselementdetails.aspx?termid=6198")</f>
        <v>https://ceds.ed.gov/cedselementdetails.aspx?termid=6198</v>
      </c>
      <c r="N718" s="3" t="str">
        <f>HYPERLINK("https://ceds.ed.gov/elementComment.aspx?elementName=Individualized Program NonInclusion Minutes Per Week &amp;elementID=6198", "Click here to submit comment")</f>
        <v>Click here to submit comment</v>
      </c>
    </row>
    <row r="719" spans="1:14" ht="30">
      <c r="A719" s="3" t="s">
        <v>3215</v>
      </c>
      <c r="B719" s="3" t="s">
        <v>3216</v>
      </c>
      <c r="C719" s="3" t="s">
        <v>13</v>
      </c>
      <c r="D719" s="3" t="s">
        <v>2804</v>
      </c>
      <c r="E719" s="3"/>
      <c r="F719" s="3" t="s">
        <v>54</v>
      </c>
      <c r="G719" s="3" t="s">
        <v>1461</v>
      </c>
      <c r="H719" s="3"/>
      <c r="I719" s="3"/>
      <c r="J719" s="3" t="s">
        <v>3217</v>
      </c>
      <c r="K719" s="3"/>
      <c r="L719" s="3" t="s">
        <v>3218</v>
      </c>
      <c r="M719" s="3" t="str">
        <f>HYPERLINK("https://ceds.ed.gov/cedselementdetails.aspx?termid=6493")</f>
        <v>https://ceds.ed.gov/cedselementdetails.aspx?termid=6493</v>
      </c>
      <c r="N719" s="3" t="str">
        <f>HYPERLINK("https://ceds.ed.gov/elementComment.aspx?elementName=Individualized Program Planned Service Duration &amp;elementID=6493", "Click here to submit comment")</f>
        <v>Click here to submit comment</v>
      </c>
    </row>
    <row r="720" spans="1:14" ht="150">
      <c r="A720" s="3" t="s">
        <v>3219</v>
      </c>
      <c r="B720" s="3" t="s">
        <v>3220</v>
      </c>
      <c r="C720" s="3" t="s">
        <v>6208</v>
      </c>
      <c r="D720" s="3" t="s">
        <v>2804</v>
      </c>
      <c r="E720" s="3"/>
      <c r="F720" s="3" t="s">
        <v>54</v>
      </c>
      <c r="G720" s="3"/>
      <c r="H720" s="3"/>
      <c r="I720" s="3"/>
      <c r="J720" s="3" t="s">
        <v>3221</v>
      </c>
      <c r="K720" s="3"/>
      <c r="L720" s="3" t="s">
        <v>3222</v>
      </c>
      <c r="M720" s="3" t="str">
        <f>HYPERLINK("https://ceds.ed.gov/cedselementdetails.aspx?termid=6492")</f>
        <v>https://ceds.ed.gov/cedselementdetails.aspx?termid=6492</v>
      </c>
      <c r="N720" s="3" t="str">
        <f>HYPERLINK("https://ceds.ed.gov/elementComment.aspx?elementName=Individualized Program Planned Service Frequency &amp;elementID=6492", "Click here to submit comment")</f>
        <v>Click here to submit comment</v>
      </c>
    </row>
    <row r="721" spans="1:14" ht="30">
      <c r="A721" s="3" t="s">
        <v>3223</v>
      </c>
      <c r="B721" s="3" t="s">
        <v>3224</v>
      </c>
      <c r="C721" s="3" t="s">
        <v>13</v>
      </c>
      <c r="D721" s="3" t="s">
        <v>2804</v>
      </c>
      <c r="E721" s="3"/>
      <c r="F721" s="3" t="s">
        <v>54</v>
      </c>
      <c r="G721" s="3" t="s">
        <v>73</v>
      </c>
      <c r="H721" s="3"/>
      <c r="I721" s="3" t="s">
        <v>3225</v>
      </c>
      <c r="J721" s="3" t="s">
        <v>3226</v>
      </c>
      <c r="K721" s="3"/>
      <c r="L721" s="3" t="s">
        <v>3227</v>
      </c>
      <c r="M721" s="3" t="str">
        <f>HYPERLINK("https://ceds.ed.gov/cedselementdetails.aspx?termid=6350")</f>
        <v>https://ceds.ed.gov/cedselementdetails.aspx?termid=6350</v>
      </c>
      <c r="N721" s="3" t="str">
        <f>HYPERLINK("https://ceds.ed.gov/elementComment.aspx?elementName=Individualized Program Planned Service Start Date &amp;elementID=6350", "Click here to submit comment")</f>
        <v>Click here to submit comment</v>
      </c>
    </row>
    <row r="722" spans="1:14" ht="300">
      <c r="A722" s="3" t="s">
        <v>3228</v>
      </c>
      <c r="B722" s="3" t="s">
        <v>2313</v>
      </c>
      <c r="C722" s="4" t="s">
        <v>6473</v>
      </c>
      <c r="D722" s="3" t="s">
        <v>2804</v>
      </c>
      <c r="E722" s="3"/>
      <c r="F722" s="3" t="s">
        <v>54</v>
      </c>
      <c r="G722" s="3"/>
      <c r="H722" s="3"/>
      <c r="I722" s="3"/>
      <c r="J722" s="3" t="s">
        <v>3229</v>
      </c>
      <c r="K722" s="3"/>
      <c r="L722" s="3" t="s">
        <v>3230</v>
      </c>
      <c r="M722" s="3" t="str">
        <f>HYPERLINK("https://ceds.ed.gov/cedselementdetails.aspx?termid=6352")</f>
        <v>https://ceds.ed.gov/cedselementdetails.aspx?termid=6352</v>
      </c>
      <c r="N722" s="3" t="str">
        <f>HYPERLINK("https://ceds.ed.gov/elementComment.aspx?elementName=Individualized Program Planned Service Type &amp;elementID=6352", "Click here to submit comment")</f>
        <v>Click here to submit comment</v>
      </c>
    </row>
    <row r="723" spans="1:14" ht="75">
      <c r="A723" s="3" t="s">
        <v>3231</v>
      </c>
      <c r="B723" s="3" t="s">
        <v>3232</v>
      </c>
      <c r="C723" s="3" t="s">
        <v>13</v>
      </c>
      <c r="D723" s="3" t="s">
        <v>6207</v>
      </c>
      <c r="E723" s="3"/>
      <c r="F723" s="3"/>
      <c r="G723" s="3" t="s">
        <v>73</v>
      </c>
      <c r="H723" s="3"/>
      <c r="I723" s="3"/>
      <c r="J723" s="3" t="s">
        <v>3233</v>
      </c>
      <c r="K723" s="3"/>
      <c r="L723" s="3" t="s">
        <v>3234</v>
      </c>
      <c r="M723" s="3" t="str">
        <f>HYPERLINK("https://ceds.ed.gov/cedselementdetails.aspx?termid=6201")</f>
        <v>https://ceds.ed.gov/cedselementdetails.aspx?termid=6201</v>
      </c>
      <c r="N723" s="3" t="str">
        <f>HYPERLINK("https://ceds.ed.gov/elementComment.aspx?elementName=Individualized Program Service Plan Date &amp;elementID=6201", "Click here to submit comment")</f>
        <v>Click here to submit comment</v>
      </c>
    </row>
    <row r="724" spans="1:14" ht="255">
      <c r="A724" s="3" t="s">
        <v>3235</v>
      </c>
      <c r="B724" s="3" t="s">
        <v>3236</v>
      </c>
      <c r="C724" s="4" t="s">
        <v>6550</v>
      </c>
      <c r="D724" s="3" t="s">
        <v>6207</v>
      </c>
      <c r="E724" s="3"/>
      <c r="F724" s="3"/>
      <c r="G724" s="3"/>
      <c r="H724" s="3"/>
      <c r="I724" s="3"/>
      <c r="J724" s="3" t="s">
        <v>3237</v>
      </c>
      <c r="K724" s="3"/>
      <c r="L724" s="3" t="s">
        <v>3238</v>
      </c>
      <c r="M724" s="3" t="str">
        <f>HYPERLINK("https://ceds.ed.gov/cedselementdetails.aspx?termid=6202")</f>
        <v>https://ceds.ed.gov/cedselementdetails.aspx?termid=6202</v>
      </c>
      <c r="N724" s="3" t="str">
        <f>HYPERLINK("https://ceds.ed.gov/elementComment.aspx?elementName=Individualized Program Service Plan Meeting Location &amp;elementID=6202", "Click here to submit comment")</f>
        <v>Click here to submit comment</v>
      </c>
    </row>
    <row r="725" spans="1:14" ht="75">
      <c r="A725" s="3" t="s">
        <v>3239</v>
      </c>
      <c r="B725" s="3" t="s">
        <v>3240</v>
      </c>
      <c r="C725" s="3" t="s">
        <v>13</v>
      </c>
      <c r="D725" s="3" t="s">
        <v>6207</v>
      </c>
      <c r="E725" s="3"/>
      <c r="F725" s="3"/>
      <c r="G725" s="3" t="s">
        <v>319</v>
      </c>
      <c r="H725" s="3"/>
      <c r="I725" s="3"/>
      <c r="J725" s="3" t="s">
        <v>3241</v>
      </c>
      <c r="K725" s="3"/>
      <c r="L725" s="3" t="s">
        <v>3242</v>
      </c>
      <c r="M725" s="3" t="str">
        <f>HYPERLINK("https://ceds.ed.gov/cedselementdetails.aspx?termid=6203")</f>
        <v>https://ceds.ed.gov/cedselementdetails.aspx?termid=6203</v>
      </c>
      <c r="N725" s="3" t="str">
        <f>HYPERLINK("https://ceds.ed.gov/elementComment.aspx?elementName=Individualized Program Service Plan Meeting Participants &amp;elementID=6203", "Click here to submit comment")</f>
        <v>Click here to submit comment</v>
      </c>
    </row>
    <row r="726" spans="1:14" ht="75">
      <c r="A726" s="3" t="s">
        <v>3243</v>
      </c>
      <c r="B726" s="3" t="s">
        <v>3244</v>
      </c>
      <c r="C726" s="3" t="s">
        <v>13</v>
      </c>
      <c r="D726" s="3" t="s">
        <v>6207</v>
      </c>
      <c r="E726" s="3"/>
      <c r="F726" s="3"/>
      <c r="G726" s="3" t="s">
        <v>73</v>
      </c>
      <c r="H726" s="3"/>
      <c r="I726" s="3"/>
      <c r="J726" s="3" t="s">
        <v>3245</v>
      </c>
      <c r="K726" s="3"/>
      <c r="L726" s="3" t="s">
        <v>3246</v>
      </c>
      <c r="M726" s="3" t="str">
        <f>HYPERLINK("https://ceds.ed.gov/cedselementdetails.aspx?termid=6207")</f>
        <v>https://ceds.ed.gov/cedselementdetails.aspx?termid=6207</v>
      </c>
      <c r="N726" s="3" t="str">
        <f>HYPERLINK("https://ceds.ed.gov/elementComment.aspx?elementName=Individualized Program Service Plan Reevaluation Date &amp;elementID=6207", "Click here to submit comment")</f>
        <v>Click here to submit comment</v>
      </c>
    </row>
    <row r="727" spans="1:14" ht="75">
      <c r="A727" s="3" t="s">
        <v>3247</v>
      </c>
      <c r="B727" s="3" t="s">
        <v>3248</v>
      </c>
      <c r="C727" s="3" t="s">
        <v>13</v>
      </c>
      <c r="D727" s="3" t="s">
        <v>6207</v>
      </c>
      <c r="E727" s="3"/>
      <c r="F727" s="3"/>
      <c r="G727" s="3" t="s">
        <v>73</v>
      </c>
      <c r="H727" s="3"/>
      <c r="I727" s="3"/>
      <c r="J727" s="3" t="s">
        <v>3249</v>
      </c>
      <c r="K727" s="3"/>
      <c r="L727" s="3" t="s">
        <v>3250</v>
      </c>
      <c r="M727" s="3" t="str">
        <f>HYPERLINK("https://ceds.ed.gov/cedselementdetails.aspx?termid=6205")</f>
        <v>https://ceds.ed.gov/cedselementdetails.aspx?termid=6205</v>
      </c>
      <c r="N727" s="3" t="str">
        <f>HYPERLINK("https://ceds.ed.gov/elementComment.aspx?elementName=Individualized Program Service Plan Signature Date &amp;elementID=6205", "Click here to submit comment")</f>
        <v>Click here to submit comment</v>
      </c>
    </row>
    <row r="728" spans="1:14" ht="75">
      <c r="A728" s="3" t="s">
        <v>3251</v>
      </c>
      <c r="B728" s="3" t="s">
        <v>3252</v>
      </c>
      <c r="C728" s="3" t="s">
        <v>13</v>
      </c>
      <c r="D728" s="3" t="s">
        <v>6207</v>
      </c>
      <c r="E728" s="3"/>
      <c r="F728" s="3"/>
      <c r="G728" s="3" t="s">
        <v>319</v>
      </c>
      <c r="H728" s="3"/>
      <c r="I728" s="3"/>
      <c r="J728" s="3" t="s">
        <v>3253</v>
      </c>
      <c r="K728" s="3"/>
      <c r="L728" s="3" t="s">
        <v>3254</v>
      </c>
      <c r="M728" s="3" t="str">
        <f>HYPERLINK("https://ceds.ed.gov/cedselementdetails.aspx?termid=6204")</f>
        <v>https://ceds.ed.gov/cedselementdetails.aspx?termid=6204</v>
      </c>
      <c r="N728" s="3" t="str">
        <f>HYPERLINK("https://ceds.ed.gov/elementComment.aspx?elementName=Individualized Program Service Plan Signed By &amp;elementID=6204", "Click here to submit comment")</f>
        <v>Click here to submit comment</v>
      </c>
    </row>
    <row r="729" spans="1:14" ht="75">
      <c r="A729" s="3" t="s">
        <v>3255</v>
      </c>
      <c r="B729" s="3" t="s">
        <v>3256</v>
      </c>
      <c r="C729" s="4" t="s">
        <v>6551</v>
      </c>
      <c r="D729" s="3" t="s">
        <v>6207</v>
      </c>
      <c r="E729" s="3"/>
      <c r="F729" s="3"/>
      <c r="G729" s="3"/>
      <c r="H729" s="3"/>
      <c r="I729" s="3"/>
      <c r="J729" s="3" t="s">
        <v>3257</v>
      </c>
      <c r="K729" s="3"/>
      <c r="L729" s="3" t="s">
        <v>3258</v>
      </c>
      <c r="M729" s="3" t="str">
        <f>HYPERLINK("https://ceds.ed.gov/cedselementdetails.aspx?termid=6200")</f>
        <v>https://ceds.ed.gov/cedselementdetails.aspx?termid=6200</v>
      </c>
      <c r="N729" s="3" t="str">
        <f>HYPERLINK("https://ceds.ed.gov/elementComment.aspx?elementName=Individualized Program Transition Plan Type &amp;elementID=6200", "Click here to submit comment")</f>
        <v>Click here to submit comment</v>
      </c>
    </row>
    <row r="730" spans="1:14" ht="255">
      <c r="A730" s="3" t="s">
        <v>3259</v>
      </c>
      <c r="B730" s="3" t="s">
        <v>3260</v>
      </c>
      <c r="C730" s="4" t="s">
        <v>6552</v>
      </c>
      <c r="D730" s="3" t="s">
        <v>6207</v>
      </c>
      <c r="E730" s="3" t="s">
        <v>5988</v>
      </c>
      <c r="F730" s="3"/>
      <c r="G730" s="3"/>
      <c r="H730" s="3"/>
      <c r="I730" s="3"/>
      <c r="J730" s="3" t="s">
        <v>3261</v>
      </c>
      <c r="K730" s="3"/>
      <c r="L730" s="3" t="s">
        <v>3262</v>
      </c>
      <c r="M730" s="3" t="str">
        <f>HYPERLINK("https://ceds.ed.gov/cedselementdetails.aspx?termid=5320")</f>
        <v>https://ceds.ed.gov/cedselementdetails.aspx?termid=5320</v>
      </c>
      <c r="N730" s="3" t="str">
        <f>HYPERLINK("https://ceds.ed.gov/elementComment.aspx?elementName=Individualized Program Type &amp;elementID=5320", "Click here to submit comment")</f>
        <v>Click here to submit comment</v>
      </c>
    </row>
    <row r="731" spans="1:14" ht="75">
      <c r="A731" s="3" t="s">
        <v>3263</v>
      </c>
      <c r="B731" s="3" t="s">
        <v>3264</v>
      </c>
      <c r="C731" s="3" t="s">
        <v>13</v>
      </c>
      <c r="D731" s="3" t="s">
        <v>1708</v>
      </c>
      <c r="E731" s="3" t="s">
        <v>5976</v>
      </c>
      <c r="F731" s="3"/>
      <c r="G731" s="3" t="s">
        <v>100</v>
      </c>
      <c r="H731" s="3"/>
      <c r="I731" s="3"/>
      <c r="J731" s="3" t="s">
        <v>3265</v>
      </c>
      <c r="K731" s="3"/>
      <c r="L731" s="3" t="s">
        <v>3266</v>
      </c>
      <c r="M731" s="3" t="str">
        <f>HYPERLINK("https://ceds.ed.gov/cedselementdetails.aspx?termid=5165")</f>
        <v>https://ceds.ed.gov/cedselementdetails.aspx?termid=5165</v>
      </c>
      <c r="N731" s="3" t="str">
        <f>HYPERLINK("https://ceds.ed.gov/elementComment.aspx?elementName=Initial Enrollment Term &amp;elementID=5165", "Click here to submit comment")</f>
        <v>Click here to submit comment</v>
      </c>
    </row>
    <row r="732" spans="1:14" ht="45">
      <c r="A732" s="3" t="s">
        <v>3267</v>
      </c>
      <c r="B732" s="3" t="s">
        <v>3268</v>
      </c>
      <c r="C732" s="3" t="s">
        <v>13</v>
      </c>
      <c r="D732" s="3" t="s">
        <v>1774</v>
      </c>
      <c r="E732" s="3" t="s">
        <v>6104</v>
      </c>
      <c r="F732" s="3"/>
      <c r="G732" s="3" t="s">
        <v>73</v>
      </c>
      <c r="H732" s="3"/>
      <c r="I732" s="3"/>
      <c r="J732" s="3" t="s">
        <v>3269</v>
      </c>
      <c r="K732" s="3"/>
      <c r="L732" s="3" t="s">
        <v>3270</v>
      </c>
      <c r="M732" s="3" t="str">
        <f>HYPERLINK("https://ceds.ed.gov/cedselementdetails.aspx?termid=5347")</f>
        <v>https://ceds.ed.gov/cedselementdetails.aspx?termid=5347</v>
      </c>
      <c r="N732" s="3" t="str">
        <f>HYPERLINK("https://ceds.ed.gov/elementComment.aspx?elementName=Initial License Date &amp;elementID=5347", "Click here to submit comment")</f>
        <v>Click here to submit comment</v>
      </c>
    </row>
    <row r="733" spans="1:14" ht="30">
      <c r="A733" s="3" t="s">
        <v>3271</v>
      </c>
      <c r="B733" s="3" t="s">
        <v>3272</v>
      </c>
      <c r="C733" s="3" t="s">
        <v>13</v>
      </c>
      <c r="D733" s="3" t="s">
        <v>2822</v>
      </c>
      <c r="E733" s="3" t="s">
        <v>207</v>
      </c>
      <c r="F733" s="3"/>
      <c r="G733" s="3" t="s">
        <v>1461</v>
      </c>
      <c r="H733" s="3"/>
      <c r="I733" s="3"/>
      <c r="J733" s="3" t="s">
        <v>3273</v>
      </c>
      <c r="K733" s="3"/>
      <c r="L733" s="3" t="s">
        <v>3274</v>
      </c>
      <c r="M733" s="3" t="str">
        <f>HYPERLINK("https://ceds.ed.gov/cedselementdetails.aspx?termid=5451")</f>
        <v>https://ceds.ed.gov/cedselementdetails.aspx?termid=5451</v>
      </c>
      <c r="N733" s="3" t="str">
        <f>HYPERLINK("https://ceds.ed.gov/elementComment.aspx?elementName=Innovative Dollars Spent &amp;elementID=5451", "Click here to submit comment")</f>
        <v>Click here to submit comment</v>
      </c>
    </row>
    <row r="734" spans="1:14" ht="45">
      <c r="A734" s="3" t="s">
        <v>3275</v>
      </c>
      <c r="B734" s="3" t="s">
        <v>3276</v>
      </c>
      <c r="C734" s="3" t="s">
        <v>13</v>
      </c>
      <c r="D734" s="3" t="s">
        <v>2822</v>
      </c>
      <c r="E734" s="3" t="s">
        <v>207</v>
      </c>
      <c r="F734" s="3"/>
      <c r="G734" s="3" t="s">
        <v>1461</v>
      </c>
      <c r="H734" s="3"/>
      <c r="I734" s="3"/>
      <c r="J734" s="3" t="s">
        <v>3277</v>
      </c>
      <c r="K734" s="3"/>
      <c r="L734" s="3" t="s">
        <v>3278</v>
      </c>
      <c r="M734" s="3" t="str">
        <f>HYPERLINK("https://ceds.ed.gov/cedselementdetails.aspx?termid=5452")</f>
        <v>https://ceds.ed.gov/cedselementdetails.aspx?termid=5452</v>
      </c>
      <c r="N734" s="3" t="str">
        <f>HYPERLINK("https://ceds.ed.gov/elementComment.aspx?elementName=Innovative Dollars Spent on Strategic Priorities &amp;elementID=5452", "Click here to submit comment")</f>
        <v>Click here to submit comment</v>
      </c>
    </row>
    <row r="735" spans="1:14" ht="30">
      <c r="A735" s="3" t="s">
        <v>3279</v>
      </c>
      <c r="B735" s="3" t="s">
        <v>3280</v>
      </c>
      <c r="C735" s="3" t="s">
        <v>13</v>
      </c>
      <c r="D735" s="3" t="s">
        <v>2822</v>
      </c>
      <c r="E735" s="3" t="s">
        <v>207</v>
      </c>
      <c r="F735" s="3"/>
      <c r="G735" s="3" t="s">
        <v>1461</v>
      </c>
      <c r="H735" s="3"/>
      <c r="I735" s="3"/>
      <c r="J735" s="3" t="s">
        <v>3281</v>
      </c>
      <c r="K735" s="3"/>
      <c r="L735" s="3" t="s">
        <v>3282</v>
      </c>
      <c r="M735" s="3" t="str">
        <f>HYPERLINK("https://ceds.ed.gov/cedselementdetails.aspx?termid=5454")</f>
        <v>https://ceds.ed.gov/cedselementdetails.aspx?termid=5454</v>
      </c>
      <c r="N735" s="3" t="str">
        <f>HYPERLINK("https://ceds.ed.gov/elementComment.aspx?elementName=Innovative Programs Funds Received &amp;elementID=5454", "Click here to submit comment")</f>
        <v>Click here to submit comment</v>
      </c>
    </row>
    <row r="736" spans="1:14" ht="75">
      <c r="A736" s="3" t="s">
        <v>3283</v>
      </c>
      <c r="B736" s="3" t="s">
        <v>3284</v>
      </c>
      <c r="C736" s="3" t="s">
        <v>13</v>
      </c>
      <c r="D736" s="3" t="s">
        <v>1494</v>
      </c>
      <c r="E736" s="3" t="s">
        <v>5976</v>
      </c>
      <c r="F736" s="3"/>
      <c r="G736" s="3" t="s">
        <v>3285</v>
      </c>
      <c r="H736" s="3"/>
      <c r="I736" s="3"/>
      <c r="J736" s="3" t="s">
        <v>3286</v>
      </c>
      <c r="K736" s="3" t="s">
        <v>3287</v>
      </c>
      <c r="L736" s="3" t="s">
        <v>3288</v>
      </c>
      <c r="M736" s="3" t="str">
        <f>HYPERLINK("https://ceds.ed.gov/cedselementdetails.aspx?termid=5166")</f>
        <v>https://ceds.ed.gov/cedselementdetails.aspx?termid=5166</v>
      </c>
      <c r="N736" s="3" t="str">
        <f>HYPERLINK("https://ceds.ed.gov/elementComment.aspx?elementName=Institution IPEDS UnitID &amp;elementID=5166", "Click here to submit comment")</f>
        <v>Click here to submit comment</v>
      </c>
    </row>
    <row r="737" spans="1:14" ht="165">
      <c r="A737" s="3" t="s">
        <v>3289</v>
      </c>
      <c r="B737" s="3" t="s">
        <v>3290</v>
      </c>
      <c r="C737" s="4" t="s">
        <v>6553</v>
      </c>
      <c r="D737" s="3" t="s">
        <v>6209</v>
      </c>
      <c r="E737" s="3"/>
      <c r="F737" s="3"/>
      <c r="G737" s="3"/>
      <c r="H737" s="3"/>
      <c r="I737" s="3"/>
      <c r="J737" s="3" t="s">
        <v>3291</v>
      </c>
      <c r="K737" s="3"/>
      <c r="L737" s="3" t="s">
        <v>3292</v>
      </c>
      <c r="M737" s="3" t="str">
        <f>HYPERLINK("https://ceds.ed.gov/cedselementdetails.aspx?termid=5167")</f>
        <v>https://ceds.ed.gov/cedselementdetails.aspx?termid=5167</v>
      </c>
      <c r="N737" s="3" t="str">
        <f>HYPERLINK("https://ceds.ed.gov/elementComment.aspx?elementName=Institution Telephone Number Type &amp;elementID=5167", "Click here to submit comment")</f>
        <v>Click here to submit comment</v>
      </c>
    </row>
    <row r="738" spans="1:14" ht="105">
      <c r="A738" s="3" t="s">
        <v>3293</v>
      </c>
      <c r="B738" s="3" t="s">
        <v>3294</v>
      </c>
      <c r="C738" s="3" t="s">
        <v>5963</v>
      </c>
      <c r="D738" s="3" t="s">
        <v>1494</v>
      </c>
      <c r="E738" s="3" t="s">
        <v>1495</v>
      </c>
      <c r="F738" s="3"/>
      <c r="G738" s="3"/>
      <c r="H738" s="3"/>
      <c r="I738" s="3" t="s">
        <v>358</v>
      </c>
      <c r="J738" s="3" t="s">
        <v>3295</v>
      </c>
      <c r="K738" s="3"/>
      <c r="L738" s="3" t="s">
        <v>3296</v>
      </c>
      <c r="M738" s="3" t="str">
        <f>HYPERLINK("https://ceds.ed.gov/cedselementdetails.aspx?termid=5727")</f>
        <v>https://ceds.ed.gov/cedselementdetails.aspx?termid=5727</v>
      </c>
      <c r="N738" s="3" t="str">
        <f>HYPERLINK("https://ceds.ed.gov/elementComment.aspx?elementName=Institutionally Controlled Housing Status &amp;elementID=5727", "Click here to submit comment")</f>
        <v>Click here to submit comment</v>
      </c>
    </row>
    <row r="739" spans="1:14" ht="120">
      <c r="A739" s="3" t="s">
        <v>3297</v>
      </c>
      <c r="B739" s="3" t="s">
        <v>3298</v>
      </c>
      <c r="C739" s="4" t="s">
        <v>6554</v>
      </c>
      <c r="D739" s="3" t="s">
        <v>35</v>
      </c>
      <c r="E739" s="3" t="s">
        <v>36</v>
      </c>
      <c r="F739" s="3"/>
      <c r="G739" s="3"/>
      <c r="H739" s="3"/>
      <c r="I739" s="3" t="s">
        <v>3299</v>
      </c>
      <c r="J739" s="3" t="s">
        <v>3300</v>
      </c>
      <c r="K739" s="3"/>
      <c r="L739" s="3" t="s">
        <v>3301</v>
      </c>
      <c r="M739" s="3" t="str">
        <f>HYPERLINK("https://ceds.ed.gov/cedselementdetails.aspx?termid=5719")</f>
        <v>https://ceds.ed.gov/cedselementdetails.aspx?termid=5719</v>
      </c>
      <c r="N739" s="3" t="str">
        <f>HYPERLINK("https://ceds.ed.gov/elementComment.aspx?elementName=Instruction Credit Type &amp;elementID=5719", "Click here to submit comment")</f>
        <v>Click here to submit comment</v>
      </c>
    </row>
    <row r="740" spans="1:14" ht="105">
      <c r="A740" s="3" t="s">
        <v>3302</v>
      </c>
      <c r="B740" s="3" t="s">
        <v>3303</v>
      </c>
      <c r="C740" s="5" t="s">
        <v>939</v>
      </c>
      <c r="D740" s="3" t="s">
        <v>6210</v>
      </c>
      <c r="E740" s="3" t="s">
        <v>207</v>
      </c>
      <c r="F740" s="3"/>
      <c r="G740" s="3"/>
      <c r="H740" s="3"/>
      <c r="I740" s="3"/>
      <c r="J740" s="3" t="s">
        <v>3304</v>
      </c>
      <c r="K740" s="3"/>
      <c r="L740" s="3" t="s">
        <v>3305</v>
      </c>
      <c r="M740" s="3" t="str">
        <f>HYPERLINK("https://ceds.ed.gov/cedselementdetails.aspx?termid=5438")</f>
        <v>https://ceds.ed.gov/cedselementdetails.aspx?termid=5438</v>
      </c>
      <c r="N740" s="3" t="str">
        <f>HYPERLINK("https://ceds.ed.gov/elementComment.aspx?elementName=Instruction Language &amp;elementID=5438", "Click here to submit comment")</f>
        <v>Click here to submit comment</v>
      </c>
    </row>
    <row r="741" spans="1:14" ht="45">
      <c r="A741" s="3" t="s">
        <v>3306</v>
      </c>
      <c r="B741" s="3" t="s">
        <v>3307</v>
      </c>
      <c r="C741" s="3" t="s">
        <v>13</v>
      </c>
      <c r="D741" s="3" t="s">
        <v>1708</v>
      </c>
      <c r="E741" s="3" t="s">
        <v>5976</v>
      </c>
      <c r="F741" s="3"/>
      <c r="G741" s="3" t="s">
        <v>1461</v>
      </c>
      <c r="H741" s="3"/>
      <c r="I741" s="3"/>
      <c r="J741" s="3" t="s">
        <v>3308</v>
      </c>
      <c r="K741" s="3"/>
      <c r="L741" s="3" t="s">
        <v>3309</v>
      </c>
      <c r="M741" s="3" t="str">
        <f>HYPERLINK("https://ceds.ed.gov/cedselementdetails.aspx?termid=5168")</f>
        <v>https://ceds.ed.gov/cedselementdetails.aspx?termid=5168</v>
      </c>
      <c r="N741" s="3" t="str">
        <f>HYPERLINK("https://ceds.ed.gov/elementComment.aspx?elementName=Instructional Activity Hours Attempted &amp;elementID=5168", "Click here to submit comment")</f>
        <v>Click here to submit comment</v>
      </c>
    </row>
    <row r="742" spans="1:14" ht="75">
      <c r="A742" s="3" t="s">
        <v>3310</v>
      </c>
      <c r="B742" s="3" t="s">
        <v>3311</v>
      </c>
      <c r="C742" s="3" t="s">
        <v>13</v>
      </c>
      <c r="D742" s="3" t="s">
        <v>6211</v>
      </c>
      <c r="E742" s="3" t="s">
        <v>42</v>
      </c>
      <c r="F742" s="3" t="s">
        <v>3</v>
      </c>
      <c r="G742" s="3" t="s">
        <v>1461</v>
      </c>
      <c r="H742" s="3"/>
      <c r="I742" s="3"/>
      <c r="J742" s="3" t="s">
        <v>3312</v>
      </c>
      <c r="K742" s="3"/>
      <c r="L742" s="3" t="s">
        <v>3313</v>
      </c>
      <c r="M742" s="3" t="str">
        <f>HYPERLINK("https://ceds.ed.gov/cedselementdetails.aspx?termid=5361")</f>
        <v>https://ceds.ed.gov/cedselementdetails.aspx?termid=5361</v>
      </c>
      <c r="N742" s="3" t="str">
        <f>HYPERLINK("https://ceds.ed.gov/elementComment.aspx?elementName=Instructional Activity Hours Completed &amp;elementID=5361", "Click here to submit comment")</f>
        <v>Click here to submit comment</v>
      </c>
    </row>
    <row r="743" spans="1:14" ht="45">
      <c r="A743" s="3" t="s">
        <v>3314</v>
      </c>
      <c r="B743" s="3" t="s">
        <v>3315</v>
      </c>
      <c r="C743" s="3" t="s">
        <v>6212</v>
      </c>
      <c r="D743" s="3" t="s">
        <v>1708</v>
      </c>
      <c r="E743" s="3" t="s">
        <v>5976</v>
      </c>
      <c r="F743" s="3"/>
      <c r="G743" s="3"/>
      <c r="H743" s="3"/>
      <c r="I743" s="3"/>
      <c r="J743" s="3" t="s">
        <v>3316</v>
      </c>
      <c r="K743" s="3"/>
      <c r="L743" s="3" t="s">
        <v>3317</v>
      </c>
      <c r="M743" s="3" t="str">
        <f>HYPERLINK("https://ceds.ed.gov/cedselementdetails.aspx?termid=5169")</f>
        <v>https://ceds.ed.gov/cedselementdetails.aspx?termid=5169</v>
      </c>
      <c r="N743" s="3" t="str">
        <f>HYPERLINK("https://ceds.ed.gov/elementComment.aspx?elementName=Instructional Activity Hours Type &amp;elementID=5169", "Click here to submit comment")</f>
        <v>Click here to submit comment</v>
      </c>
    </row>
    <row r="744" spans="1:14" ht="90">
      <c r="A744" s="3" t="s">
        <v>3318</v>
      </c>
      <c r="B744" s="3" t="s">
        <v>3319</v>
      </c>
      <c r="C744" s="3" t="s">
        <v>13</v>
      </c>
      <c r="D744" s="3" t="s">
        <v>2116</v>
      </c>
      <c r="E744" s="3"/>
      <c r="F744" s="3"/>
      <c r="G744" s="3" t="s">
        <v>308</v>
      </c>
      <c r="H744" s="3"/>
      <c r="I744" s="3"/>
      <c r="J744" s="3" t="s">
        <v>3320</v>
      </c>
      <c r="K744" s="3"/>
      <c r="L744" s="3" t="s">
        <v>3321</v>
      </c>
      <c r="M744" s="3" t="str">
        <f>HYPERLINK("https://ceds.ed.gov/cedselementdetails.aspx?termid=5490")</f>
        <v>https://ceds.ed.gov/cedselementdetails.aspx?termid=5490</v>
      </c>
      <c r="N744" s="3" t="str">
        <f>HYPERLINK("https://ceds.ed.gov/elementComment.aspx?elementName=Instructional Minutes &amp;elementID=5490", "Click here to submit comment")</f>
        <v>Click here to submit comment</v>
      </c>
    </row>
    <row r="745" spans="1:14" ht="75">
      <c r="A745" s="3" t="s">
        <v>3322</v>
      </c>
      <c r="B745" s="3" t="s">
        <v>3323</v>
      </c>
      <c r="C745" s="3" t="s">
        <v>13</v>
      </c>
      <c r="D745" s="3" t="s">
        <v>6067</v>
      </c>
      <c r="E745" s="3" t="s">
        <v>6018</v>
      </c>
      <c r="F745" s="3"/>
      <c r="G745" s="3" t="s">
        <v>745</v>
      </c>
      <c r="H745" s="3"/>
      <c r="I745" s="3"/>
      <c r="J745" s="3" t="s">
        <v>3324</v>
      </c>
      <c r="K745" s="3"/>
      <c r="L745" s="3" t="s">
        <v>3325</v>
      </c>
      <c r="M745" s="3" t="str">
        <f>HYPERLINK("https://ceds.ed.gov/cedselementdetails.aspx?termid=5369")</f>
        <v>https://ceds.ed.gov/cedselementdetails.aspx?termid=5369</v>
      </c>
      <c r="N745" s="3" t="str">
        <f>HYPERLINK("https://ceds.ed.gov/elementComment.aspx?elementName=Instructional Recommendation &amp;elementID=5369", "Click here to submit comment")</f>
        <v>Click here to submit comment</v>
      </c>
    </row>
    <row r="746" spans="1:14" ht="90">
      <c r="A746" s="3" t="s">
        <v>3326</v>
      </c>
      <c r="B746" s="3" t="s">
        <v>3327</v>
      </c>
      <c r="C746" s="4" t="s">
        <v>6555</v>
      </c>
      <c r="D746" s="3" t="s">
        <v>35</v>
      </c>
      <c r="E746" s="3" t="s">
        <v>36</v>
      </c>
      <c r="F746" s="3"/>
      <c r="G746" s="3"/>
      <c r="H746" s="3"/>
      <c r="I746" s="3" t="s">
        <v>3328</v>
      </c>
      <c r="J746" s="3" t="s">
        <v>3329</v>
      </c>
      <c r="K746" s="3"/>
      <c r="L746" s="3" t="s">
        <v>3330</v>
      </c>
      <c r="M746" s="3" t="str">
        <f>HYPERLINK("https://ceds.ed.gov/cedselementdetails.aspx?termid=5712")</f>
        <v>https://ceds.ed.gov/cedselementdetails.aspx?termid=5712</v>
      </c>
      <c r="N746" s="3" t="str">
        <f>HYPERLINK("https://ceds.ed.gov/elementComment.aspx?elementName=Instructional Staff Contract Length &amp;elementID=5712", "Click here to submit comment")</f>
        <v>Click here to submit comment</v>
      </c>
    </row>
    <row r="747" spans="1:14" ht="105">
      <c r="A747" s="3" t="s">
        <v>3331</v>
      </c>
      <c r="B747" s="3" t="s">
        <v>3332</v>
      </c>
      <c r="C747" s="4" t="s">
        <v>6556</v>
      </c>
      <c r="D747" s="3" t="s">
        <v>35</v>
      </c>
      <c r="E747" s="3" t="s">
        <v>36</v>
      </c>
      <c r="F747" s="3"/>
      <c r="G747" s="3"/>
      <c r="H747" s="3"/>
      <c r="I747" s="3" t="s">
        <v>1785</v>
      </c>
      <c r="J747" s="3" t="s">
        <v>3333</v>
      </c>
      <c r="K747" s="3"/>
      <c r="L747" s="3" t="s">
        <v>3334</v>
      </c>
      <c r="M747" s="3" t="str">
        <f>HYPERLINK("https://ceds.ed.gov/cedselementdetails.aspx?termid=5716")</f>
        <v>https://ceds.ed.gov/cedselementdetails.aspx?termid=5716</v>
      </c>
      <c r="N747" s="3" t="str">
        <f>HYPERLINK("https://ceds.ed.gov/elementComment.aspx?elementName=Instructional Staff Faculty Tenure Status &amp;elementID=5716", "Click here to submit comment")</f>
        <v>Click here to submit comment</v>
      </c>
    </row>
    <row r="748" spans="1:14" ht="90">
      <c r="A748" s="3" t="s">
        <v>3335</v>
      </c>
      <c r="B748" s="3" t="s">
        <v>3336</v>
      </c>
      <c r="C748" s="3" t="s">
        <v>5963</v>
      </c>
      <c r="D748" s="3" t="s">
        <v>35</v>
      </c>
      <c r="E748" s="3"/>
      <c r="F748" s="3"/>
      <c r="G748" s="3"/>
      <c r="H748" s="3"/>
      <c r="I748" s="3" t="s">
        <v>2630</v>
      </c>
      <c r="J748" s="3" t="s">
        <v>3337</v>
      </c>
      <c r="K748" s="3"/>
      <c r="L748" s="3" t="s">
        <v>3338</v>
      </c>
      <c r="M748" s="3" t="str">
        <f>HYPERLINK("https://ceds.ed.gov/cedselementdetails.aspx?termid=5709")</f>
        <v>https://ceds.ed.gov/cedselementdetails.aspx?termid=5709</v>
      </c>
      <c r="N748" s="3" t="str">
        <f>HYPERLINK("https://ceds.ed.gov/elementComment.aspx?elementName=Instructional Staff Status &amp;elementID=5709", "Click here to submit comment")</f>
        <v>Click here to submit comment</v>
      </c>
    </row>
    <row r="749" spans="1:14" ht="210">
      <c r="A749" s="3" t="s">
        <v>3339</v>
      </c>
      <c r="B749" s="3" t="s">
        <v>3340</v>
      </c>
      <c r="C749" s="4" t="s">
        <v>6455</v>
      </c>
      <c r="D749" s="3" t="s">
        <v>2146</v>
      </c>
      <c r="E749" s="3" t="s">
        <v>2147</v>
      </c>
      <c r="F749" s="3"/>
      <c r="G749" s="3"/>
      <c r="H749" s="3"/>
      <c r="I749" s="3"/>
      <c r="J749" s="3" t="s">
        <v>3341</v>
      </c>
      <c r="K749" s="3"/>
      <c r="L749" s="3" t="s">
        <v>3342</v>
      </c>
      <c r="M749" s="3" t="str">
        <f>HYPERLINK("https://ceds.ed.gov/cedselementdetails.aspx?termid=5334")</f>
        <v>https://ceds.ed.gov/cedselementdetails.aspx?termid=5334</v>
      </c>
      <c r="N749" s="3" t="str">
        <f>HYPERLINK("https://ceds.ed.gov/elementComment.aspx?elementName=Insurance Coverage &amp;elementID=5334", "Click here to submit comment")</f>
        <v>Click here to submit comment</v>
      </c>
    </row>
    <row r="750" spans="1:14" ht="90">
      <c r="A750" s="3" t="s">
        <v>3343</v>
      </c>
      <c r="B750" s="3" t="s">
        <v>3344</v>
      </c>
      <c r="C750" s="4" t="s">
        <v>6557</v>
      </c>
      <c r="D750" s="3" t="s">
        <v>1471</v>
      </c>
      <c r="E750" s="3" t="s">
        <v>218</v>
      </c>
      <c r="F750" s="3"/>
      <c r="G750" s="3"/>
      <c r="H750" s="3"/>
      <c r="I750" s="3"/>
      <c r="J750" s="3" t="s">
        <v>3345</v>
      </c>
      <c r="K750" s="3"/>
      <c r="L750" s="3" t="s">
        <v>3346</v>
      </c>
      <c r="M750" s="3" t="str">
        <f>HYPERLINK("https://ceds.ed.gov/cedselementdetails.aspx?termid=5170")</f>
        <v>https://ceds.ed.gov/cedselementdetails.aspx?termid=5170</v>
      </c>
      <c r="N750" s="3" t="str">
        <f>HYPERLINK("https://ceds.ed.gov/elementComment.aspx?elementName=Integrated Technology Status &amp;elementID=5170", "Click here to submit comment")</f>
        <v>Click here to submit comment</v>
      </c>
    </row>
    <row r="751" spans="1:14" ht="60">
      <c r="A751" s="3" t="s">
        <v>3347</v>
      </c>
      <c r="B751" s="3" t="s">
        <v>3348</v>
      </c>
      <c r="C751" s="3" t="s">
        <v>13</v>
      </c>
      <c r="D751" s="3" t="s">
        <v>6004</v>
      </c>
      <c r="E751" s="3"/>
      <c r="F751" s="3"/>
      <c r="G751" s="3" t="s">
        <v>73</v>
      </c>
      <c r="H751" s="3"/>
      <c r="I751" s="3"/>
      <c r="J751" s="3" t="s">
        <v>3349</v>
      </c>
      <c r="K751" s="3"/>
      <c r="L751" s="3" t="s">
        <v>3350</v>
      </c>
      <c r="M751" s="3" t="str">
        <f>HYPERLINK("https://ceds.ed.gov/cedselementdetails.aspx?termid=6137")</f>
        <v>https://ceds.ed.gov/cedselementdetails.aspx?termid=6137</v>
      </c>
      <c r="N751" s="3" t="str">
        <f>HYPERLINK("https://ceds.ed.gov/elementComment.aspx?elementName=Intended Administration Start Date &amp;elementID=6137", "Click here to submit comment")</f>
        <v>Click here to submit comment</v>
      </c>
    </row>
    <row r="752" spans="1:14" ht="60">
      <c r="A752" s="3" t="s">
        <v>3351</v>
      </c>
      <c r="B752" s="3" t="s">
        <v>3352</v>
      </c>
      <c r="C752" s="4" t="s">
        <v>6558</v>
      </c>
      <c r="D752" s="3" t="s">
        <v>224</v>
      </c>
      <c r="E752" s="3" t="s">
        <v>218</v>
      </c>
      <c r="F752" s="3"/>
      <c r="G752" s="3"/>
      <c r="H752" s="3"/>
      <c r="I752" s="3"/>
      <c r="J752" s="3" t="s">
        <v>3353</v>
      </c>
      <c r="K752" s="3"/>
      <c r="L752" s="3" t="s">
        <v>3354</v>
      </c>
      <c r="M752" s="3" t="str">
        <f>HYPERLINK("https://ceds.ed.gov/cedselementdetails.aspx?termid=5580")</f>
        <v>https://ceds.ed.gov/cedselementdetails.aspx?termid=5580</v>
      </c>
      <c r="N752" s="3" t="str">
        <f>HYPERLINK("https://ceds.ed.gov/elementComment.aspx?elementName=Internet Access &amp;elementID=5580", "Click here to submit comment")</f>
        <v>Click here to submit comment</v>
      </c>
    </row>
    <row r="753" spans="1:14" ht="60">
      <c r="A753" s="3" t="s">
        <v>3355</v>
      </c>
      <c r="B753" s="3" t="s">
        <v>3356</v>
      </c>
      <c r="C753" s="3" t="s">
        <v>13</v>
      </c>
      <c r="D753" s="3" t="s">
        <v>1471</v>
      </c>
      <c r="E753" s="3"/>
      <c r="F753" s="3"/>
      <c r="G753" s="3" t="s">
        <v>308</v>
      </c>
      <c r="H753" s="3"/>
      <c r="I753" s="3"/>
      <c r="J753" s="3" t="s">
        <v>3357</v>
      </c>
      <c r="K753" s="3"/>
      <c r="L753" s="3" t="s">
        <v>3358</v>
      </c>
      <c r="M753" s="3" t="str">
        <f>HYPERLINK("https://ceds.ed.gov/cedselementdetails.aspx?termid=5665")</f>
        <v>https://ceds.ed.gov/cedselementdetails.aspx?termid=5665</v>
      </c>
      <c r="N753" s="3" t="str">
        <f>HYPERLINK("https://ceds.ed.gov/elementComment.aspx?elementName=Interscholastic Sport Participants - Female Only &amp;elementID=5665", "Click here to submit comment")</f>
        <v>Click here to submit comment</v>
      </c>
    </row>
    <row r="754" spans="1:14" ht="60">
      <c r="A754" s="3" t="s">
        <v>3359</v>
      </c>
      <c r="B754" s="3" t="s">
        <v>3360</v>
      </c>
      <c r="C754" s="3" t="s">
        <v>13</v>
      </c>
      <c r="D754" s="3" t="s">
        <v>1471</v>
      </c>
      <c r="E754" s="3"/>
      <c r="F754" s="3"/>
      <c r="G754" s="3" t="s">
        <v>308</v>
      </c>
      <c r="H754" s="3"/>
      <c r="I754" s="3"/>
      <c r="J754" s="3" t="s">
        <v>3361</v>
      </c>
      <c r="K754" s="3"/>
      <c r="L754" s="3" t="s">
        <v>3362</v>
      </c>
      <c r="M754" s="3" t="str">
        <f>HYPERLINK("https://ceds.ed.gov/cedselementdetails.aspx?termid=5664")</f>
        <v>https://ceds.ed.gov/cedselementdetails.aspx?termid=5664</v>
      </c>
      <c r="N754" s="3" t="str">
        <f>HYPERLINK("https://ceds.ed.gov/elementComment.aspx?elementName=Interscholastic Sport Participants - Male Only &amp;elementID=5664", "Click here to submit comment")</f>
        <v>Click here to submit comment</v>
      </c>
    </row>
    <row r="755" spans="1:14" ht="90">
      <c r="A755" s="3" t="s">
        <v>3363</v>
      </c>
      <c r="B755" s="3" t="s">
        <v>3364</v>
      </c>
      <c r="C755" s="3" t="s">
        <v>13</v>
      </c>
      <c r="D755" s="3" t="s">
        <v>1471</v>
      </c>
      <c r="E755" s="3"/>
      <c r="F755" s="3"/>
      <c r="G755" s="3" t="s">
        <v>308</v>
      </c>
      <c r="H755" s="3"/>
      <c r="I755" s="3"/>
      <c r="J755" s="3" t="s">
        <v>3365</v>
      </c>
      <c r="K755" s="3"/>
      <c r="L755" s="3" t="s">
        <v>3366</v>
      </c>
      <c r="M755" s="3" t="str">
        <f>HYPERLINK("https://ceds.ed.gov/cedselementdetails.aspx?termid=5661")</f>
        <v>https://ceds.ed.gov/cedselementdetails.aspx?termid=5661</v>
      </c>
      <c r="N755" s="3" t="str">
        <f>HYPERLINK("https://ceds.ed.gov/elementComment.aspx?elementName=Interscholastic Sports - Female Only &amp;elementID=5661", "Click here to submit comment")</f>
        <v>Click here to submit comment</v>
      </c>
    </row>
    <row r="756" spans="1:14" ht="75">
      <c r="A756" s="3" t="s">
        <v>3367</v>
      </c>
      <c r="B756" s="3" t="s">
        <v>3368</v>
      </c>
      <c r="C756" s="3" t="s">
        <v>13</v>
      </c>
      <c r="D756" s="3" t="s">
        <v>1471</v>
      </c>
      <c r="E756" s="3"/>
      <c r="F756" s="3"/>
      <c r="G756" s="3" t="s">
        <v>308</v>
      </c>
      <c r="H756" s="3"/>
      <c r="I756" s="3"/>
      <c r="J756" s="3" t="s">
        <v>3369</v>
      </c>
      <c r="K756" s="3"/>
      <c r="L756" s="3" t="s">
        <v>3370</v>
      </c>
      <c r="M756" s="3" t="str">
        <f>HYPERLINK("https://ceds.ed.gov/cedselementdetails.aspx?termid=5660")</f>
        <v>https://ceds.ed.gov/cedselementdetails.aspx?termid=5660</v>
      </c>
      <c r="N756" s="3" t="str">
        <f>HYPERLINK("https://ceds.ed.gov/elementComment.aspx?elementName=Interscholastic Sports - Male Only &amp;elementID=5660", "Click here to submit comment")</f>
        <v>Click here to submit comment</v>
      </c>
    </row>
    <row r="757" spans="1:14" ht="105">
      <c r="A757" s="3" t="s">
        <v>3371</v>
      </c>
      <c r="B757" s="3" t="s">
        <v>3372</v>
      </c>
      <c r="C757" s="3" t="s">
        <v>13</v>
      </c>
      <c r="D757" s="3" t="s">
        <v>1471</v>
      </c>
      <c r="E757" s="3"/>
      <c r="F757" s="3"/>
      <c r="G757" s="3" t="s">
        <v>308</v>
      </c>
      <c r="H757" s="3"/>
      <c r="I757" s="3"/>
      <c r="J757" s="3" t="s">
        <v>3373</v>
      </c>
      <c r="K757" s="3"/>
      <c r="L757" s="3" t="s">
        <v>3374</v>
      </c>
      <c r="M757" s="3" t="str">
        <f>HYPERLINK("https://ceds.ed.gov/cedselementdetails.aspx?termid=5663")</f>
        <v>https://ceds.ed.gov/cedselementdetails.aspx?termid=5663</v>
      </c>
      <c r="N757" s="3" t="str">
        <f>HYPERLINK("https://ceds.ed.gov/elementComment.aspx?elementName=Interscholastic Teams - Female Only &amp;elementID=5663", "Click here to submit comment")</f>
        <v>Click here to submit comment</v>
      </c>
    </row>
    <row r="758" spans="1:14" ht="105">
      <c r="A758" s="3" t="s">
        <v>3375</v>
      </c>
      <c r="B758" s="3" t="s">
        <v>3376</v>
      </c>
      <c r="C758" s="3" t="s">
        <v>13</v>
      </c>
      <c r="D758" s="3" t="s">
        <v>1471</v>
      </c>
      <c r="E758" s="3"/>
      <c r="F758" s="3"/>
      <c r="G758" s="3" t="s">
        <v>308</v>
      </c>
      <c r="H758" s="3"/>
      <c r="I758" s="3"/>
      <c r="J758" s="3" t="s">
        <v>3377</v>
      </c>
      <c r="K758" s="3"/>
      <c r="L758" s="3" t="s">
        <v>3378</v>
      </c>
      <c r="M758" s="3" t="str">
        <f>HYPERLINK("https://ceds.ed.gov/cedselementdetails.aspx?termid=5662")</f>
        <v>https://ceds.ed.gov/cedselementdetails.aspx?termid=5662</v>
      </c>
      <c r="N758" s="3" t="str">
        <f>HYPERLINK("https://ceds.ed.gov/elementComment.aspx?elementName=Interscholastic Teams - Male Only &amp;elementID=5662", "Click here to submit comment")</f>
        <v>Click here to submit comment</v>
      </c>
    </row>
    <row r="759" spans="1:14" ht="390">
      <c r="A759" s="3" t="s">
        <v>3379</v>
      </c>
      <c r="B759" s="3" t="s">
        <v>3380</v>
      </c>
      <c r="C759" s="4" t="s">
        <v>6559</v>
      </c>
      <c r="D759" s="3" t="s">
        <v>35</v>
      </c>
      <c r="E759" s="3" t="s">
        <v>36</v>
      </c>
      <c r="F759" s="3"/>
      <c r="G759" s="3"/>
      <c r="H759" s="3"/>
      <c r="I759" s="3" t="s">
        <v>3381</v>
      </c>
      <c r="J759" s="3" t="s">
        <v>3382</v>
      </c>
      <c r="K759" s="3"/>
      <c r="L759" s="3" t="s">
        <v>3383</v>
      </c>
      <c r="M759" s="3" t="str">
        <f>HYPERLINK("https://ceds.ed.gov/cedselementdetails.aspx?termid=5708")</f>
        <v>https://ceds.ed.gov/cedselementdetails.aspx?termid=5708</v>
      </c>
      <c r="N759" s="3" t="str">
        <f>HYPERLINK("https://ceds.ed.gov/elementComment.aspx?elementName=IPEDS Occupational Category &amp;elementID=5708", "Click here to submit comment")</f>
        <v>Click here to submit comment</v>
      </c>
    </row>
    <row r="760" spans="1:14" ht="45">
      <c r="A760" s="3" t="s">
        <v>3384</v>
      </c>
      <c r="B760" s="3" t="s">
        <v>3385</v>
      </c>
      <c r="C760" s="3" t="s">
        <v>5963</v>
      </c>
      <c r="D760" s="3" t="s">
        <v>3012</v>
      </c>
      <c r="E760" s="3"/>
      <c r="F760" s="3" t="s">
        <v>54</v>
      </c>
      <c r="G760" s="3"/>
      <c r="H760" s="3"/>
      <c r="I760" s="3"/>
      <c r="J760" s="3" t="s">
        <v>3386</v>
      </c>
      <c r="K760" s="3"/>
      <c r="L760" s="3" t="s">
        <v>3387</v>
      </c>
      <c r="M760" s="3" t="str">
        <f>HYPERLINK("https://ceds.ed.gov/cedselementdetails.aspx?termid=6353")</f>
        <v>https://ceds.ed.gov/cedselementdetails.aspx?termid=6353</v>
      </c>
      <c r="N760" s="3" t="str">
        <f>HYPERLINK("https://ceds.ed.gov/elementComment.aspx?elementName=Itinerant Provider &amp;elementID=6353", "Click here to submit comment")</f>
        <v>Click here to submit comment</v>
      </c>
    </row>
    <row r="761" spans="1:14" ht="45">
      <c r="A761" s="3" t="s">
        <v>3388</v>
      </c>
      <c r="B761" s="3" t="s">
        <v>3389</v>
      </c>
      <c r="C761" s="3" t="s">
        <v>5963</v>
      </c>
      <c r="D761" s="3" t="s">
        <v>1723</v>
      </c>
      <c r="E761" s="3"/>
      <c r="F761" s="3"/>
      <c r="G761" s="3"/>
      <c r="H761" s="3"/>
      <c r="I761" s="3"/>
      <c r="J761" s="3" t="s">
        <v>3390</v>
      </c>
      <c r="K761" s="3"/>
      <c r="L761" s="3" t="s">
        <v>3391</v>
      </c>
      <c r="M761" s="3" t="str">
        <f>HYPERLINK("https://ceds.ed.gov/cedselementdetails.aspx?termid=5519")</f>
        <v>https://ceds.ed.gov/cedselementdetails.aspx?termid=5519</v>
      </c>
      <c r="N761" s="3" t="str">
        <f>HYPERLINK("https://ceds.ed.gov/elementComment.aspx?elementName=Itinerant Teacher &amp;elementID=5519", "Click here to submit comment")</f>
        <v>Click here to submit comment</v>
      </c>
    </row>
    <row r="762" spans="1:14" ht="75">
      <c r="A762" s="3" t="s">
        <v>3392</v>
      </c>
      <c r="B762" s="3" t="s">
        <v>3393</v>
      </c>
      <c r="C762" s="4" t="s">
        <v>6560</v>
      </c>
      <c r="D762" s="3" t="s">
        <v>3394</v>
      </c>
      <c r="E762" s="3"/>
      <c r="F762" s="3" t="s">
        <v>54</v>
      </c>
      <c r="G762" s="3"/>
      <c r="H762" s="3"/>
      <c r="I762" s="3"/>
      <c r="J762" s="3" t="s">
        <v>3395</v>
      </c>
      <c r="K762" s="3"/>
      <c r="L762" s="3" t="s">
        <v>3396</v>
      </c>
      <c r="M762" s="3" t="str">
        <f>HYPERLINK("https://ceds.ed.gov/cedselementdetails.aspx?termid=6355")</f>
        <v>https://ceds.ed.gov/cedselementdetails.aspx?termid=6355</v>
      </c>
      <c r="N762" s="3" t="str">
        <f>HYPERLINK("https://ceds.ed.gov/elementComment.aspx?elementName=K12 End of Course Requirement &amp;elementID=6355", "Click here to submit comment")</f>
        <v>Click here to submit comment</v>
      </c>
    </row>
    <row r="763" spans="1:14" ht="60">
      <c r="A763" s="3" t="s">
        <v>3397</v>
      </c>
      <c r="B763" s="3" t="s">
        <v>3398</v>
      </c>
      <c r="C763" s="4" t="s">
        <v>6561</v>
      </c>
      <c r="D763" s="3" t="s">
        <v>3399</v>
      </c>
      <c r="E763" s="3" t="s">
        <v>2</v>
      </c>
      <c r="F763" s="3"/>
      <c r="G763" s="3"/>
      <c r="H763" s="3"/>
      <c r="I763" s="3"/>
      <c r="J763" s="3" t="s">
        <v>3400</v>
      </c>
      <c r="K763" s="3"/>
      <c r="L763" s="3" t="s">
        <v>3401</v>
      </c>
      <c r="M763" s="3" t="str">
        <f>HYPERLINK("https://ceds.ed.gov/cedselementdetails.aspx?termid=5482")</f>
        <v>https://ceds.ed.gov/cedselementdetails.aspx?termid=5482</v>
      </c>
      <c r="N763" s="3" t="str">
        <f>HYPERLINK("https://ceds.ed.gov/elementComment.aspx?elementName=Kindergarten Daily Length &amp;elementID=5482", "Click here to submit comment")</f>
        <v>Click here to submit comment</v>
      </c>
    </row>
    <row r="764" spans="1:14" ht="105">
      <c r="A764" s="3" t="s">
        <v>3402</v>
      </c>
      <c r="B764" s="3" t="s">
        <v>3403</v>
      </c>
      <c r="C764" s="4" t="s">
        <v>6562</v>
      </c>
      <c r="D764" s="3" t="s">
        <v>154</v>
      </c>
      <c r="E764" s="3"/>
      <c r="F764" s="3"/>
      <c r="G764" s="3"/>
      <c r="H764" s="3"/>
      <c r="I764" s="3"/>
      <c r="J764" s="3" t="s">
        <v>3404</v>
      </c>
      <c r="K764" s="3"/>
      <c r="L764" s="3" t="s">
        <v>3405</v>
      </c>
      <c r="M764" s="3" t="str">
        <f>HYPERLINK("https://ceds.ed.gov/cedselementdetails.aspx?termid=5690")</f>
        <v>https://ceds.ed.gov/cedselementdetails.aspx?termid=5690</v>
      </c>
      <c r="N764" s="3" t="str">
        <f>HYPERLINK("https://ceds.ed.gov/elementComment.aspx?elementName=Kindergarten Program Participation Type &amp;elementID=5690", "Click here to submit comment")</f>
        <v>Click here to submit comment</v>
      </c>
    </row>
    <row r="765" spans="1:14" ht="210">
      <c r="A765" s="3" t="s">
        <v>3406</v>
      </c>
      <c r="B765" s="3" t="s">
        <v>3407</v>
      </c>
      <c r="C765" s="5" t="s">
        <v>939</v>
      </c>
      <c r="D765" s="3" t="s">
        <v>6213</v>
      </c>
      <c r="E765" s="3" t="s">
        <v>6214</v>
      </c>
      <c r="F765" s="3" t="s">
        <v>66</v>
      </c>
      <c r="G765" s="3"/>
      <c r="H765" s="3" t="s">
        <v>2645</v>
      </c>
      <c r="I765" s="3" t="s">
        <v>3408</v>
      </c>
      <c r="J765" s="3" t="s">
        <v>3409</v>
      </c>
      <c r="K765" s="3"/>
      <c r="L765" s="3" t="s">
        <v>3410</v>
      </c>
      <c r="M765" s="3" t="str">
        <f>HYPERLINK("https://ceds.ed.gov/cedselementdetails.aspx?termid=5317")</f>
        <v>https://ceds.ed.gov/cedselementdetails.aspx?termid=5317</v>
      </c>
      <c r="N765" s="3" t="str">
        <f>HYPERLINK("https://ceds.ed.gov/elementComment.aspx?elementName=Language Code &amp;elementID=5317", "Click here to submit comment")</f>
        <v>Click here to submit comment</v>
      </c>
    </row>
    <row r="766" spans="1:14" ht="45">
      <c r="A766" s="3" t="s">
        <v>3411</v>
      </c>
      <c r="B766" s="3" t="s">
        <v>3412</v>
      </c>
      <c r="C766" s="5" t="s">
        <v>939</v>
      </c>
      <c r="D766" s="3"/>
      <c r="E766" s="3"/>
      <c r="F766" s="3" t="s">
        <v>54</v>
      </c>
      <c r="G766" s="3"/>
      <c r="H766" s="3"/>
      <c r="I766" s="3"/>
      <c r="J766" s="3" t="s">
        <v>3413</v>
      </c>
      <c r="K766" s="3"/>
      <c r="L766" s="3" t="s">
        <v>3414</v>
      </c>
      <c r="M766" s="3" t="str">
        <f>HYPERLINK("https://ceds.ed.gov/cedselementdetails.aspx?termid=6357")</f>
        <v>https://ceds.ed.gov/cedselementdetails.aspx?termid=6357</v>
      </c>
      <c r="N766" s="3" t="str">
        <f>HYPERLINK("https://ceds.ed.gov/elementComment.aspx?elementName=Language of Session &amp;elementID=6357", "Click here to submit comment")</f>
        <v>Click here to submit comment</v>
      </c>
    </row>
    <row r="767" spans="1:14" ht="75">
      <c r="A767" s="3" t="s">
        <v>3415</v>
      </c>
      <c r="B767" s="3" t="s">
        <v>3416</v>
      </c>
      <c r="C767" s="3" t="s">
        <v>5963</v>
      </c>
      <c r="D767" s="3" t="s">
        <v>6215</v>
      </c>
      <c r="E767" s="3"/>
      <c r="F767" s="3"/>
      <c r="G767" s="3"/>
      <c r="H767" s="3"/>
      <c r="I767" s="3"/>
      <c r="J767" s="3" t="s">
        <v>3417</v>
      </c>
      <c r="K767" s="3"/>
      <c r="L767" s="3" t="s">
        <v>3418</v>
      </c>
      <c r="M767" s="3" t="str">
        <f>HYPERLINK("https://ceds.ed.gov/cedselementdetails.aspx?termid=6190")</f>
        <v>https://ceds.ed.gov/cedselementdetails.aspx?termid=6190</v>
      </c>
      <c r="N767" s="3" t="str">
        <f>HYPERLINK("https://ceds.ed.gov/elementComment.aspx?elementName=Language Translation Policy &amp;elementID=6190", "Click here to submit comment")</f>
        <v>Click here to submit comment</v>
      </c>
    </row>
    <row r="768" spans="1:14" ht="135">
      <c r="A768" s="3" t="s">
        <v>3419</v>
      </c>
      <c r="B768" s="3" t="s">
        <v>3420</v>
      </c>
      <c r="C768" s="4" t="s">
        <v>6563</v>
      </c>
      <c r="D768" s="3" t="s">
        <v>6216</v>
      </c>
      <c r="E768" s="3" t="s">
        <v>6214</v>
      </c>
      <c r="F768" s="3"/>
      <c r="G768" s="3"/>
      <c r="H768" s="3"/>
      <c r="I768" s="3"/>
      <c r="J768" s="3" t="s">
        <v>3421</v>
      </c>
      <c r="K768" s="3"/>
      <c r="L768" s="3" t="s">
        <v>3422</v>
      </c>
      <c r="M768" s="3" t="str">
        <f>HYPERLINK("https://ceds.ed.gov/cedselementdetails.aspx?termid=5316")</f>
        <v>https://ceds.ed.gov/cedselementdetails.aspx?termid=5316</v>
      </c>
      <c r="N768" s="3" t="str">
        <f>HYPERLINK("https://ceds.ed.gov/elementComment.aspx?elementName=Language Type &amp;elementID=5316", "Click here to submit comment")</f>
        <v>Click here to submit comment</v>
      </c>
    </row>
    <row r="769" spans="1:14" ht="105">
      <c r="A769" s="3" t="s">
        <v>3423</v>
      </c>
      <c r="B769" s="3" t="s">
        <v>3424</v>
      </c>
      <c r="C769" s="3" t="s">
        <v>13</v>
      </c>
      <c r="D769" s="3" t="s">
        <v>2116</v>
      </c>
      <c r="E769" s="3"/>
      <c r="F769" s="3"/>
      <c r="G769" s="3" t="s">
        <v>73</v>
      </c>
      <c r="H769" s="3"/>
      <c r="I769" s="3"/>
      <c r="J769" s="3" t="s">
        <v>3425</v>
      </c>
      <c r="K769" s="3"/>
      <c r="L769" s="3" t="s">
        <v>3426</v>
      </c>
      <c r="M769" s="3" t="str">
        <f>HYPERLINK("https://ceds.ed.gov/cedselementdetails.aspx?termid=5489")</f>
        <v>https://ceds.ed.gov/cedselementdetails.aspx?termid=5489</v>
      </c>
      <c r="N769" s="3" t="str">
        <f>HYPERLINK("https://ceds.ed.gov/elementComment.aspx?elementName=Last Instruction Date &amp;elementID=5489", "Click here to submit comment")</f>
        <v>Click here to submit comment</v>
      </c>
    </row>
    <row r="770" spans="1:14" ht="409.5">
      <c r="A770" s="3" t="s">
        <v>3427</v>
      </c>
      <c r="B770" s="3" t="s">
        <v>3428</v>
      </c>
      <c r="C770" s="3" t="s">
        <v>13</v>
      </c>
      <c r="D770" s="3" t="s">
        <v>6217</v>
      </c>
      <c r="E770" s="3" t="s">
        <v>6176</v>
      </c>
      <c r="F770" s="3" t="s">
        <v>3</v>
      </c>
      <c r="G770" s="3" t="s">
        <v>1368</v>
      </c>
      <c r="H770" s="3"/>
      <c r="I770" s="3" t="s">
        <v>2778</v>
      </c>
      <c r="J770" s="3" t="s">
        <v>3429</v>
      </c>
      <c r="K770" s="3" t="s">
        <v>3430</v>
      </c>
      <c r="L770" s="3" t="s">
        <v>3431</v>
      </c>
      <c r="M770" s="3" t="str">
        <f>HYPERLINK("https://ceds.ed.gov/cedselementdetails.aspx?termid=5172")</f>
        <v>https://ceds.ed.gov/cedselementdetails.aspx?termid=5172</v>
      </c>
      <c r="N770" s="3" t="str">
        <f>HYPERLINK("https://ceds.ed.gov/elementComment.aspx?elementName=Last or Surname &amp;elementID=5172", "Click here to submit comment")</f>
        <v>Click here to submit comment</v>
      </c>
    </row>
    <row r="771" spans="1:14" ht="30">
      <c r="A771" s="3" t="s">
        <v>3432</v>
      </c>
      <c r="B771" s="3" t="s">
        <v>3433</v>
      </c>
      <c r="C771" s="3" t="s">
        <v>13</v>
      </c>
      <c r="D771" s="3" t="s">
        <v>1479</v>
      </c>
      <c r="E771" s="3" t="s">
        <v>218</v>
      </c>
      <c r="F771" s="3"/>
      <c r="G771" s="3" t="s">
        <v>73</v>
      </c>
      <c r="H771" s="3"/>
      <c r="I771" s="3"/>
      <c r="J771" s="3" t="s">
        <v>3434</v>
      </c>
      <c r="K771" s="3"/>
      <c r="L771" s="3" t="s">
        <v>3435</v>
      </c>
      <c r="M771" s="3" t="str">
        <f>HYPERLINK("https://ceds.ed.gov/cedselementdetails.aspx?termid=5171")</f>
        <v>https://ceds.ed.gov/cedselementdetails.aspx?termid=5171</v>
      </c>
      <c r="N771" s="3" t="str">
        <f>HYPERLINK("https://ceds.ed.gov/elementComment.aspx?elementName=Last Qualifying Move Date &amp;elementID=5171", "Click here to submit comment")</f>
        <v>Click here to submit comment</v>
      </c>
    </row>
    <row r="772" spans="1:14" ht="75">
      <c r="A772" s="3" t="s">
        <v>3436</v>
      </c>
      <c r="B772" s="3" t="s">
        <v>3437</v>
      </c>
      <c r="C772" s="3" t="s">
        <v>13</v>
      </c>
      <c r="D772" s="3" t="s">
        <v>6218</v>
      </c>
      <c r="E772" s="3"/>
      <c r="F772" s="3"/>
      <c r="G772" s="3" t="s">
        <v>1127</v>
      </c>
      <c r="H772" s="3"/>
      <c r="I772" s="3"/>
      <c r="J772" s="3" t="s">
        <v>3438</v>
      </c>
      <c r="K772" s="3"/>
      <c r="L772" s="3" t="s">
        <v>3436</v>
      </c>
      <c r="M772" s="3" t="str">
        <f>HYPERLINK("https://ceds.ed.gov/cedselementdetails.aspx?termid=5599")</f>
        <v>https://ceds.ed.gov/cedselementdetails.aspx?termid=5599</v>
      </c>
      <c r="N772" s="3" t="str">
        <f>HYPERLINK("https://ceds.ed.gov/elementComment.aspx?elementName=Latitude &amp;elementID=5599", "Click here to submit comment")</f>
        <v>Click here to submit comment</v>
      </c>
    </row>
    <row r="773" spans="1:14" ht="45">
      <c r="A773" s="3" t="s">
        <v>3439</v>
      </c>
      <c r="B773" s="3" t="s">
        <v>3440</v>
      </c>
      <c r="C773" s="3" t="s">
        <v>13</v>
      </c>
      <c r="D773" s="3" t="s">
        <v>6219</v>
      </c>
      <c r="E773" s="3"/>
      <c r="F773" s="3"/>
      <c r="G773" s="3" t="s">
        <v>73</v>
      </c>
      <c r="H773" s="3"/>
      <c r="I773" s="3"/>
      <c r="J773" s="3" t="s">
        <v>3441</v>
      </c>
      <c r="K773" s="3"/>
      <c r="L773" s="3" t="s">
        <v>3442</v>
      </c>
      <c r="M773" s="3" t="str">
        <f>HYPERLINK("https://ceds.ed.gov/cedselementdetails.aspx?termid=5938")</f>
        <v>https://ceds.ed.gov/cedselementdetails.aspx?termid=5938</v>
      </c>
      <c r="N773" s="3" t="str">
        <f>HYPERLINK("https://ceds.ed.gov/elementComment.aspx?elementName=Learner Action Date &amp;elementID=5938", "Click here to submit comment")</f>
        <v>Click here to submit comment</v>
      </c>
    </row>
    <row r="774" spans="1:14" ht="45">
      <c r="A774" s="3" t="s">
        <v>3443</v>
      </c>
      <c r="B774" s="3" t="s">
        <v>3444</v>
      </c>
      <c r="C774" s="3" t="s">
        <v>13</v>
      </c>
      <c r="D774" s="3" t="s">
        <v>6219</v>
      </c>
      <c r="E774" s="3"/>
      <c r="F774" s="3"/>
      <c r="G774" s="3" t="s">
        <v>3445</v>
      </c>
      <c r="H774" s="3"/>
      <c r="I774" s="3"/>
      <c r="J774" s="3" t="s">
        <v>3446</v>
      </c>
      <c r="K774" s="3"/>
      <c r="L774" s="3" t="s">
        <v>3447</v>
      </c>
      <c r="M774" s="3" t="str">
        <f>HYPERLINK("https://ceds.ed.gov/cedselementdetails.aspx?termid=5937")</f>
        <v>https://ceds.ed.gov/cedselementdetails.aspx?termid=5937</v>
      </c>
      <c r="N774" s="3" t="str">
        <f>HYPERLINK("https://ceds.ed.gov/elementComment.aspx?elementName=Learner Action Time &amp;elementID=5937", "Click here to submit comment")</f>
        <v>Click here to submit comment</v>
      </c>
    </row>
    <row r="775" spans="1:14" ht="135">
      <c r="A775" s="3" t="s">
        <v>3448</v>
      </c>
      <c r="B775" s="3" t="s">
        <v>3449</v>
      </c>
      <c r="C775" s="4" t="s">
        <v>6564</v>
      </c>
      <c r="D775" s="3" t="s">
        <v>6219</v>
      </c>
      <c r="E775" s="3"/>
      <c r="F775" s="3"/>
      <c r="G775" s="3"/>
      <c r="H775" s="3"/>
      <c r="I775" s="3"/>
      <c r="J775" s="3" t="s">
        <v>3450</v>
      </c>
      <c r="K775" s="3"/>
      <c r="L775" s="3" t="s">
        <v>3451</v>
      </c>
      <c r="M775" s="3" t="str">
        <f>HYPERLINK("https://ceds.ed.gov/cedselementdetails.aspx?termid=5935")</f>
        <v>https://ceds.ed.gov/cedselementdetails.aspx?termid=5935</v>
      </c>
      <c r="N775" s="3" t="str">
        <f>HYPERLINK("https://ceds.ed.gov/elementComment.aspx?elementName=Learner Action Type &amp;elementID=5935", "Click here to submit comment")</f>
        <v>Click here to submit comment</v>
      </c>
    </row>
    <row r="776" spans="1:14" ht="75">
      <c r="A776" s="3" t="s">
        <v>3452</v>
      </c>
      <c r="B776" s="3" t="s">
        <v>3453</v>
      </c>
      <c r="C776" s="3" t="s">
        <v>13</v>
      </c>
      <c r="D776" s="3" t="s">
        <v>6219</v>
      </c>
      <c r="E776" s="3"/>
      <c r="F776" s="3"/>
      <c r="G776" s="3" t="s">
        <v>319</v>
      </c>
      <c r="H776" s="3"/>
      <c r="I776" s="3"/>
      <c r="J776" s="3" t="s">
        <v>3454</v>
      </c>
      <c r="K776" s="3"/>
      <c r="L776" s="3" t="s">
        <v>3455</v>
      </c>
      <c r="M776" s="3" t="str">
        <f>HYPERLINK("https://ceds.ed.gov/cedselementdetails.aspx?termid=5936")</f>
        <v>https://ceds.ed.gov/cedselementdetails.aspx?termid=5936</v>
      </c>
      <c r="N776" s="3" t="str">
        <f>HYPERLINK("https://ceds.ed.gov/elementComment.aspx?elementName=Learner Action Value &amp;elementID=5936", "Click here to submit comment")</f>
        <v>Click here to submit comment</v>
      </c>
    </row>
    <row r="777" spans="1:14" ht="60">
      <c r="A777" s="3" t="s">
        <v>3456</v>
      </c>
      <c r="B777" s="3" t="s">
        <v>3457</v>
      </c>
      <c r="C777" s="4" t="s">
        <v>6373</v>
      </c>
      <c r="D777" s="3" t="s">
        <v>6220</v>
      </c>
      <c r="E777" s="3"/>
      <c r="F777" s="3"/>
      <c r="G777" s="3"/>
      <c r="H777" s="3"/>
      <c r="I777" s="3"/>
      <c r="J777" s="3" t="s">
        <v>3458</v>
      </c>
      <c r="K777" s="3"/>
      <c r="L777" s="3" t="s">
        <v>3459</v>
      </c>
      <c r="M777" s="3" t="str">
        <f>HYPERLINK("https://ceds.ed.gov/cedselementdetails.aspx?termid=5950")</f>
        <v>https://ceds.ed.gov/cedselementdetails.aspx?termid=5950</v>
      </c>
      <c r="N777" s="3" t="str">
        <f>HYPERLINK("https://ceds.ed.gov/elementComment.aspx?elementName=Learner Activity Add To Grade Book Flag &amp;elementID=5950", "Click here to submit comment")</f>
        <v>Click here to submit comment</v>
      </c>
    </row>
    <row r="778" spans="1:14" ht="45">
      <c r="A778" s="3" t="s">
        <v>3460</v>
      </c>
      <c r="B778" s="3" t="s">
        <v>3461</v>
      </c>
      <c r="C778" s="3" t="s">
        <v>13</v>
      </c>
      <c r="D778" s="3" t="s">
        <v>6220</v>
      </c>
      <c r="E778" s="3"/>
      <c r="F778" s="3"/>
      <c r="G778" s="3" t="s">
        <v>73</v>
      </c>
      <c r="H778" s="3"/>
      <c r="I778" s="3"/>
      <c r="J778" s="3" t="s">
        <v>3462</v>
      </c>
      <c r="K778" s="3"/>
      <c r="L778" s="3" t="s">
        <v>3463</v>
      </c>
      <c r="M778" s="3" t="str">
        <f>HYPERLINK("https://ceds.ed.gov/cedselementdetails.aspx?termid=5944")</f>
        <v>https://ceds.ed.gov/cedselementdetails.aspx?termid=5944</v>
      </c>
      <c r="N778" s="3" t="str">
        <f>HYPERLINK("https://ceds.ed.gov/elementComment.aspx?elementName=Learner Activity Creation Date &amp;elementID=5944", "Click here to submit comment")</f>
        <v>Click here to submit comment</v>
      </c>
    </row>
    <row r="779" spans="1:14" ht="45">
      <c r="A779" s="3" t="s">
        <v>3464</v>
      </c>
      <c r="B779" s="3" t="s">
        <v>3465</v>
      </c>
      <c r="C779" s="3" t="s">
        <v>13</v>
      </c>
      <c r="D779" s="3" t="s">
        <v>6220</v>
      </c>
      <c r="E779" s="3"/>
      <c r="F779" s="3"/>
      <c r="G779" s="3" t="s">
        <v>93</v>
      </c>
      <c r="H779" s="3"/>
      <c r="I779" s="3"/>
      <c r="J779" s="3" t="s">
        <v>3466</v>
      </c>
      <c r="K779" s="3"/>
      <c r="L779" s="3" t="s">
        <v>3467</v>
      </c>
      <c r="M779" s="3" t="str">
        <f>HYPERLINK("https://ceds.ed.gov/cedselementdetails.aspx?termid=5941")</f>
        <v>https://ceds.ed.gov/cedselementdetails.aspx?termid=5941</v>
      </c>
      <c r="N779" s="3" t="str">
        <f>HYPERLINK("https://ceds.ed.gov/elementComment.aspx?elementName=Learner Activity Description &amp;elementID=5941", "Click here to submit comment")</f>
        <v>Click here to submit comment</v>
      </c>
    </row>
    <row r="780" spans="1:14" ht="45">
      <c r="A780" s="3" t="s">
        <v>3468</v>
      </c>
      <c r="B780" s="3" t="s">
        <v>3469</v>
      </c>
      <c r="C780" s="3" t="s">
        <v>13</v>
      </c>
      <c r="D780" s="3" t="s">
        <v>6220</v>
      </c>
      <c r="E780" s="3"/>
      <c r="F780" s="3"/>
      <c r="G780" s="3" t="s">
        <v>73</v>
      </c>
      <c r="H780" s="3"/>
      <c r="I780" s="3"/>
      <c r="J780" s="3" t="s">
        <v>3470</v>
      </c>
      <c r="K780" s="3"/>
      <c r="L780" s="3" t="s">
        <v>3471</v>
      </c>
      <c r="M780" s="3" t="str">
        <f>HYPERLINK("https://ceds.ed.gov/cedselementdetails.aspx?termid=5947")</f>
        <v>https://ceds.ed.gov/cedselementdetails.aspx?termid=5947</v>
      </c>
      <c r="N780" s="3" t="str">
        <f>HYPERLINK("https://ceds.ed.gov/elementComment.aspx?elementName=Learner Activity Due Date &amp;elementID=5947", "Click here to submit comment")</f>
        <v>Click here to submit comment</v>
      </c>
    </row>
    <row r="781" spans="1:14" ht="45">
      <c r="A781" s="3" t="s">
        <v>3472</v>
      </c>
      <c r="B781" s="3" t="s">
        <v>3473</v>
      </c>
      <c r="C781" s="3" t="s">
        <v>13</v>
      </c>
      <c r="D781" s="3" t="s">
        <v>6220</v>
      </c>
      <c r="E781" s="3"/>
      <c r="F781" s="3"/>
      <c r="G781" s="3" t="s">
        <v>426</v>
      </c>
      <c r="H781" s="3"/>
      <c r="I781" s="3"/>
      <c r="J781" s="3" t="s">
        <v>3474</v>
      </c>
      <c r="K781" s="3"/>
      <c r="L781" s="3" t="s">
        <v>3475</v>
      </c>
      <c r="M781" s="3" t="str">
        <f>HYPERLINK("https://ceds.ed.gov/cedselementdetails.aspx?termid=5948")</f>
        <v>https://ceds.ed.gov/cedselementdetails.aspx?termid=5948</v>
      </c>
      <c r="N781" s="3" t="str">
        <f>HYPERLINK("https://ceds.ed.gov/elementComment.aspx?elementName=Learner Activity Due Time &amp;elementID=5948", "Click here to submit comment")</f>
        <v>Click here to submit comment</v>
      </c>
    </row>
    <row r="782" spans="1:14" ht="75">
      <c r="A782" s="3" t="s">
        <v>3476</v>
      </c>
      <c r="B782" s="3" t="s">
        <v>3477</v>
      </c>
      <c r="C782" s="5" t="s">
        <v>939</v>
      </c>
      <c r="D782" s="3" t="s">
        <v>6220</v>
      </c>
      <c r="E782" s="3"/>
      <c r="F782" s="3"/>
      <c r="G782" s="3"/>
      <c r="H782" s="3"/>
      <c r="I782" s="3" t="s">
        <v>3478</v>
      </c>
      <c r="J782" s="3" t="s">
        <v>3479</v>
      </c>
      <c r="K782" s="3"/>
      <c r="L782" s="3" t="s">
        <v>3480</v>
      </c>
      <c r="M782" s="3" t="str">
        <f>HYPERLINK("https://ceds.ed.gov/cedselementdetails.aspx?termid=5939")</f>
        <v>https://ceds.ed.gov/cedselementdetails.aspx?termid=5939</v>
      </c>
      <c r="N782" s="3" t="str">
        <f>HYPERLINK("https://ceds.ed.gov/elementComment.aspx?elementName=Learner Activity Language &amp;elementID=5939", "Click here to submit comment")</f>
        <v>Click here to submit comment</v>
      </c>
    </row>
    <row r="783" spans="1:14" ht="45">
      <c r="A783" s="3" t="s">
        <v>3481</v>
      </c>
      <c r="B783" s="3" t="s">
        <v>3482</v>
      </c>
      <c r="C783" s="3" t="s">
        <v>13</v>
      </c>
      <c r="D783" s="3" t="s">
        <v>6220</v>
      </c>
      <c r="E783" s="3"/>
      <c r="F783" s="3"/>
      <c r="G783" s="3" t="s">
        <v>308</v>
      </c>
      <c r="H783" s="3"/>
      <c r="I783" s="3"/>
      <c r="J783" s="3" t="s">
        <v>3483</v>
      </c>
      <c r="K783" s="3"/>
      <c r="L783" s="3" t="s">
        <v>3484</v>
      </c>
      <c r="M783" s="3" t="str">
        <f>HYPERLINK("https://ceds.ed.gov/cedselementdetails.aspx?termid=5949")</f>
        <v>https://ceds.ed.gov/cedselementdetails.aspx?termid=5949</v>
      </c>
      <c r="N783" s="3" t="str">
        <f>HYPERLINK("https://ceds.ed.gov/elementComment.aspx?elementName=Learner Activity Maximum Attempts Allowed &amp;elementID=5949", "Click here to submit comment")</f>
        <v>Click here to submit comment</v>
      </c>
    </row>
    <row r="784" spans="1:14" ht="45">
      <c r="A784" s="3" t="s">
        <v>3485</v>
      </c>
      <c r="B784" s="3" t="s">
        <v>3486</v>
      </c>
      <c r="C784" s="3" t="s">
        <v>13</v>
      </c>
      <c r="D784" s="3" t="s">
        <v>6220</v>
      </c>
      <c r="E784" s="3"/>
      <c r="F784" s="3"/>
      <c r="G784" s="3" t="s">
        <v>308</v>
      </c>
      <c r="H784" s="3"/>
      <c r="I784" s="3" t="s">
        <v>3487</v>
      </c>
      <c r="J784" s="3" t="s">
        <v>3488</v>
      </c>
      <c r="K784" s="3"/>
      <c r="L784" s="3" t="s">
        <v>3489</v>
      </c>
      <c r="M784" s="3" t="str">
        <f>HYPERLINK("https://ceds.ed.gov/cedselementdetails.aspx?termid=5945")</f>
        <v>https://ceds.ed.gov/cedselementdetails.aspx?termid=5945</v>
      </c>
      <c r="N784" s="3" t="str">
        <f>HYPERLINK("https://ceds.ed.gov/elementComment.aspx?elementName=Learner Activity Maximum Time Allowed &amp;elementID=5945", "Click here to submit comment")</f>
        <v>Click here to submit comment</v>
      </c>
    </row>
    <row r="785" spans="1:14" ht="90">
      <c r="A785" s="3" t="s">
        <v>3490</v>
      </c>
      <c r="B785" s="3" t="s">
        <v>3491</v>
      </c>
      <c r="C785" s="3" t="s">
        <v>6221</v>
      </c>
      <c r="D785" s="3" t="s">
        <v>6220</v>
      </c>
      <c r="E785" s="3"/>
      <c r="F785" s="3"/>
      <c r="G785" s="3"/>
      <c r="H785" s="3"/>
      <c r="I785" s="3"/>
      <c r="J785" s="3" t="s">
        <v>3492</v>
      </c>
      <c r="K785" s="3"/>
      <c r="L785" s="3" t="s">
        <v>3493</v>
      </c>
      <c r="M785" s="3" t="str">
        <f>HYPERLINK("https://ceds.ed.gov/cedselementdetails.aspx?termid=5946")</f>
        <v>https://ceds.ed.gov/cedselementdetails.aspx?termid=5946</v>
      </c>
      <c r="N785" s="3" t="str">
        <f>HYPERLINK("https://ceds.ed.gov/elementComment.aspx?elementName=Learner Activity Maximum Time Allowed Unit &amp;elementID=5946", "Click here to submit comment")</f>
        <v>Click here to submit comment</v>
      </c>
    </row>
    <row r="786" spans="1:14" ht="45">
      <c r="A786" s="3" t="s">
        <v>3494</v>
      </c>
      <c r="B786" s="3" t="s">
        <v>3495</v>
      </c>
      <c r="C786" s="3" t="s">
        <v>13</v>
      </c>
      <c r="D786" s="3" t="s">
        <v>6220</v>
      </c>
      <c r="E786" s="3"/>
      <c r="F786" s="3"/>
      <c r="G786" s="3" t="s">
        <v>3496</v>
      </c>
      <c r="H786" s="3"/>
      <c r="I786" s="3"/>
      <c r="J786" s="3" t="s">
        <v>3497</v>
      </c>
      <c r="K786" s="3"/>
      <c r="L786" s="3" t="s">
        <v>3498</v>
      </c>
      <c r="M786" s="3" t="str">
        <f>HYPERLINK("https://ceds.ed.gov/cedselementdetails.aspx?termid=5953")</f>
        <v>https://ceds.ed.gov/cedselementdetails.aspx?termid=5953</v>
      </c>
      <c r="N786" s="3" t="str">
        <f>HYPERLINK("https://ceds.ed.gov/elementComment.aspx?elementName=Learner Activity Possible Points &amp;elementID=5953", "Click here to submit comment")</f>
        <v>Click here to submit comment</v>
      </c>
    </row>
    <row r="787" spans="1:14" ht="120">
      <c r="A787" s="3" t="s">
        <v>3499</v>
      </c>
      <c r="B787" s="3" t="s">
        <v>3500</v>
      </c>
      <c r="C787" s="3" t="s">
        <v>13</v>
      </c>
      <c r="D787" s="3" t="s">
        <v>6220</v>
      </c>
      <c r="E787" s="3"/>
      <c r="F787" s="3"/>
      <c r="G787" s="3" t="s">
        <v>93</v>
      </c>
      <c r="H787" s="3"/>
      <c r="I787" s="3" t="s">
        <v>3501</v>
      </c>
      <c r="J787" s="3" t="s">
        <v>3502</v>
      </c>
      <c r="K787" s="3"/>
      <c r="L787" s="3" t="s">
        <v>3503</v>
      </c>
      <c r="M787" s="3" t="str">
        <f>HYPERLINK("https://ceds.ed.gov/cedselementdetails.aspx?termid=5942")</f>
        <v>https://ceds.ed.gov/cedselementdetails.aspx?termid=5942</v>
      </c>
      <c r="N787" s="3" t="str">
        <f>HYPERLINK("https://ceds.ed.gov/elementComment.aspx?elementName=Learner Activity Prerequisite &amp;elementID=5942", "Click here to submit comment")</f>
        <v>Click here to submit comment</v>
      </c>
    </row>
    <row r="788" spans="1:14" ht="60">
      <c r="A788" s="3" t="s">
        <v>3504</v>
      </c>
      <c r="B788" s="3" t="s">
        <v>3505</v>
      </c>
      <c r="C788" s="3" t="s">
        <v>13</v>
      </c>
      <c r="D788" s="3" t="s">
        <v>6220</v>
      </c>
      <c r="E788" s="3"/>
      <c r="F788" s="3"/>
      <c r="G788" s="3" t="s">
        <v>73</v>
      </c>
      <c r="H788" s="3"/>
      <c r="I788" s="3"/>
      <c r="J788" s="3" t="s">
        <v>3506</v>
      </c>
      <c r="K788" s="3"/>
      <c r="L788" s="3" t="s">
        <v>3507</v>
      </c>
      <c r="M788" s="3" t="str">
        <f>HYPERLINK("https://ceds.ed.gov/cedselementdetails.aspx?termid=5951")</f>
        <v>https://ceds.ed.gov/cedselementdetails.aspx?termid=5951</v>
      </c>
      <c r="N788" s="3" t="str">
        <f>HYPERLINK("https://ceds.ed.gov/elementComment.aspx?elementName=Learner Activity Release Date &amp;elementID=5951", "Click here to submit comment")</f>
        <v>Click here to submit comment</v>
      </c>
    </row>
    <row r="789" spans="1:14" ht="60">
      <c r="A789" s="3" t="s">
        <v>3508</v>
      </c>
      <c r="B789" s="3" t="s">
        <v>3509</v>
      </c>
      <c r="C789" s="3" t="s">
        <v>13</v>
      </c>
      <c r="D789" s="3" t="s">
        <v>6220</v>
      </c>
      <c r="E789" s="3"/>
      <c r="F789" s="3"/>
      <c r="G789" s="3" t="s">
        <v>93</v>
      </c>
      <c r="H789" s="3"/>
      <c r="I789" s="3"/>
      <c r="J789" s="3" t="s">
        <v>3510</v>
      </c>
      <c r="K789" s="3"/>
      <c r="L789" s="3" t="s">
        <v>3511</v>
      </c>
      <c r="M789" s="3" t="str">
        <f>HYPERLINK("https://ceds.ed.gov/cedselementdetails.aspx?termid=5954")</f>
        <v>https://ceds.ed.gov/cedselementdetails.aspx?termid=5954</v>
      </c>
      <c r="N789" s="3" t="str">
        <f>HYPERLINK("https://ceds.ed.gov/elementComment.aspx?elementName=Learner Activity Rubric URL &amp;elementID=5954", "Click here to submit comment")</f>
        <v>Click here to submit comment</v>
      </c>
    </row>
    <row r="790" spans="1:14" ht="45">
      <c r="A790" s="3" t="s">
        <v>3512</v>
      </c>
      <c r="B790" s="3" t="s">
        <v>3513</v>
      </c>
      <c r="C790" s="3" t="s">
        <v>13</v>
      </c>
      <c r="D790" s="3" t="s">
        <v>6220</v>
      </c>
      <c r="E790" s="3"/>
      <c r="F790" s="3"/>
      <c r="G790" s="3" t="s">
        <v>100</v>
      </c>
      <c r="H790" s="3"/>
      <c r="I790" s="3"/>
      <c r="J790" s="3" t="s">
        <v>3514</v>
      </c>
      <c r="K790" s="3"/>
      <c r="L790" s="3" t="s">
        <v>3515</v>
      </c>
      <c r="M790" s="3" t="str">
        <f>HYPERLINK("https://ceds.ed.gov/cedselementdetails.aspx?termid=5940")</f>
        <v>https://ceds.ed.gov/cedselementdetails.aspx?termid=5940</v>
      </c>
      <c r="N790" s="3" t="str">
        <f>HYPERLINK("https://ceds.ed.gov/elementComment.aspx?elementName=Learner Activity Title &amp;elementID=5940", "Click here to submit comment")</f>
        <v>Click here to submit comment</v>
      </c>
    </row>
    <row r="791" spans="1:14" ht="75">
      <c r="A791" s="3" t="s">
        <v>3516</v>
      </c>
      <c r="B791" s="3" t="s">
        <v>3517</v>
      </c>
      <c r="C791" s="3" t="s">
        <v>6222</v>
      </c>
      <c r="D791" s="3" t="s">
        <v>6220</v>
      </c>
      <c r="E791" s="3"/>
      <c r="F791" s="3"/>
      <c r="G791" s="3"/>
      <c r="H791" s="3"/>
      <c r="I791" s="3"/>
      <c r="J791" s="3" t="s">
        <v>3518</v>
      </c>
      <c r="K791" s="3"/>
      <c r="L791" s="3" t="s">
        <v>3519</v>
      </c>
      <c r="M791" s="3" t="str">
        <f>HYPERLINK("https://ceds.ed.gov/cedselementdetails.aspx?termid=5943")</f>
        <v>https://ceds.ed.gov/cedselementdetails.aspx?termid=5943</v>
      </c>
      <c r="N791" s="3" t="str">
        <f>HYPERLINK("https://ceds.ed.gov/elementComment.aspx?elementName=Learner Activity Type &amp;elementID=5943", "Click here to submit comment")</f>
        <v>Click here to submit comment</v>
      </c>
    </row>
    <row r="792" spans="1:14" ht="45">
      <c r="A792" s="3" t="s">
        <v>3520</v>
      </c>
      <c r="B792" s="3" t="s">
        <v>3521</v>
      </c>
      <c r="C792" s="3" t="s">
        <v>13</v>
      </c>
      <c r="D792" s="3" t="s">
        <v>6220</v>
      </c>
      <c r="E792" s="3"/>
      <c r="F792" s="3"/>
      <c r="G792" s="3" t="s">
        <v>740</v>
      </c>
      <c r="H792" s="3"/>
      <c r="I792" s="3"/>
      <c r="J792" s="3" t="s">
        <v>3522</v>
      </c>
      <c r="K792" s="3"/>
      <c r="L792" s="3" t="s">
        <v>3523</v>
      </c>
      <c r="M792" s="3" t="str">
        <f>HYPERLINK("https://ceds.ed.gov/cedselementdetails.aspx?termid=5952")</f>
        <v>https://ceds.ed.gov/cedselementdetails.aspx?termid=5952</v>
      </c>
      <c r="N792" s="3" t="str">
        <f>HYPERLINK("https://ceds.ed.gov/elementComment.aspx?elementName=Learner Activity Weight &amp;elementID=5952", "Click here to submit comment")</f>
        <v>Click here to submit comment</v>
      </c>
    </row>
    <row r="793" spans="1:14" ht="45">
      <c r="A793" s="3" t="s">
        <v>3524</v>
      </c>
      <c r="B793" s="3" t="s">
        <v>3525</v>
      </c>
      <c r="C793" s="3" t="s">
        <v>13</v>
      </c>
      <c r="D793" s="3" t="s">
        <v>6223</v>
      </c>
      <c r="E793" s="3"/>
      <c r="F793" s="3"/>
      <c r="G793" s="3" t="s">
        <v>93</v>
      </c>
      <c r="H793" s="3"/>
      <c r="I793" s="3"/>
      <c r="J793" s="3" t="s">
        <v>3526</v>
      </c>
      <c r="K793" s="3"/>
      <c r="L793" s="3" t="s">
        <v>3527</v>
      </c>
      <c r="M793" s="3" t="str">
        <f>HYPERLINK("https://ceds.ed.gov/cedselementdetails.aspx?termid=5903")</f>
        <v>https://ceds.ed.gov/cedselementdetails.aspx?termid=5903</v>
      </c>
      <c r="N793" s="3" t="str">
        <f>HYPERLINK("https://ceds.ed.gov/elementComment.aspx?elementName=Learning Goal Description &amp;elementID=5903", "Click here to submit comment")</f>
        <v>Click here to submit comment</v>
      </c>
    </row>
    <row r="794" spans="1:14" ht="45">
      <c r="A794" s="3" t="s">
        <v>3528</v>
      </c>
      <c r="B794" s="3" t="s">
        <v>3529</v>
      </c>
      <c r="C794" s="3" t="s">
        <v>13</v>
      </c>
      <c r="D794" s="3" t="s">
        <v>6224</v>
      </c>
      <c r="E794" s="3"/>
      <c r="F794" s="3"/>
      <c r="G794" s="3" t="s">
        <v>73</v>
      </c>
      <c r="H794" s="3"/>
      <c r="I794" s="3"/>
      <c r="J794" s="3" t="s">
        <v>3530</v>
      </c>
      <c r="K794" s="3"/>
      <c r="L794" s="3" t="s">
        <v>3531</v>
      </c>
      <c r="M794" s="3" t="str">
        <f>HYPERLINK("https://ceds.ed.gov/cedselementdetails.aspx?termid=6170")</f>
        <v>https://ceds.ed.gov/cedselementdetails.aspx?termid=6170</v>
      </c>
      <c r="N794" s="3" t="str">
        <f>HYPERLINK("https://ceds.ed.gov/elementComment.aspx?elementName=Learning Goal End Date &amp;elementID=6170", "Click here to submit comment")</f>
        <v>Click here to submit comment</v>
      </c>
    </row>
    <row r="795" spans="1:14" ht="45">
      <c r="A795" s="3" t="s">
        <v>3532</v>
      </c>
      <c r="B795" s="3" t="s">
        <v>3533</v>
      </c>
      <c r="C795" s="3" t="s">
        <v>13</v>
      </c>
      <c r="D795" s="3" t="s">
        <v>6224</v>
      </c>
      <c r="E795" s="3"/>
      <c r="F795" s="3"/>
      <c r="G795" s="3" t="s">
        <v>73</v>
      </c>
      <c r="H795" s="3"/>
      <c r="I795" s="3"/>
      <c r="J795" s="3" t="s">
        <v>3534</v>
      </c>
      <c r="K795" s="3"/>
      <c r="L795" s="3" t="s">
        <v>3535</v>
      </c>
      <c r="M795" s="3" t="str">
        <f>HYPERLINK("https://ceds.ed.gov/cedselementdetails.aspx?termid=6169")</f>
        <v>https://ceds.ed.gov/cedselementdetails.aspx?termid=6169</v>
      </c>
      <c r="N795" s="3" t="str">
        <f>HYPERLINK("https://ceds.ed.gov/elementComment.aspx?elementName=Learning Goal Start Date &amp;elementID=6169", "Click here to submit comment")</f>
        <v>Click here to submit comment</v>
      </c>
    </row>
    <row r="796" spans="1:14" ht="135">
      <c r="A796" s="3" t="s">
        <v>3536</v>
      </c>
      <c r="B796" s="3" t="s">
        <v>3537</v>
      </c>
      <c r="C796" s="3" t="s">
        <v>13</v>
      </c>
      <c r="D796" s="3" t="s">
        <v>6223</v>
      </c>
      <c r="E796" s="3"/>
      <c r="F796" s="3"/>
      <c r="G796" s="3" t="s">
        <v>93</v>
      </c>
      <c r="H796" s="3"/>
      <c r="I796" s="3"/>
      <c r="J796" s="3" t="s">
        <v>3538</v>
      </c>
      <c r="K796" s="3"/>
      <c r="L796" s="3" t="s">
        <v>3539</v>
      </c>
      <c r="M796" s="3" t="str">
        <f>HYPERLINK("https://ceds.ed.gov/cedselementdetails.aspx?termid=5902")</f>
        <v>https://ceds.ed.gov/cedselementdetails.aspx?termid=5902</v>
      </c>
      <c r="N796" s="3" t="str">
        <f>HYPERLINK("https://ceds.ed.gov/elementComment.aspx?elementName=Learning Goal Success Criteria &amp;elementID=5902", "Click here to submit comment")</f>
        <v>Click here to submit comment</v>
      </c>
    </row>
    <row r="797" spans="1:14" ht="180">
      <c r="A797" s="3" t="s">
        <v>3540</v>
      </c>
      <c r="B797" s="3" t="s">
        <v>3541</v>
      </c>
      <c r="C797" s="3" t="s">
        <v>6225</v>
      </c>
      <c r="D797" s="3" t="s">
        <v>6226</v>
      </c>
      <c r="E797" s="3"/>
      <c r="F797" s="3" t="s">
        <v>54</v>
      </c>
      <c r="G797" s="3"/>
      <c r="H797" s="3"/>
      <c r="I797" s="3" t="s">
        <v>3542</v>
      </c>
      <c r="J797" s="3" t="s">
        <v>3543</v>
      </c>
      <c r="K797" s="3"/>
      <c r="L797" s="3" t="s">
        <v>3544</v>
      </c>
      <c r="M797" s="3" t="str">
        <f>HYPERLINK("https://ceds.ed.gov/cedselementdetails.aspx?termid=6358")</f>
        <v>https://ceds.ed.gov/cedselementdetails.aspx?termid=6358</v>
      </c>
      <c r="N797" s="3" t="str">
        <f>HYPERLINK("https://ceds.ed.gov/elementComment.aspx?elementName=Learning Resource Access API Type &amp;elementID=6358", "Click here to submit comment")</f>
        <v>Click here to submit comment</v>
      </c>
    </row>
    <row r="798" spans="1:14" ht="90">
      <c r="A798" s="3" t="s">
        <v>3545</v>
      </c>
      <c r="B798" s="3" t="s">
        <v>3546</v>
      </c>
      <c r="C798" s="3" t="s">
        <v>6227</v>
      </c>
      <c r="D798" s="3" t="s">
        <v>6226</v>
      </c>
      <c r="E798" s="3"/>
      <c r="F798" s="3" t="s">
        <v>54</v>
      </c>
      <c r="G798" s="3"/>
      <c r="H798" s="3"/>
      <c r="I798" s="3"/>
      <c r="J798" s="3" t="s">
        <v>3547</v>
      </c>
      <c r="K798" s="3"/>
      <c r="L798" s="3" t="s">
        <v>3548</v>
      </c>
      <c r="M798" s="3" t="str">
        <f>HYPERLINK("https://ceds.ed.gov/cedselementdetails.aspx?termid=6359")</f>
        <v>https://ceds.ed.gov/cedselementdetails.aspx?termid=6359</v>
      </c>
      <c r="N798" s="3" t="str">
        <f>HYPERLINK("https://ceds.ed.gov/elementComment.aspx?elementName=Learning Resource Access Hazard Type &amp;elementID=6359", "Click here to submit comment")</f>
        <v>Click here to submit comment</v>
      </c>
    </row>
    <row r="799" spans="1:14" ht="105">
      <c r="A799" s="3" t="s">
        <v>3549</v>
      </c>
      <c r="B799" s="3" t="s">
        <v>3550</v>
      </c>
      <c r="C799" s="3" t="s">
        <v>6228</v>
      </c>
      <c r="D799" s="3" t="s">
        <v>6226</v>
      </c>
      <c r="E799" s="3"/>
      <c r="F799" s="3" t="s">
        <v>54</v>
      </c>
      <c r="G799" s="3"/>
      <c r="H799" s="3"/>
      <c r="I799" s="3" t="s">
        <v>3551</v>
      </c>
      <c r="J799" s="3" t="s">
        <v>3552</v>
      </c>
      <c r="K799" s="3"/>
      <c r="L799" s="3" t="s">
        <v>3553</v>
      </c>
      <c r="M799" s="3" t="str">
        <f>HYPERLINK("https://ceds.ed.gov/cedselementdetails.aspx?termid=6360")</f>
        <v>https://ceds.ed.gov/cedselementdetails.aspx?termid=6360</v>
      </c>
      <c r="N799" s="3" t="str">
        <f>HYPERLINK("https://ceds.ed.gov/elementComment.aspx?elementName=Learning Resource Access Mode Type &amp;elementID=6360", "Click here to submit comment")</f>
        <v>Click here to submit comment</v>
      </c>
    </row>
    <row r="800" spans="1:14" ht="90">
      <c r="A800" s="3" t="s">
        <v>3554</v>
      </c>
      <c r="B800" s="3" t="s">
        <v>3555</v>
      </c>
      <c r="C800" s="3" t="s">
        <v>13</v>
      </c>
      <c r="D800" s="3" t="s">
        <v>6226</v>
      </c>
      <c r="E800" s="3"/>
      <c r="F800" s="3" t="s">
        <v>54</v>
      </c>
      <c r="G800" s="3" t="s">
        <v>93</v>
      </c>
      <c r="H800" s="3"/>
      <c r="I800" s="3"/>
      <c r="J800" s="3" t="s">
        <v>3556</v>
      </c>
      <c r="K800" s="3"/>
      <c r="L800" s="3" t="s">
        <v>3557</v>
      </c>
      <c r="M800" s="3" t="str">
        <f>HYPERLINK("https://ceds.ed.gov/cedselementdetails.aspx?termid=6361")</f>
        <v>https://ceds.ed.gov/cedselementdetails.aspx?termid=6361</v>
      </c>
      <c r="N800" s="3" t="str">
        <f>HYPERLINK("https://ceds.ed.gov/elementComment.aspx?elementName=Learning Resource Adaptation URL &amp;elementID=6361", "Click here to submit comment")</f>
        <v>Click here to submit comment</v>
      </c>
    </row>
    <row r="801" spans="1:14" ht="90">
      <c r="A801" s="3" t="s">
        <v>3558</v>
      </c>
      <c r="B801" s="3" t="s">
        <v>3559</v>
      </c>
      <c r="C801" s="3" t="s">
        <v>13</v>
      </c>
      <c r="D801" s="3" t="s">
        <v>6226</v>
      </c>
      <c r="E801" s="3"/>
      <c r="F801" s="3" t="s">
        <v>54</v>
      </c>
      <c r="G801" s="3" t="s">
        <v>93</v>
      </c>
      <c r="H801" s="3"/>
      <c r="I801" s="3"/>
      <c r="J801" s="3" t="s">
        <v>3560</v>
      </c>
      <c r="K801" s="3"/>
      <c r="L801" s="3" t="s">
        <v>3561</v>
      </c>
      <c r="M801" s="3" t="str">
        <f>HYPERLINK("https://ceds.ed.gov/cedselementdetails.aspx?termid=6367")</f>
        <v>https://ceds.ed.gov/cedselementdetails.aspx?termid=6367</v>
      </c>
      <c r="N801" s="3" t="str">
        <f>HYPERLINK("https://ceds.ed.gov/elementComment.aspx?elementName=Learning Resource Adapted From URL &amp;elementID=6367", "Click here to submit comment")</f>
        <v>Click here to submit comment</v>
      </c>
    </row>
    <row r="802" spans="1:14" ht="90">
      <c r="A802" s="3" t="s">
        <v>3562</v>
      </c>
      <c r="B802" s="3" t="s">
        <v>3563</v>
      </c>
      <c r="C802" s="3" t="s">
        <v>5963</v>
      </c>
      <c r="D802" s="3" t="s">
        <v>6226</v>
      </c>
      <c r="E802" s="3"/>
      <c r="F802" s="3" t="s">
        <v>54</v>
      </c>
      <c r="G802" s="3"/>
      <c r="H802" s="3"/>
      <c r="I802" s="3" t="s">
        <v>3564</v>
      </c>
      <c r="J802" s="3" t="s">
        <v>3565</v>
      </c>
      <c r="K802" s="3"/>
      <c r="L802" s="3" t="s">
        <v>3566</v>
      </c>
      <c r="M802" s="3" t="str">
        <f>HYPERLINK("https://ceds.ed.gov/cedselementdetails.aspx?termid=6362")</f>
        <v>https://ceds.ed.gov/cedselementdetails.aspx?termid=6362</v>
      </c>
      <c r="N802" s="3" t="str">
        <f>HYPERLINK("https://ceds.ed.gov/elementComment.aspx?elementName=Learning Resource Assistive Technologies Compatible Indicator &amp;elementID=6362", "Click here to submit comment")</f>
        <v>Click here to submit comment</v>
      </c>
    </row>
    <row r="803" spans="1:14" ht="90">
      <c r="A803" s="3" t="s">
        <v>3567</v>
      </c>
      <c r="B803" s="3" t="s">
        <v>3568</v>
      </c>
      <c r="C803" s="3" t="s">
        <v>13</v>
      </c>
      <c r="D803" s="3" t="s">
        <v>6226</v>
      </c>
      <c r="E803" s="3"/>
      <c r="F803" s="3" t="s">
        <v>66</v>
      </c>
      <c r="G803" s="3" t="s">
        <v>93</v>
      </c>
      <c r="H803" s="3" t="s">
        <v>3569</v>
      </c>
      <c r="I803" s="3" t="s">
        <v>3570</v>
      </c>
      <c r="J803" s="3" t="s">
        <v>3571</v>
      </c>
      <c r="K803" s="3"/>
      <c r="L803" s="3" t="s">
        <v>3572</v>
      </c>
      <c r="M803" s="3" t="str">
        <f>HYPERLINK("https://ceds.ed.gov/cedselementdetails.aspx?termid=5923")</f>
        <v>https://ceds.ed.gov/cedselementdetails.aspx?termid=5923</v>
      </c>
      <c r="N803" s="3" t="str">
        <f>HYPERLINK("https://ceds.ed.gov/elementComment.aspx?elementName=Learning Resource Based On URL &amp;elementID=5923", "Click here to submit comment")</f>
        <v>Click here to submit comment</v>
      </c>
    </row>
    <row r="804" spans="1:14" ht="135">
      <c r="A804" s="3" t="s">
        <v>3573</v>
      </c>
      <c r="B804" s="3" t="s">
        <v>3574</v>
      </c>
      <c r="C804" s="3" t="s">
        <v>6229</v>
      </c>
      <c r="D804" s="3" t="s">
        <v>6226</v>
      </c>
      <c r="E804" s="3"/>
      <c r="F804" s="3" t="s">
        <v>54</v>
      </c>
      <c r="G804" s="3"/>
      <c r="H804" s="3"/>
      <c r="I804" s="3"/>
      <c r="J804" s="3" t="s">
        <v>3575</v>
      </c>
      <c r="K804" s="3"/>
      <c r="L804" s="3" t="s">
        <v>3576</v>
      </c>
      <c r="M804" s="3" t="str">
        <f>HYPERLINK("https://ceds.ed.gov/cedselementdetails.aspx?termid=6363")</f>
        <v>https://ceds.ed.gov/cedselementdetails.aspx?termid=6363</v>
      </c>
      <c r="N804" s="3" t="str">
        <f>HYPERLINK("https://ceds.ed.gov/elementComment.aspx?elementName=Learning Resource Book Format Type &amp;elementID=6363", "Click here to submit comment")</f>
        <v>Click here to submit comment</v>
      </c>
    </row>
    <row r="805" spans="1:14" ht="120">
      <c r="A805" s="3" t="s">
        <v>3577</v>
      </c>
      <c r="B805" s="3" t="s">
        <v>3578</v>
      </c>
      <c r="C805" s="3" t="s">
        <v>6230</v>
      </c>
      <c r="D805" s="3" t="s">
        <v>6231</v>
      </c>
      <c r="E805" s="3"/>
      <c r="F805" s="3" t="s">
        <v>66</v>
      </c>
      <c r="G805" s="3"/>
      <c r="H805" s="3" t="s">
        <v>2645</v>
      </c>
      <c r="I805" s="3" t="s">
        <v>3579</v>
      </c>
      <c r="J805" s="3" t="s">
        <v>3580</v>
      </c>
      <c r="K805" s="3"/>
      <c r="L805" s="3" t="s">
        <v>3581</v>
      </c>
      <c r="M805" s="3" t="str">
        <f>HYPERLINK("https://ceds.ed.gov/cedselementdetails.aspx?termid=5879")</f>
        <v>https://ceds.ed.gov/cedselementdetails.aspx?termid=5879</v>
      </c>
      <c r="N805" s="3" t="str">
        <f>HYPERLINK("https://ceds.ed.gov/elementComment.aspx?elementName=Learning Resource Competency Alignment Type &amp;elementID=5879", "Click here to submit comment")</f>
        <v>Click here to submit comment</v>
      </c>
    </row>
    <row r="806" spans="1:14" ht="90">
      <c r="A806" s="3" t="s">
        <v>3582</v>
      </c>
      <c r="B806" s="3" t="s">
        <v>3583</v>
      </c>
      <c r="C806" s="3" t="s">
        <v>13</v>
      </c>
      <c r="D806" s="3" t="s">
        <v>6226</v>
      </c>
      <c r="E806" s="3"/>
      <c r="F806" s="3"/>
      <c r="G806" s="3" t="s">
        <v>93</v>
      </c>
      <c r="H806" s="3"/>
      <c r="I806" s="3"/>
      <c r="J806" s="3" t="s">
        <v>3584</v>
      </c>
      <c r="K806" s="3"/>
      <c r="L806" s="3" t="s">
        <v>3585</v>
      </c>
      <c r="M806" s="3" t="str">
        <f>HYPERLINK("https://ceds.ed.gov/cedselementdetails.aspx?termid=6159")</f>
        <v>https://ceds.ed.gov/cedselementdetails.aspx?termid=6159</v>
      </c>
      <c r="N806" s="3" t="str">
        <f>HYPERLINK("https://ceds.ed.gov/elementComment.aspx?elementName=Learning Resource Concept Keyword &amp;elementID=6159", "Click here to submit comment")</f>
        <v>Click here to submit comment</v>
      </c>
    </row>
    <row r="807" spans="1:14" ht="90">
      <c r="A807" s="3" t="s">
        <v>3586</v>
      </c>
      <c r="B807" s="3" t="s">
        <v>3587</v>
      </c>
      <c r="C807" s="3" t="s">
        <v>6232</v>
      </c>
      <c r="D807" s="3" t="s">
        <v>6226</v>
      </c>
      <c r="E807" s="3"/>
      <c r="F807" s="3" t="s">
        <v>54</v>
      </c>
      <c r="G807" s="3"/>
      <c r="H807" s="3"/>
      <c r="I807" s="3"/>
      <c r="J807" s="3" t="s">
        <v>3588</v>
      </c>
      <c r="K807" s="3"/>
      <c r="L807" s="3" t="s">
        <v>3589</v>
      </c>
      <c r="M807" s="3" t="str">
        <f>HYPERLINK("https://ceds.ed.gov/cedselementdetails.aspx?termid=6364")</f>
        <v>https://ceds.ed.gov/cedselementdetails.aspx?termid=6364</v>
      </c>
      <c r="N807" s="3" t="str">
        <f>HYPERLINK("https://ceds.ed.gov/elementComment.aspx?elementName=Learning Resource Control Flexibility Type &amp;elementID=6364", "Click here to submit comment")</f>
        <v>Click here to submit comment</v>
      </c>
    </row>
    <row r="808" spans="1:14" ht="90">
      <c r="A808" s="3" t="s">
        <v>3590</v>
      </c>
      <c r="B808" s="3" t="s">
        <v>3591</v>
      </c>
      <c r="C808" s="3" t="s">
        <v>13</v>
      </c>
      <c r="D808" s="3" t="s">
        <v>6226</v>
      </c>
      <c r="E808" s="3"/>
      <c r="F808" s="3"/>
      <c r="G808" s="3" t="s">
        <v>106</v>
      </c>
      <c r="H808" s="3"/>
      <c r="I808" s="3"/>
      <c r="J808" s="3" t="s">
        <v>3592</v>
      </c>
      <c r="K808" s="3"/>
      <c r="L808" s="3" t="s">
        <v>3593</v>
      </c>
      <c r="M808" s="3" t="str">
        <f>HYPERLINK("https://ceds.ed.gov/cedselementdetails.aspx?termid=6157")</f>
        <v>https://ceds.ed.gov/cedselementdetails.aspx?termid=6157</v>
      </c>
      <c r="N808" s="3" t="str">
        <f>HYPERLINK("https://ceds.ed.gov/elementComment.aspx?elementName=Learning Resource Copyright Holder Name &amp;elementID=6157", "Click here to submit comment")</f>
        <v>Click here to submit comment</v>
      </c>
    </row>
    <row r="809" spans="1:14" ht="90">
      <c r="A809" s="3" t="s">
        <v>3594</v>
      </c>
      <c r="B809" s="3" t="s">
        <v>3595</v>
      </c>
      <c r="C809" s="3" t="s">
        <v>13</v>
      </c>
      <c r="D809" s="3" t="s">
        <v>6226</v>
      </c>
      <c r="E809" s="3"/>
      <c r="F809" s="3"/>
      <c r="G809" s="3" t="s">
        <v>1736</v>
      </c>
      <c r="H809" s="3"/>
      <c r="I809" s="3"/>
      <c r="J809" s="3" t="s">
        <v>3596</v>
      </c>
      <c r="K809" s="3"/>
      <c r="L809" s="3" t="s">
        <v>3597</v>
      </c>
      <c r="M809" s="3" t="str">
        <f>HYPERLINK("https://ceds.ed.gov/cedselementdetails.aspx?termid=6158")</f>
        <v>https://ceds.ed.gov/cedselementdetails.aspx?termid=6158</v>
      </c>
      <c r="N809" s="3" t="str">
        <f>HYPERLINK("https://ceds.ed.gov/elementComment.aspx?elementName=Learning Resource Copyright Year &amp;elementID=6158", "Click here to submit comment")</f>
        <v>Click here to submit comment</v>
      </c>
    </row>
    <row r="810" spans="1:14" ht="90">
      <c r="A810" s="3" t="s">
        <v>3598</v>
      </c>
      <c r="B810" s="3" t="s">
        <v>3599</v>
      </c>
      <c r="C810" s="3" t="s">
        <v>13</v>
      </c>
      <c r="D810" s="3" t="s">
        <v>6226</v>
      </c>
      <c r="E810" s="3"/>
      <c r="F810" s="3"/>
      <c r="G810" s="3" t="s">
        <v>106</v>
      </c>
      <c r="H810" s="3"/>
      <c r="I810" s="3"/>
      <c r="J810" s="3" t="s">
        <v>3600</v>
      </c>
      <c r="K810" s="3"/>
      <c r="L810" s="3" t="s">
        <v>3601</v>
      </c>
      <c r="M810" s="3" t="str">
        <f>HYPERLINK("https://ceds.ed.gov/cedselementdetails.aspx?termid=5918")</f>
        <v>https://ceds.ed.gov/cedselementdetails.aspx?termid=5918</v>
      </c>
      <c r="N810" s="3" t="str">
        <f>HYPERLINK("https://ceds.ed.gov/elementComment.aspx?elementName=Learning Resource Creator &amp;elementID=5918", "Click here to submit comment")</f>
        <v>Click here to submit comment</v>
      </c>
    </row>
    <row r="811" spans="1:14" ht="90">
      <c r="A811" s="3" t="s">
        <v>3602</v>
      </c>
      <c r="B811" s="3" t="s">
        <v>3603</v>
      </c>
      <c r="C811" s="3" t="s">
        <v>13</v>
      </c>
      <c r="D811" s="3" t="s">
        <v>6226</v>
      </c>
      <c r="E811" s="3"/>
      <c r="F811" s="3"/>
      <c r="G811" s="3" t="s">
        <v>73</v>
      </c>
      <c r="H811" s="3"/>
      <c r="I811" s="3"/>
      <c r="J811" s="3" t="s">
        <v>3604</v>
      </c>
      <c r="K811" s="3"/>
      <c r="L811" s="3" t="s">
        <v>3605</v>
      </c>
      <c r="M811" s="3" t="str">
        <f>HYPERLINK("https://ceds.ed.gov/cedselementdetails.aspx?termid=5916")</f>
        <v>https://ceds.ed.gov/cedselementdetails.aspx?termid=5916</v>
      </c>
      <c r="N811" s="3" t="str">
        <f>HYPERLINK("https://ceds.ed.gov/elementComment.aspx?elementName=Learning Resource Date Created &amp;elementID=5916", "Click here to submit comment")</f>
        <v>Click here to submit comment</v>
      </c>
    </row>
    <row r="812" spans="1:14" ht="90">
      <c r="A812" s="3" t="s">
        <v>3606</v>
      </c>
      <c r="B812" s="3" t="s">
        <v>3607</v>
      </c>
      <c r="C812" s="3" t="s">
        <v>13</v>
      </c>
      <c r="D812" s="3" t="s">
        <v>6226</v>
      </c>
      <c r="E812" s="3"/>
      <c r="F812" s="3"/>
      <c r="G812" s="3" t="s">
        <v>93</v>
      </c>
      <c r="H812" s="3"/>
      <c r="I812" s="3"/>
      <c r="J812" s="3" t="s">
        <v>3608</v>
      </c>
      <c r="K812" s="3"/>
      <c r="L812" s="3" t="s">
        <v>3609</v>
      </c>
      <c r="M812" s="3" t="str">
        <f>HYPERLINK("https://ceds.ed.gov/cedselementdetails.aspx?termid=6156")</f>
        <v>https://ceds.ed.gov/cedselementdetails.aspx?termid=6156</v>
      </c>
      <c r="N812" s="3" t="str">
        <f>HYPERLINK("https://ceds.ed.gov/elementComment.aspx?elementName=Learning Resource Description &amp;elementID=6156", "Click here to submit comment")</f>
        <v>Click here to submit comment</v>
      </c>
    </row>
    <row r="813" spans="1:14" ht="105">
      <c r="A813" s="3" t="s">
        <v>3610</v>
      </c>
      <c r="B813" s="3" t="s">
        <v>3611</v>
      </c>
      <c r="C813" s="3" t="s">
        <v>3612</v>
      </c>
      <c r="D813" s="3" t="s">
        <v>6226</v>
      </c>
      <c r="E813" s="3"/>
      <c r="F813" s="3" t="s">
        <v>54</v>
      </c>
      <c r="G813" s="3"/>
      <c r="H813" s="3"/>
      <c r="I813" s="3"/>
      <c r="J813" s="3" t="s">
        <v>3613</v>
      </c>
      <c r="K813" s="3"/>
      <c r="L813" s="3" t="s">
        <v>3614</v>
      </c>
      <c r="M813" s="3" t="str">
        <f>HYPERLINK("https://ceds.ed.gov/cedselementdetails.aspx?termid=6365")</f>
        <v>https://ceds.ed.gov/cedselementdetails.aspx?termid=6365</v>
      </c>
      <c r="N813" s="3" t="str">
        <f>HYPERLINK("https://ceds.ed.gov/elementComment.aspx?elementName=Learning Resource Digital Media Sub Type &amp;elementID=6365", "Click here to submit comment")</f>
        <v>Click here to submit comment</v>
      </c>
    </row>
    <row r="814" spans="1:14" ht="150">
      <c r="A814" s="3" t="s">
        <v>3615</v>
      </c>
      <c r="B814" s="3" t="s">
        <v>3616</v>
      </c>
      <c r="C814" s="3" t="s">
        <v>6233</v>
      </c>
      <c r="D814" s="3" t="s">
        <v>6226</v>
      </c>
      <c r="E814" s="3"/>
      <c r="F814" s="3" t="s">
        <v>54</v>
      </c>
      <c r="G814" s="3"/>
      <c r="H814" s="3"/>
      <c r="I814" s="3"/>
      <c r="J814" s="3" t="s">
        <v>3617</v>
      </c>
      <c r="K814" s="3"/>
      <c r="L814" s="3" t="s">
        <v>3618</v>
      </c>
      <c r="M814" s="3" t="str">
        <f>HYPERLINK("https://ceds.ed.gov/cedselementdetails.aspx?termid=6366")</f>
        <v>https://ceds.ed.gov/cedselementdetails.aspx?termid=6366</v>
      </c>
      <c r="N814" s="3" t="str">
        <f>HYPERLINK("https://ceds.ed.gov/elementComment.aspx?elementName=Learning Resource Digital Media Type &amp;elementID=6366", "Click here to submit comment")</f>
        <v>Click here to submit comment</v>
      </c>
    </row>
    <row r="815" spans="1:14" ht="409.5">
      <c r="A815" s="3" t="s">
        <v>3619</v>
      </c>
      <c r="B815" s="3" t="s">
        <v>3620</v>
      </c>
      <c r="C815" s="15" t="s">
        <v>10060</v>
      </c>
      <c r="D815" s="3" t="s">
        <v>6234</v>
      </c>
      <c r="E815" s="3"/>
      <c r="F815" s="3" t="s">
        <v>66</v>
      </c>
      <c r="G815" s="3"/>
      <c r="H815" s="3" t="s">
        <v>3621</v>
      </c>
      <c r="I815" s="3"/>
      <c r="J815" s="3" t="s">
        <v>3622</v>
      </c>
      <c r="K815" s="3"/>
      <c r="L815" s="3" t="s">
        <v>3623</v>
      </c>
      <c r="M815" s="3" t="str">
        <f>HYPERLINK("https://ceds.ed.gov/cedselementdetails.aspx?termid=6212")</f>
        <v>https://ceds.ed.gov/cedselementdetails.aspx?termid=6212</v>
      </c>
      <c r="N815" s="3" t="str">
        <f>HYPERLINK("https://ceds.ed.gov/elementComment.aspx?elementName=Learning Resource Education Level  &amp;elementID=6212", "Click here to submit comment")</f>
        <v>Click here to submit comment</v>
      </c>
    </row>
    <row r="816" spans="1:14" ht="105">
      <c r="A816" s="3" t="s">
        <v>3624</v>
      </c>
      <c r="B816" s="3" t="s">
        <v>3625</v>
      </c>
      <c r="C816" s="4" t="s">
        <v>6565</v>
      </c>
      <c r="D816" s="3" t="s">
        <v>6226</v>
      </c>
      <c r="E816" s="3"/>
      <c r="F816" s="3" t="s">
        <v>66</v>
      </c>
      <c r="G816" s="3"/>
      <c r="H816" s="3" t="s">
        <v>3626</v>
      </c>
      <c r="I816" s="3"/>
      <c r="J816" s="3" t="s">
        <v>3627</v>
      </c>
      <c r="K816" s="3"/>
      <c r="L816" s="3" t="s">
        <v>3628</v>
      </c>
      <c r="M816" s="3" t="str">
        <f>HYPERLINK("https://ceds.ed.gov/cedselementdetails.aspx?termid=6005")</f>
        <v>https://ceds.ed.gov/cedselementdetails.aspx?termid=6005</v>
      </c>
      <c r="N816" s="3" t="str">
        <f>HYPERLINK("https://ceds.ed.gov/elementComment.aspx?elementName=Learning Resource Educational Use &amp;elementID=6005", "Click here to submit comment")</f>
        <v>Click here to submit comment</v>
      </c>
    </row>
    <row r="817" spans="1:14" ht="150">
      <c r="A817" s="3" t="s">
        <v>3629</v>
      </c>
      <c r="B817" s="3" t="s">
        <v>3630</v>
      </c>
      <c r="C817" s="3" t="s">
        <v>6235</v>
      </c>
      <c r="D817" s="3" t="s">
        <v>6226</v>
      </c>
      <c r="E817" s="3"/>
      <c r="F817" s="3"/>
      <c r="G817" s="3"/>
      <c r="H817" s="3"/>
      <c r="I817" s="3"/>
      <c r="J817" s="3" t="s">
        <v>3631</v>
      </c>
      <c r="K817" s="3"/>
      <c r="L817" s="3" t="s">
        <v>3632</v>
      </c>
      <c r="M817" s="3" t="str">
        <f>HYPERLINK("https://ceds.ed.gov/cedselementdetails.aspx?termid=5924")</f>
        <v>https://ceds.ed.gov/cedselementdetails.aspx?termid=5924</v>
      </c>
      <c r="N817" s="3" t="str">
        <f>HYPERLINK("https://ceds.ed.gov/elementComment.aspx?elementName=Learning Resource Intended End User Role &amp;elementID=5924", "Click here to submit comment")</f>
        <v>Click here to submit comment</v>
      </c>
    </row>
    <row r="818" spans="1:14" ht="90">
      <c r="A818" s="3" t="s">
        <v>3633</v>
      </c>
      <c r="B818" s="3" t="s">
        <v>3634</v>
      </c>
      <c r="C818" s="3" t="s">
        <v>6236</v>
      </c>
      <c r="D818" s="3" t="s">
        <v>6226</v>
      </c>
      <c r="E818" s="3"/>
      <c r="F818" s="3"/>
      <c r="G818" s="3"/>
      <c r="H818" s="3"/>
      <c r="I818" s="3"/>
      <c r="J818" s="3" t="s">
        <v>3635</v>
      </c>
      <c r="K818" s="3"/>
      <c r="L818" s="3" t="s">
        <v>3636</v>
      </c>
      <c r="M818" s="3" t="str">
        <f>HYPERLINK("https://ceds.ed.gov/cedselementdetails.aspx?termid=5928")</f>
        <v>https://ceds.ed.gov/cedselementdetails.aspx?termid=5928</v>
      </c>
      <c r="N818" s="3" t="str">
        <f>HYPERLINK("https://ceds.ed.gov/elementComment.aspx?elementName=Learning Resource Interactivity Type &amp;elementID=5928", "Click here to submit comment")</f>
        <v>Click here to submit comment</v>
      </c>
    </row>
    <row r="819" spans="1:14" ht="150">
      <c r="A819" s="3" t="s">
        <v>3637</v>
      </c>
      <c r="B819" s="3" t="s">
        <v>3638</v>
      </c>
      <c r="C819" s="5" t="s">
        <v>939</v>
      </c>
      <c r="D819" s="3" t="s">
        <v>6226</v>
      </c>
      <c r="E819" s="3"/>
      <c r="F819" s="3" t="s">
        <v>66</v>
      </c>
      <c r="G819" s="3"/>
      <c r="H819" s="3" t="s">
        <v>3639</v>
      </c>
      <c r="I819" s="3" t="s">
        <v>3640</v>
      </c>
      <c r="J819" s="3" t="s">
        <v>3641</v>
      </c>
      <c r="K819" s="3"/>
      <c r="L819" s="3" t="s">
        <v>3642</v>
      </c>
      <c r="M819" s="3" t="str">
        <f>HYPERLINK("https://ceds.ed.gov/cedselementdetails.aspx?termid=5920")</f>
        <v>https://ceds.ed.gov/cedselementdetails.aspx?termid=5920</v>
      </c>
      <c r="N819" s="3" t="str">
        <f>HYPERLINK("https://ceds.ed.gov/elementComment.aspx?elementName=Learning Resource Language &amp;elementID=5920", "Click here to submit comment")</f>
        <v>Click here to submit comment</v>
      </c>
    </row>
    <row r="820" spans="1:14" ht="315">
      <c r="A820" s="3" t="s">
        <v>3643</v>
      </c>
      <c r="B820" s="3" t="s">
        <v>3644</v>
      </c>
      <c r="C820" s="3" t="s">
        <v>6237</v>
      </c>
      <c r="D820" s="3" t="s">
        <v>6226</v>
      </c>
      <c r="E820" s="3"/>
      <c r="F820" s="3" t="s">
        <v>54</v>
      </c>
      <c r="G820" s="3"/>
      <c r="H820" s="3"/>
      <c r="I820" s="3" t="s">
        <v>3645</v>
      </c>
      <c r="J820" s="3" t="s">
        <v>3646</v>
      </c>
      <c r="K820" s="3"/>
      <c r="L820" s="3" t="s">
        <v>3647</v>
      </c>
      <c r="M820" s="3" t="str">
        <f>HYPERLINK("https://ceds.ed.gov/cedselementdetails.aspx?termid=6368")</f>
        <v>https://ceds.ed.gov/cedselementdetails.aspx?termid=6368</v>
      </c>
      <c r="N820" s="3" t="str">
        <f>HYPERLINK("https://ceds.ed.gov/elementComment.aspx?elementName=Learning Resource Media Feature Type &amp;elementID=6368", "Click here to submit comment")</f>
        <v>Click here to submit comment</v>
      </c>
    </row>
    <row r="821" spans="1:14" ht="90">
      <c r="A821" s="3" t="s">
        <v>3653</v>
      </c>
      <c r="B821" s="3" t="s">
        <v>3654</v>
      </c>
      <c r="C821" s="3" t="s">
        <v>13</v>
      </c>
      <c r="D821" s="3" t="s">
        <v>6238</v>
      </c>
      <c r="E821" s="3"/>
      <c r="F821" s="3" t="s">
        <v>54</v>
      </c>
      <c r="G821" s="3" t="s">
        <v>575</v>
      </c>
      <c r="H821" s="3"/>
      <c r="I821" s="3"/>
      <c r="J821" s="3" t="s">
        <v>3655</v>
      </c>
      <c r="K821" s="3"/>
      <c r="L821" s="3" t="s">
        <v>3656</v>
      </c>
      <c r="M821" s="3" t="str">
        <f>HYPERLINK("https://ceds.ed.gov/cedselementdetails.aspx?termid=6369")</f>
        <v>https://ceds.ed.gov/cedselementdetails.aspx?termid=6369</v>
      </c>
      <c r="N821" s="3" t="str">
        <f>HYPERLINK("https://ceds.ed.gov/elementComment.aspx?elementName=Learning Resource Peer Rating Sample Size &amp;elementID=6369", "Click here to submit comment")</f>
        <v>Click here to submit comment</v>
      </c>
    </row>
    <row r="822" spans="1:14" ht="90">
      <c r="A822" s="3" t="s">
        <v>3657</v>
      </c>
      <c r="B822" s="3" t="s">
        <v>3658</v>
      </c>
      <c r="C822" s="3" t="s">
        <v>13</v>
      </c>
      <c r="D822" s="3" t="s">
        <v>6238</v>
      </c>
      <c r="E822" s="3"/>
      <c r="F822" s="3"/>
      <c r="G822" s="3" t="s">
        <v>957</v>
      </c>
      <c r="H822" s="3"/>
      <c r="I822" s="3"/>
      <c r="J822" s="3" t="s">
        <v>3659</v>
      </c>
      <c r="K822" s="3"/>
      <c r="L822" s="3" t="s">
        <v>3660</v>
      </c>
      <c r="M822" s="3" t="str">
        <f>HYPERLINK("https://ceds.ed.gov/cedselementdetails.aspx?termid=6161")</f>
        <v>https://ceds.ed.gov/cedselementdetails.aspx?termid=6161</v>
      </c>
      <c r="N822" s="3" t="str">
        <f>HYPERLINK("https://ceds.ed.gov/elementComment.aspx?elementName=Learning Resource Peer Rating Value &amp;elementID=6161", "Click here to submit comment")</f>
        <v>Click here to submit comment</v>
      </c>
    </row>
    <row r="823" spans="1:14" ht="409.5">
      <c r="A823" s="3" t="s">
        <v>3661</v>
      </c>
      <c r="B823" s="3" t="s">
        <v>3662</v>
      </c>
      <c r="C823" s="4" t="s">
        <v>6566</v>
      </c>
      <c r="D823" s="3" t="s">
        <v>6226</v>
      </c>
      <c r="E823" s="3"/>
      <c r="F823" s="3" t="s">
        <v>54</v>
      </c>
      <c r="G823" s="3"/>
      <c r="H823" s="3"/>
      <c r="I823" s="3"/>
      <c r="J823" s="3" t="s">
        <v>3663</v>
      </c>
      <c r="K823" s="3"/>
      <c r="L823" s="3" t="s">
        <v>3664</v>
      </c>
      <c r="M823" s="3" t="str">
        <f>HYPERLINK("https://ceds.ed.gov/cedselementdetails.aspx?termid=6370")</f>
        <v>https://ceds.ed.gov/cedselementdetails.aspx?termid=6370</v>
      </c>
      <c r="N823" s="3" t="str">
        <f>HYPERLINK("https://ceds.ed.gov/elementComment.aspx?elementName=Learning Resource Physical Media Type &amp;elementID=6370", "Click here to submit comment")</f>
        <v>Click here to submit comment</v>
      </c>
    </row>
    <row r="824" spans="1:14" ht="150">
      <c r="A824" s="3" t="s">
        <v>3665</v>
      </c>
      <c r="B824" s="3" t="s">
        <v>3666</v>
      </c>
      <c r="C824" s="3" t="s">
        <v>13</v>
      </c>
      <c r="D824" s="3" t="s">
        <v>6239</v>
      </c>
      <c r="E824" s="3"/>
      <c r="F824" s="3"/>
      <c r="G824" s="3" t="s">
        <v>73</v>
      </c>
      <c r="H824" s="3"/>
      <c r="I824" s="3"/>
      <c r="J824" s="3" t="s">
        <v>3667</v>
      </c>
      <c r="K824" s="3"/>
      <c r="L824" s="3" t="s">
        <v>3668</v>
      </c>
      <c r="M824" s="3" t="str">
        <f>HYPERLINK("https://ceds.ed.gov/cedselementdetails.aspx?termid=6135")</f>
        <v>https://ceds.ed.gov/cedselementdetails.aspx?termid=6135</v>
      </c>
      <c r="N824" s="3" t="str">
        <f>HYPERLINK("https://ceds.ed.gov/elementComment.aspx?elementName=Learning Resource Published Date &amp;elementID=6135", "Click here to submit comment")</f>
        <v>Click here to submit comment</v>
      </c>
    </row>
    <row r="825" spans="1:14" ht="90">
      <c r="A825" s="3" t="s">
        <v>3669</v>
      </c>
      <c r="B825" s="3" t="s">
        <v>3670</v>
      </c>
      <c r="C825" s="3" t="s">
        <v>13</v>
      </c>
      <c r="D825" s="3" t="s">
        <v>6226</v>
      </c>
      <c r="E825" s="3"/>
      <c r="F825" s="3"/>
      <c r="G825" s="3" t="s">
        <v>106</v>
      </c>
      <c r="H825" s="3"/>
      <c r="I825" s="3"/>
      <c r="J825" s="3" t="s">
        <v>3671</v>
      </c>
      <c r="K825" s="3"/>
      <c r="L825" s="3" t="s">
        <v>3672</v>
      </c>
      <c r="M825" s="3" t="str">
        <f>HYPERLINK("https://ceds.ed.gov/cedselementdetails.aspx?termid=5919")</f>
        <v>https://ceds.ed.gov/cedselementdetails.aspx?termid=5919</v>
      </c>
      <c r="N825" s="3" t="str">
        <f>HYPERLINK("https://ceds.ed.gov/elementComment.aspx?elementName=Learning Resource Publisher Name &amp;elementID=5919", "Click here to submit comment")</f>
        <v>Click here to submit comment</v>
      </c>
    </row>
    <row r="826" spans="1:14" ht="90">
      <c r="A826" s="3" t="s">
        <v>3673</v>
      </c>
      <c r="B826" s="3" t="s">
        <v>3674</v>
      </c>
      <c r="C826" s="3" t="s">
        <v>13</v>
      </c>
      <c r="D826" s="3" t="s">
        <v>6226</v>
      </c>
      <c r="E826" s="3"/>
      <c r="F826" s="3"/>
      <c r="G826" s="3" t="s">
        <v>100</v>
      </c>
      <c r="H826" s="3"/>
      <c r="I826" s="3" t="s">
        <v>3675</v>
      </c>
      <c r="J826" s="3" t="s">
        <v>3676</v>
      </c>
      <c r="K826" s="3"/>
      <c r="L826" s="3" t="s">
        <v>3677</v>
      </c>
      <c r="M826" s="3" t="str">
        <f>HYPERLINK("https://ceds.ed.gov/cedselementdetails.aspx?termid=5914")</f>
        <v>https://ceds.ed.gov/cedselementdetails.aspx?termid=5914</v>
      </c>
      <c r="N826" s="3" t="str">
        <f>HYPERLINK("https://ceds.ed.gov/elementComment.aspx?elementName=Learning Resource Subject Code &amp;elementID=5914", "Click here to submit comment")</f>
        <v>Click here to submit comment</v>
      </c>
    </row>
    <row r="827" spans="1:14" ht="90">
      <c r="A827" s="3" t="s">
        <v>3678</v>
      </c>
      <c r="B827" s="3" t="s">
        <v>3679</v>
      </c>
      <c r="C827" s="3" t="s">
        <v>13</v>
      </c>
      <c r="D827" s="3" t="s">
        <v>6226</v>
      </c>
      <c r="E827" s="3"/>
      <c r="F827" s="3"/>
      <c r="G827" s="3" t="s">
        <v>100</v>
      </c>
      <c r="H827" s="3"/>
      <c r="I827" s="3" t="s">
        <v>3680</v>
      </c>
      <c r="J827" s="3" t="s">
        <v>3681</v>
      </c>
      <c r="K827" s="3"/>
      <c r="L827" s="3" t="s">
        <v>3682</v>
      </c>
      <c r="M827" s="3" t="str">
        <f>HYPERLINK("https://ceds.ed.gov/cedselementdetails.aspx?termid=5915")</f>
        <v>https://ceds.ed.gov/cedselementdetails.aspx?termid=5915</v>
      </c>
      <c r="N827" s="3" t="str">
        <f>HYPERLINK("https://ceds.ed.gov/elementComment.aspx?elementName=Learning Resource Subject Code System &amp;elementID=5915", "Click here to submit comment")</f>
        <v>Click here to submit comment</v>
      </c>
    </row>
    <row r="828" spans="1:14" ht="90">
      <c r="A828" s="3" t="s">
        <v>3683</v>
      </c>
      <c r="B828" s="3" t="s">
        <v>3684</v>
      </c>
      <c r="C828" s="3" t="s">
        <v>13</v>
      </c>
      <c r="D828" s="3" t="s">
        <v>6226</v>
      </c>
      <c r="E828" s="3"/>
      <c r="F828" s="3"/>
      <c r="G828" s="3" t="s">
        <v>100</v>
      </c>
      <c r="H828" s="3"/>
      <c r="I828" s="3"/>
      <c r="J828" s="3" t="s">
        <v>3685</v>
      </c>
      <c r="K828" s="3"/>
      <c r="L828" s="3" t="s">
        <v>3686</v>
      </c>
      <c r="M828" s="3" t="str">
        <f>HYPERLINK("https://ceds.ed.gov/cedselementdetails.aspx?termid=5913")</f>
        <v>https://ceds.ed.gov/cedselementdetails.aspx?termid=5913</v>
      </c>
      <c r="N828" s="3" t="str">
        <f>HYPERLINK("https://ceds.ed.gov/elementComment.aspx?elementName=Learning Resource Subject Name &amp;elementID=5913", "Click here to submit comment")</f>
        <v>Click here to submit comment</v>
      </c>
    </row>
    <row r="829" spans="1:14" ht="90">
      <c r="A829" s="3" t="s">
        <v>3687</v>
      </c>
      <c r="B829" s="3" t="s">
        <v>3688</v>
      </c>
      <c r="C829" s="3" t="s">
        <v>13</v>
      </c>
      <c r="D829" s="3" t="s">
        <v>6226</v>
      </c>
      <c r="E829" s="3"/>
      <c r="F829" s="3"/>
      <c r="G829" s="3" t="s">
        <v>100</v>
      </c>
      <c r="H829" s="3"/>
      <c r="I829" s="3"/>
      <c r="J829" s="3" t="s">
        <v>3689</v>
      </c>
      <c r="K829" s="3"/>
      <c r="L829" s="3" t="s">
        <v>3690</v>
      </c>
      <c r="M829" s="3" t="str">
        <f>HYPERLINK("https://ceds.ed.gov/cedselementdetails.aspx?termid=5931")</f>
        <v>https://ceds.ed.gov/cedselementdetails.aspx?termid=5931</v>
      </c>
      <c r="N829" s="3" t="str">
        <f>HYPERLINK("https://ceds.ed.gov/elementComment.aspx?elementName=Learning Resource Text Complexity System &amp;elementID=5931", "Click here to submit comment")</f>
        <v>Click here to submit comment</v>
      </c>
    </row>
    <row r="830" spans="1:14" ht="90">
      <c r="A830" s="3" t="s">
        <v>3691</v>
      </c>
      <c r="B830" s="3" t="s">
        <v>3692</v>
      </c>
      <c r="C830" s="3" t="s">
        <v>13</v>
      </c>
      <c r="D830" s="3" t="s">
        <v>6226</v>
      </c>
      <c r="E830" s="3"/>
      <c r="F830" s="3"/>
      <c r="G830" s="3" t="s">
        <v>100</v>
      </c>
      <c r="H830" s="3"/>
      <c r="I830" s="3"/>
      <c r="J830" s="3" t="s">
        <v>3693</v>
      </c>
      <c r="K830" s="3"/>
      <c r="L830" s="3" t="s">
        <v>3694</v>
      </c>
      <c r="M830" s="3" t="str">
        <f>HYPERLINK("https://ceds.ed.gov/cedselementdetails.aspx?termid=5930")</f>
        <v>https://ceds.ed.gov/cedselementdetails.aspx?termid=5930</v>
      </c>
      <c r="N830" s="3" t="str">
        <f>HYPERLINK("https://ceds.ed.gov/elementComment.aspx?elementName=Learning Resource Text Complexity Value &amp;elementID=5930", "Click here to submit comment")</f>
        <v>Click here to submit comment</v>
      </c>
    </row>
    <row r="831" spans="1:14" ht="90">
      <c r="A831" s="3" t="s">
        <v>3695</v>
      </c>
      <c r="B831" s="3" t="s">
        <v>3696</v>
      </c>
      <c r="C831" s="3" t="s">
        <v>13</v>
      </c>
      <c r="D831" s="3" t="s">
        <v>6226</v>
      </c>
      <c r="E831" s="3"/>
      <c r="F831" s="3" t="s">
        <v>66</v>
      </c>
      <c r="G831" s="3" t="s">
        <v>3697</v>
      </c>
      <c r="H831" s="3" t="s">
        <v>3698</v>
      </c>
      <c r="I831" s="3"/>
      <c r="J831" s="3" t="s">
        <v>3699</v>
      </c>
      <c r="K831" s="3"/>
      <c r="L831" s="3" t="s">
        <v>3700</v>
      </c>
      <c r="M831" s="3" t="str">
        <f>HYPERLINK("https://ceds.ed.gov/cedselementdetails.aspx?termid=5925")</f>
        <v>https://ceds.ed.gov/cedselementdetails.aspx?termid=5925</v>
      </c>
      <c r="N831" s="3" t="str">
        <f>HYPERLINK("https://ceds.ed.gov/elementComment.aspx?elementName=Learning Resource Time Required &amp;elementID=5925", "Click here to submit comment")</f>
        <v>Click here to submit comment</v>
      </c>
    </row>
    <row r="832" spans="1:14" ht="90">
      <c r="A832" s="3" t="s">
        <v>3701</v>
      </c>
      <c r="B832" s="3" t="s">
        <v>3702</v>
      </c>
      <c r="C832" s="3" t="s">
        <v>13</v>
      </c>
      <c r="D832" s="3" t="s">
        <v>6226</v>
      </c>
      <c r="E832" s="3"/>
      <c r="F832" s="3"/>
      <c r="G832" s="3" t="s">
        <v>100</v>
      </c>
      <c r="H832" s="3"/>
      <c r="I832" s="3"/>
      <c r="J832" s="3" t="s">
        <v>3703</v>
      </c>
      <c r="K832" s="3"/>
      <c r="L832" s="3" t="s">
        <v>3704</v>
      </c>
      <c r="M832" s="3" t="str">
        <f>HYPERLINK("https://ceds.ed.gov/cedselementdetails.aspx?termid=5912")</f>
        <v>https://ceds.ed.gov/cedselementdetails.aspx?termid=5912</v>
      </c>
      <c r="N832" s="3" t="str">
        <f>HYPERLINK("https://ceds.ed.gov/elementComment.aspx?elementName=Learning Resource Title &amp;elementID=5912", "Click here to submit comment")</f>
        <v>Click here to submit comment</v>
      </c>
    </row>
    <row r="833" spans="1:14" ht="360">
      <c r="A833" s="3" t="s">
        <v>3705</v>
      </c>
      <c r="B833" s="3" t="s">
        <v>3706</v>
      </c>
      <c r="C833" s="4" t="s">
        <v>6567</v>
      </c>
      <c r="D833" s="3" t="s">
        <v>6226</v>
      </c>
      <c r="E833" s="3"/>
      <c r="F833" s="3" t="s">
        <v>66</v>
      </c>
      <c r="G833" s="3"/>
      <c r="H833" s="3" t="s">
        <v>3621</v>
      </c>
      <c r="I833" s="3" t="s">
        <v>3707</v>
      </c>
      <c r="J833" s="3" t="s">
        <v>3708</v>
      </c>
      <c r="K833" s="3"/>
      <c r="L833" s="3" t="s">
        <v>3709</v>
      </c>
      <c r="M833" s="3" t="str">
        <f>HYPERLINK("https://ceds.ed.gov/cedselementdetails.aspx?termid=5929")</f>
        <v>https://ceds.ed.gov/cedselementdetails.aspx?termid=5929</v>
      </c>
      <c r="N833" s="3" t="str">
        <f>HYPERLINK("https://ceds.ed.gov/elementComment.aspx?elementName=Learning Resource Type &amp;elementID=5929", "Click here to submit comment")</f>
        <v>Click here to submit comment</v>
      </c>
    </row>
    <row r="834" spans="1:14" ht="90">
      <c r="A834" s="3" t="s">
        <v>3710</v>
      </c>
      <c r="B834" s="3" t="s">
        <v>3711</v>
      </c>
      <c r="C834" s="3" t="s">
        <v>13</v>
      </c>
      <c r="D834" s="3" t="s">
        <v>6226</v>
      </c>
      <c r="E834" s="3"/>
      <c r="F834" s="3"/>
      <c r="G834" s="3" t="s">
        <v>308</v>
      </c>
      <c r="H834" s="3"/>
      <c r="I834" s="3"/>
      <c r="J834" s="3" t="s">
        <v>3712</v>
      </c>
      <c r="K834" s="3"/>
      <c r="L834" s="3" t="s">
        <v>3713</v>
      </c>
      <c r="M834" s="3" t="str">
        <f>HYPERLINK("https://ceds.ed.gov/cedselementdetails.aspx?termid=5927")</f>
        <v>https://ceds.ed.gov/cedselementdetails.aspx?termid=5927</v>
      </c>
      <c r="N834" s="3" t="str">
        <f>HYPERLINK("https://ceds.ed.gov/elementComment.aspx?elementName=Learning Resource Typical Age Range Maximum &amp;elementID=5927", "Click here to submit comment")</f>
        <v>Click here to submit comment</v>
      </c>
    </row>
    <row r="835" spans="1:14" ht="90">
      <c r="A835" s="3" t="s">
        <v>3714</v>
      </c>
      <c r="B835" s="3" t="s">
        <v>3715</v>
      </c>
      <c r="C835" s="3" t="s">
        <v>13</v>
      </c>
      <c r="D835" s="3" t="s">
        <v>6226</v>
      </c>
      <c r="E835" s="3"/>
      <c r="F835" s="3"/>
      <c r="G835" s="3" t="s">
        <v>308</v>
      </c>
      <c r="H835" s="3"/>
      <c r="I835" s="3"/>
      <c r="J835" s="3" t="s">
        <v>3716</v>
      </c>
      <c r="K835" s="3"/>
      <c r="L835" s="3" t="s">
        <v>3717</v>
      </c>
      <c r="M835" s="3" t="str">
        <f>HYPERLINK("https://ceds.ed.gov/cedselementdetails.aspx?termid=5926")</f>
        <v>https://ceds.ed.gov/cedselementdetails.aspx?termid=5926</v>
      </c>
      <c r="N835" s="3" t="str">
        <f>HYPERLINK("https://ceds.ed.gov/elementComment.aspx?elementName=Learning Resource Typical Age Range Minimum &amp;elementID=5926", "Click here to submit comment")</f>
        <v>Click here to submit comment</v>
      </c>
    </row>
    <row r="836" spans="1:14" ht="90">
      <c r="A836" s="3" t="s">
        <v>3718</v>
      </c>
      <c r="B836" s="3" t="s">
        <v>3719</v>
      </c>
      <c r="C836" s="3" t="s">
        <v>13</v>
      </c>
      <c r="D836" s="3" t="s">
        <v>6226</v>
      </c>
      <c r="E836" s="3"/>
      <c r="F836" s="3"/>
      <c r="G836" s="3" t="s">
        <v>93</v>
      </c>
      <c r="H836" s="3"/>
      <c r="I836" s="3"/>
      <c r="J836" s="3" t="s">
        <v>3720</v>
      </c>
      <c r="K836" s="3"/>
      <c r="L836" s="3" t="s">
        <v>3721</v>
      </c>
      <c r="M836" s="3" t="str">
        <f>HYPERLINK("https://ceds.ed.gov/cedselementdetails.aspx?termid=5911")</f>
        <v>https://ceds.ed.gov/cedselementdetails.aspx?termid=5911</v>
      </c>
      <c r="N836" s="3" t="str">
        <f>HYPERLINK("https://ceds.ed.gov/elementComment.aspx?elementName=Learning Resource URL &amp;elementID=5911", "Click here to submit comment")</f>
        <v>Click here to submit comment</v>
      </c>
    </row>
    <row r="837" spans="1:14" ht="90">
      <c r="A837" s="3" t="s">
        <v>3722</v>
      </c>
      <c r="B837" s="3" t="s">
        <v>3723</v>
      </c>
      <c r="C837" s="3" t="s">
        <v>13</v>
      </c>
      <c r="D837" s="3" t="s">
        <v>6226</v>
      </c>
      <c r="E837" s="3"/>
      <c r="F837" s="3"/>
      <c r="G837" s="3" t="s">
        <v>93</v>
      </c>
      <c r="H837" s="3"/>
      <c r="I837" s="3" t="s">
        <v>3724</v>
      </c>
      <c r="J837" s="3" t="s">
        <v>3725</v>
      </c>
      <c r="K837" s="3"/>
      <c r="L837" s="3" t="s">
        <v>3726</v>
      </c>
      <c r="M837" s="3" t="str">
        <f>HYPERLINK("https://ceds.ed.gov/cedselementdetails.aspx?termid=5922")</f>
        <v>https://ceds.ed.gov/cedselementdetails.aspx?termid=5922</v>
      </c>
      <c r="N837" s="3" t="str">
        <f>HYPERLINK("https://ceds.ed.gov/elementComment.aspx?elementName=Learning Resource Use Rights URL &amp;elementID=5922", "Click here to submit comment")</f>
        <v>Click here to submit comment</v>
      </c>
    </row>
    <row r="838" spans="1:14" ht="90">
      <c r="A838" s="3" t="s">
        <v>3727</v>
      </c>
      <c r="B838" s="3" t="s">
        <v>3728</v>
      </c>
      <c r="C838" s="3" t="s">
        <v>13</v>
      </c>
      <c r="D838" s="3" t="s">
        <v>6226</v>
      </c>
      <c r="E838" s="3"/>
      <c r="F838" s="3" t="s">
        <v>66</v>
      </c>
      <c r="G838" s="3" t="s">
        <v>100</v>
      </c>
      <c r="H838" s="3" t="s">
        <v>1820</v>
      </c>
      <c r="I838" s="3"/>
      <c r="J838" s="3" t="s">
        <v>3729</v>
      </c>
      <c r="K838" s="3"/>
      <c r="L838" s="3" t="s">
        <v>3730</v>
      </c>
      <c r="M838" s="3" t="str">
        <f>HYPERLINK("https://ceds.ed.gov/cedselementdetails.aspx?termid=6182")</f>
        <v>https://ceds.ed.gov/cedselementdetails.aspx?termid=6182</v>
      </c>
      <c r="N838" s="3" t="str">
        <f>HYPERLINK("https://ceds.ed.gov/elementComment.aspx?elementName=Learning Resource Version &amp;elementID=6182", "Click here to submit comment")</f>
        <v>Click here to submit comment</v>
      </c>
    </row>
    <row r="839" spans="1:14" ht="120">
      <c r="A839" s="3" t="s">
        <v>3731</v>
      </c>
      <c r="B839" s="3" t="s">
        <v>3732</v>
      </c>
      <c r="C839" s="3" t="s">
        <v>13</v>
      </c>
      <c r="D839" s="3" t="s">
        <v>6240</v>
      </c>
      <c r="E839" s="3"/>
      <c r="F839" s="3"/>
      <c r="G839" s="3" t="s">
        <v>1440</v>
      </c>
      <c r="H839" s="3"/>
      <c r="I839" s="3"/>
      <c r="J839" s="3" t="s">
        <v>3733</v>
      </c>
      <c r="K839" s="3"/>
      <c r="L839" s="3" t="s">
        <v>3734</v>
      </c>
      <c r="M839" s="3" t="str">
        <f>HYPERLINK("https://ceds.ed.gov/cedselementdetails.aspx?termid=5673")</f>
        <v>https://ceds.ed.gov/cedselementdetails.aspx?termid=5673</v>
      </c>
      <c r="N839" s="3" t="str">
        <f>HYPERLINK("https://ceds.ed.gov/elementComment.aspx?elementName=Learning Standard Document Creator &amp;elementID=5673", "Click here to submit comment")</f>
        <v>Click here to submit comment</v>
      </c>
    </row>
    <row r="840" spans="1:14" ht="120">
      <c r="A840" s="3" t="s">
        <v>3735</v>
      </c>
      <c r="B840" s="3" t="s">
        <v>3736</v>
      </c>
      <c r="C840" s="3" t="s">
        <v>13</v>
      </c>
      <c r="D840" s="3" t="s">
        <v>6240</v>
      </c>
      <c r="E840" s="3"/>
      <c r="F840" s="3"/>
      <c r="G840" s="3" t="s">
        <v>93</v>
      </c>
      <c r="H840" s="3"/>
      <c r="I840" s="3"/>
      <c r="J840" s="3" t="s">
        <v>3737</v>
      </c>
      <c r="K840" s="3"/>
      <c r="L840" s="3" t="s">
        <v>3738</v>
      </c>
      <c r="M840" s="3" t="str">
        <f>HYPERLINK("https://ceds.ed.gov/cedselementdetails.aspx?termid=5674")</f>
        <v>https://ceds.ed.gov/cedselementdetails.aspx?termid=5674</v>
      </c>
      <c r="N840" s="3" t="str">
        <f>HYPERLINK("https://ceds.ed.gov/elementComment.aspx?elementName=Learning Standard Document Description &amp;elementID=5674", "Click here to submit comment")</f>
        <v>Click here to submit comment</v>
      </c>
    </row>
    <row r="841" spans="1:14" ht="120">
      <c r="A841" s="3" t="s">
        <v>3739</v>
      </c>
      <c r="B841" s="3" t="s">
        <v>3740</v>
      </c>
      <c r="C841" s="3" t="s">
        <v>13</v>
      </c>
      <c r="D841" s="3" t="s">
        <v>6240</v>
      </c>
      <c r="E841" s="3" t="s">
        <v>493</v>
      </c>
      <c r="F841" s="3"/>
      <c r="G841" s="3" t="s">
        <v>93</v>
      </c>
      <c r="H841" s="3"/>
      <c r="I841" s="3"/>
      <c r="J841" s="3" t="s">
        <v>3741</v>
      </c>
      <c r="K841" s="3"/>
      <c r="L841" s="3" t="s">
        <v>3742</v>
      </c>
      <c r="M841" s="3" t="str">
        <f>HYPERLINK("https://ceds.ed.gov/cedselementdetails.aspx?termid=5670")</f>
        <v>https://ceds.ed.gov/cedselementdetails.aspx?termid=5670</v>
      </c>
      <c r="N841" s="3" t="str">
        <f>HYPERLINK("https://ceds.ed.gov/elementComment.aspx?elementName=Learning Standard Document Identifier URI &amp;elementID=5670", "Click here to submit comment")</f>
        <v>Click here to submit comment</v>
      </c>
    </row>
    <row r="842" spans="1:14" ht="120">
      <c r="A842" s="3" t="s">
        <v>3743</v>
      </c>
      <c r="B842" s="3" t="s">
        <v>3744</v>
      </c>
      <c r="C842" s="3" t="s">
        <v>13</v>
      </c>
      <c r="D842" s="3" t="s">
        <v>6240</v>
      </c>
      <c r="E842" s="3"/>
      <c r="F842" s="3"/>
      <c r="G842" s="3" t="s">
        <v>1440</v>
      </c>
      <c r="H842" s="3"/>
      <c r="I842" s="3"/>
      <c r="J842" s="3" t="s">
        <v>3745</v>
      </c>
      <c r="K842" s="3"/>
      <c r="L842" s="3" t="s">
        <v>3746</v>
      </c>
      <c r="M842" s="3" t="str">
        <f>HYPERLINK("https://ceds.ed.gov/cedselementdetails.aspx?termid=5676")</f>
        <v>https://ceds.ed.gov/cedselementdetails.aspx?termid=5676</v>
      </c>
      <c r="N842" s="3" t="str">
        <f>HYPERLINK("https://ceds.ed.gov/elementComment.aspx?elementName=Learning Standard Document Jurisdiction &amp;elementID=5676", "Click here to submit comment")</f>
        <v>Click here to submit comment</v>
      </c>
    </row>
    <row r="843" spans="1:14" ht="75">
      <c r="A843" s="3" t="s">
        <v>3747</v>
      </c>
      <c r="B843" s="3" t="s">
        <v>3748</v>
      </c>
      <c r="C843" s="5" t="s">
        <v>939</v>
      </c>
      <c r="D843" s="3" t="s">
        <v>6241</v>
      </c>
      <c r="E843" s="3"/>
      <c r="F843" s="3"/>
      <c r="G843" s="3"/>
      <c r="H843" s="3"/>
      <c r="I843" s="3" t="s">
        <v>3478</v>
      </c>
      <c r="J843" s="3" t="s">
        <v>3749</v>
      </c>
      <c r="K843" s="3"/>
      <c r="L843" s="3" t="s">
        <v>3750</v>
      </c>
      <c r="M843" s="3" t="str">
        <f>HYPERLINK("https://ceds.ed.gov/cedselementdetails.aspx?termid=5880")</f>
        <v>https://ceds.ed.gov/cedselementdetails.aspx?termid=5880</v>
      </c>
      <c r="N843" s="3" t="str">
        <f>HYPERLINK("https://ceds.ed.gov/elementComment.aspx?elementName=Learning Standard Document Language &amp;elementID=5880", "Click here to submit comment")</f>
        <v>Click here to submit comment</v>
      </c>
    </row>
    <row r="844" spans="1:14" ht="75">
      <c r="A844" s="3" t="s">
        <v>3751</v>
      </c>
      <c r="B844" s="3" t="s">
        <v>3752</v>
      </c>
      <c r="C844" s="3" t="s">
        <v>13</v>
      </c>
      <c r="D844" s="3" t="s">
        <v>6241</v>
      </c>
      <c r="E844" s="3"/>
      <c r="F844" s="3"/>
      <c r="G844" s="3" t="s">
        <v>93</v>
      </c>
      <c r="H844" s="3"/>
      <c r="I844" s="3"/>
      <c r="J844" s="3" t="s">
        <v>3753</v>
      </c>
      <c r="K844" s="3"/>
      <c r="L844" s="3" t="s">
        <v>3754</v>
      </c>
      <c r="M844" s="3" t="str">
        <f>HYPERLINK("https://ceds.ed.gov/cedselementdetails.aspx?termid=5882")</f>
        <v>https://ceds.ed.gov/cedselementdetails.aspx?termid=5882</v>
      </c>
      <c r="N844" s="3" t="str">
        <f>HYPERLINK("https://ceds.ed.gov/elementComment.aspx?elementName=Learning Standard Document License &amp;elementID=5882", "Click here to submit comment")</f>
        <v>Click here to submit comment</v>
      </c>
    </row>
    <row r="845" spans="1:14" ht="120">
      <c r="A845" s="3" t="s">
        <v>3755</v>
      </c>
      <c r="B845" s="3" t="s">
        <v>3756</v>
      </c>
      <c r="C845" s="3" t="s">
        <v>6242</v>
      </c>
      <c r="D845" s="3" t="s">
        <v>6240</v>
      </c>
      <c r="E845" s="3"/>
      <c r="F845" s="3"/>
      <c r="G845" s="3"/>
      <c r="H845" s="3"/>
      <c r="I845" s="3"/>
      <c r="J845" s="3" t="s">
        <v>3757</v>
      </c>
      <c r="K845" s="3"/>
      <c r="L845" s="3" t="s">
        <v>3758</v>
      </c>
      <c r="M845" s="3" t="str">
        <f>HYPERLINK("https://ceds.ed.gov/cedselementdetails.aspx?termid=5675")</f>
        <v>https://ceds.ed.gov/cedselementdetails.aspx?termid=5675</v>
      </c>
      <c r="N845" s="3" t="str">
        <f>HYPERLINK("https://ceds.ed.gov/elementComment.aspx?elementName=Learning Standard Document Publication Status &amp;elementID=5675", "Click here to submit comment")</f>
        <v>Click here to submit comment</v>
      </c>
    </row>
    <row r="846" spans="1:14" ht="75">
      <c r="A846" s="3" t="s">
        <v>3759</v>
      </c>
      <c r="B846" s="3" t="s">
        <v>3760</v>
      </c>
      <c r="C846" s="3" t="s">
        <v>13</v>
      </c>
      <c r="D846" s="3" t="s">
        <v>6241</v>
      </c>
      <c r="E846" s="3"/>
      <c r="F846" s="3"/>
      <c r="G846" s="3" t="s">
        <v>100</v>
      </c>
      <c r="H846" s="3"/>
      <c r="I846" s="3"/>
      <c r="J846" s="3" t="s">
        <v>3761</v>
      </c>
      <c r="K846" s="3"/>
      <c r="L846" s="3" t="s">
        <v>3762</v>
      </c>
      <c r="M846" s="3" t="str">
        <f>HYPERLINK("https://ceds.ed.gov/cedselementdetails.aspx?termid=5884")</f>
        <v>https://ceds.ed.gov/cedselementdetails.aspx?termid=5884</v>
      </c>
      <c r="N846" s="3" t="str">
        <f>HYPERLINK("https://ceds.ed.gov/elementComment.aspx?elementName=Learning Standard Document Publisher &amp;elementID=5884", "Click here to submit comment")</f>
        <v>Click here to submit comment</v>
      </c>
    </row>
    <row r="847" spans="1:14" ht="75">
      <c r="A847" s="3" t="s">
        <v>3763</v>
      </c>
      <c r="B847" s="3" t="s">
        <v>3764</v>
      </c>
      <c r="C847" s="3" t="s">
        <v>13</v>
      </c>
      <c r="D847" s="3" t="s">
        <v>6241</v>
      </c>
      <c r="E847" s="3"/>
      <c r="F847" s="3"/>
      <c r="G847" s="3" t="s">
        <v>93</v>
      </c>
      <c r="H847" s="3"/>
      <c r="I847" s="3"/>
      <c r="J847" s="3" t="s">
        <v>3765</v>
      </c>
      <c r="K847" s="3"/>
      <c r="L847" s="3" t="s">
        <v>3766</v>
      </c>
      <c r="M847" s="3" t="str">
        <f>HYPERLINK("https://ceds.ed.gov/cedselementdetails.aspx?termid=5885")</f>
        <v>https://ceds.ed.gov/cedselementdetails.aspx?termid=5885</v>
      </c>
      <c r="N847" s="3" t="str">
        <f>HYPERLINK("https://ceds.ed.gov/elementComment.aspx?elementName=Learning Standard Document Rights &amp;elementID=5885", "Click here to submit comment")</f>
        <v>Click here to submit comment</v>
      </c>
    </row>
    <row r="848" spans="1:14" ht="75">
      <c r="A848" s="3" t="s">
        <v>3767</v>
      </c>
      <c r="B848" s="3" t="s">
        <v>3768</v>
      </c>
      <c r="C848" s="3" t="s">
        <v>13</v>
      </c>
      <c r="D848" s="3" t="s">
        <v>6241</v>
      </c>
      <c r="E848" s="3"/>
      <c r="F848" s="3"/>
      <c r="G848" s="3" t="s">
        <v>100</v>
      </c>
      <c r="H848" s="3"/>
      <c r="I848" s="3"/>
      <c r="J848" s="3" t="s">
        <v>3769</v>
      </c>
      <c r="K848" s="3"/>
      <c r="L848" s="3" t="s">
        <v>3770</v>
      </c>
      <c r="M848" s="3" t="str">
        <f>HYPERLINK("https://ceds.ed.gov/cedselementdetails.aspx?termid=5886")</f>
        <v>https://ceds.ed.gov/cedselementdetails.aspx?termid=5886</v>
      </c>
      <c r="N848" s="3" t="str">
        <f>HYPERLINK("https://ceds.ed.gov/elementComment.aspx?elementName=Learning Standard Document Rights Holder &amp;elementID=5886", "Click here to submit comment")</f>
        <v>Click here to submit comment</v>
      </c>
    </row>
    <row r="849" spans="1:14" ht="120">
      <c r="A849" s="3" t="s">
        <v>3771</v>
      </c>
      <c r="B849" s="3" t="s">
        <v>3772</v>
      </c>
      <c r="C849" s="3" t="s">
        <v>13</v>
      </c>
      <c r="D849" s="3" t="s">
        <v>6240</v>
      </c>
      <c r="E849" s="3" t="s">
        <v>493</v>
      </c>
      <c r="F849" s="3"/>
      <c r="G849" s="3" t="s">
        <v>100</v>
      </c>
      <c r="H849" s="3"/>
      <c r="I849" s="3"/>
      <c r="J849" s="3" t="s">
        <v>3773</v>
      </c>
      <c r="K849" s="3"/>
      <c r="L849" s="3" t="s">
        <v>3774</v>
      </c>
      <c r="M849" s="3" t="str">
        <f>HYPERLINK("https://ceds.ed.gov/cedselementdetails.aspx?termid=5679")</f>
        <v>https://ceds.ed.gov/cedselementdetails.aspx?termid=5679</v>
      </c>
      <c r="N849" s="3" t="str">
        <f>HYPERLINK("https://ceds.ed.gov/elementComment.aspx?elementName=Learning Standard Document Subject &amp;elementID=5679", "Click here to submit comment")</f>
        <v>Click here to submit comment</v>
      </c>
    </row>
    <row r="850" spans="1:14" ht="120">
      <c r="A850" s="3" t="s">
        <v>3775</v>
      </c>
      <c r="B850" s="3" t="s">
        <v>3776</v>
      </c>
      <c r="C850" s="3" t="s">
        <v>13</v>
      </c>
      <c r="D850" s="3" t="s">
        <v>6240</v>
      </c>
      <c r="E850" s="3" t="s">
        <v>493</v>
      </c>
      <c r="F850" s="3"/>
      <c r="G850" s="3" t="s">
        <v>1440</v>
      </c>
      <c r="H850" s="3"/>
      <c r="I850" s="3"/>
      <c r="J850" s="3" t="s">
        <v>3777</v>
      </c>
      <c r="K850" s="3"/>
      <c r="L850" s="3" t="s">
        <v>3778</v>
      </c>
      <c r="M850" s="3" t="str">
        <f>HYPERLINK("https://ceds.ed.gov/cedselementdetails.aspx?termid=5671")</f>
        <v>https://ceds.ed.gov/cedselementdetails.aspx?termid=5671</v>
      </c>
      <c r="N850" s="3" t="str">
        <f>HYPERLINK("https://ceds.ed.gov/elementComment.aspx?elementName=Learning Standard Document Title &amp;elementID=5671", "Click here to submit comment")</f>
        <v>Click here to submit comment</v>
      </c>
    </row>
    <row r="851" spans="1:14" ht="120">
      <c r="A851" s="3" t="s">
        <v>3779</v>
      </c>
      <c r="B851" s="3" t="s">
        <v>3780</v>
      </c>
      <c r="C851" s="3" t="s">
        <v>13</v>
      </c>
      <c r="D851" s="3" t="s">
        <v>6240</v>
      </c>
      <c r="E851" s="3"/>
      <c r="F851" s="3"/>
      <c r="G851" s="3" t="s">
        <v>73</v>
      </c>
      <c r="H851" s="3"/>
      <c r="I851" s="3"/>
      <c r="J851" s="3" t="s">
        <v>3781</v>
      </c>
      <c r="K851" s="3"/>
      <c r="L851" s="3" t="s">
        <v>3782</v>
      </c>
      <c r="M851" s="3" t="str">
        <f>HYPERLINK("https://ceds.ed.gov/cedselementdetails.aspx?termid=5678")</f>
        <v>https://ceds.ed.gov/cedselementdetails.aspx?termid=5678</v>
      </c>
      <c r="N851" s="3" t="str">
        <f>HYPERLINK("https://ceds.ed.gov/elementComment.aspx?elementName=Learning Standard Document Valid End Date &amp;elementID=5678", "Click here to submit comment")</f>
        <v>Click here to submit comment</v>
      </c>
    </row>
    <row r="852" spans="1:14" ht="120">
      <c r="A852" s="3" t="s">
        <v>3783</v>
      </c>
      <c r="B852" s="3" t="s">
        <v>3784</v>
      </c>
      <c r="C852" s="3" t="s">
        <v>13</v>
      </c>
      <c r="D852" s="3" t="s">
        <v>6240</v>
      </c>
      <c r="E852" s="3"/>
      <c r="F852" s="3"/>
      <c r="G852" s="3" t="s">
        <v>73</v>
      </c>
      <c r="H852" s="3"/>
      <c r="I852" s="3"/>
      <c r="J852" s="3" t="s">
        <v>3785</v>
      </c>
      <c r="K852" s="3"/>
      <c r="L852" s="3" t="s">
        <v>3786</v>
      </c>
      <c r="M852" s="3" t="str">
        <f>HYPERLINK("https://ceds.ed.gov/cedselementdetails.aspx?termid=5677")</f>
        <v>https://ceds.ed.gov/cedselementdetails.aspx?termid=5677</v>
      </c>
      <c r="N852" s="3" t="str">
        <f>HYPERLINK("https://ceds.ed.gov/elementComment.aspx?elementName=Learning Standard Document Valid Start Date &amp;elementID=5677", "Click here to submit comment")</f>
        <v>Click here to submit comment</v>
      </c>
    </row>
    <row r="853" spans="1:14" ht="120">
      <c r="A853" s="3" t="s">
        <v>3787</v>
      </c>
      <c r="B853" s="3" t="s">
        <v>3788</v>
      </c>
      <c r="C853" s="3" t="s">
        <v>13</v>
      </c>
      <c r="D853" s="3" t="s">
        <v>6240</v>
      </c>
      <c r="E853" s="3" t="s">
        <v>493</v>
      </c>
      <c r="F853" s="3"/>
      <c r="G853" s="3" t="s">
        <v>100</v>
      </c>
      <c r="H853" s="3"/>
      <c r="I853" s="3"/>
      <c r="J853" s="3" t="s">
        <v>3789</v>
      </c>
      <c r="K853" s="3"/>
      <c r="L853" s="3" t="s">
        <v>3790</v>
      </c>
      <c r="M853" s="3" t="str">
        <f>HYPERLINK("https://ceds.ed.gov/cedselementdetails.aspx?termid=5672")</f>
        <v>https://ceds.ed.gov/cedselementdetails.aspx?termid=5672</v>
      </c>
      <c r="N853" s="3" t="str">
        <f>HYPERLINK("https://ceds.ed.gov/elementComment.aspx?elementName=Learning Standard Document Version &amp;elementID=5672", "Click here to submit comment")</f>
        <v>Click here to submit comment</v>
      </c>
    </row>
    <row r="854" spans="1:14" ht="45">
      <c r="A854" s="3" t="s">
        <v>3791</v>
      </c>
      <c r="B854" s="3" t="s">
        <v>3792</v>
      </c>
      <c r="C854" s="3" t="s">
        <v>13</v>
      </c>
      <c r="D854" s="3" t="s">
        <v>3793</v>
      </c>
      <c r="E854" s="3"/>
      <c r="F854" s="3" t="s">
        <v>54</v>
      </c>
      <c r="G854" s="3" t="s">
        <v>93</v>
      </c>
      <c r="H854" s="3"/>
      <c r="I854" s="3"/>
      <c r="J854" s="3" t="s">
        <v>3794</v>
      </c>
      <c r="K854" s="3"/>
      <c r="L854" s="3" t="s">
        <v>3795</v>
      </c>
      <c r="M854" s="3" t="str">
        <f>HYPERLINK("https://ceds.ed.gov/cedselementdetails.aspx?termid=6371")</f>
        <v>https://ceds.ed.gov/cedselementdetails.aspx?termid=6371</v>
      </c>
      <c r="N854" s="3" t="str">
        <f>HYPERLINK("https://ceds.ed.gov/elementComment.aspx?elementName=Learning Standard Item Association Connection Citation &amp;elementID=6371", "Click here to submit comment")</f>
        <v>Click here to submit comment</v>
      </c>
    </row>
    <row r="855" spans="1:14" ht="60">
      <c r="A855" s="3" t="s">
        <v>3796</v>
      </c>
      <c r="B855" s="3" t="s">
        <v>3797</v>
      </c>
      <c r="C855" s="3" t="s">
        <v>13</v>
      </c>
      <c r="D855" s="3" t="s">
        <v>3793</v>
      </c>
      <c r="E855" s="3"/>
      <c r="F855" s="3" t="s">
        <v>54</v>
      </c>
      <c r="G855" s="3" t="s">
        <v>100</v>
      </c>
      <c r="H855" s="3"/>
      <c r="I855" s="3"/>
      <c r="J855" s="3" t="s">
        <v>3798</v>
      </c>
      <c r="K855" s="3"/>
      <c r="L855" s="3" t="s">
        <v>3799</v>
      </c>
      <c r="M855" s="3" t="str">
        <f>HYPERLINK("https://ceds.ed.gov/cedselementdetails.aspx?termid=6372")</f>
        <v>https://ceds.ed.gov/cedselementdetails.aspx?termid=6372</v>
      </c>
      <c r="N855" s="3" t="str">
        <f>HYPERLINK("https://ceds.ed.gov/elementComment.aspx?elementName=Learning Standard Item Association Destination Node Name &amp;elementID=6372", "Click here to submit comment")</f>
        <v>Click here to submit comment</v>
      </c>
    </row>
    <row r="856" spans="1:14" ht="45">
      <c r="A856" s="3" t="s">
        <v>3800</v>
      </c>
      <c r="B856" s="3" t="s">
        <v>3801</v>
      </c>
      <c r="C856" s="3" t="s">
        <v>13</v>
      </c>
      <c r="D856" s="3" t="s">
        <v>3793</v>
      </c>
      <c r="E856" s="3"/>
      <c r="F856" s="3" t="s">
        <v>54</v>
      </c>
      <c r="G856" s="3" t="s">
        <v>93</v>
      </c>
      <c r="H856" s="3"/>
      <c r="I856" s="3"/>
      <c r="J856" s="3" t="s">
        <v>3802</v>
      </c>
      <c r="K856" s="3"/>
      <c r="L856" s="3" t="s">
        <v>3803</v>
      </c>
      <c r="M856" s="3" t="str">
        <f>HYPERLINK("https://ceds.ed.gov/cedselementdetails.aspx?termid=6373")</f>
        <v>https://ceds.ed.gov/cedselementdetails.aspx?termid=6373</v>
      </c>
      <c r="N856" s="3" t="str">
        <f>HYPERLINK("https://ceds.ed.gov/elementComment.aspx?elementName=Learning Standard Item Association Destination Node URI &amp;elementID=6373", "Click here to submit comment")</f>
        <v>Click here to submit comment</v>
      </c>
    </row>
    <row r="857" spans="1:14" ht="150">
      <c r="A857" s="3" t="s">
        <v>3804</v>
      </c>
      <c r="B857" s="3" t="s">
        <v>3805</v>
      </c>
      <c r="C857" s="3" t="s">
        <v>13</v>
      </c>
      <c r="D857" s="3" t="s">
        <v>6243</v>
      </c>
      <c r="E857" s="3"/>
      <c r="F857" s="3" t="s">
        <v>3</v>
      </c>
      <c r="G857" s="3" t="s">
        <v>93</v>
      </c>
      <c r="H857" s="3"/>
      <c r="I857" s="3"/>
      <c r="J857" s="3" t="s">
        <v>3806</v>
      </c>
      <c r="K857" s="3"/>
      <c r="L857" s="3" t="s">
        <v>3807</v>
      </c>
      <c r="M857" s="3" t="str">
        <f>HYPERLINK("https://ceds.ed.gov/cedselementdetails.aspx?termid=5871")</f>
        <v>https://ceds.ed.gov/cedselementdetails.aspx?termid=5871</v>
      </c>
      <c r="N857" s="3" t="str">
        <f>HYPERLINK("https://ceds.ed.gov/elementComment.aspx?elementName=Learning Standard Item Association Identifier &amp;elementID=5871", "Click here to submit comment")</f>
        <v>Click here to submit comment</v>
      </c>
    </row>
    <row r="858" spans="1:14" ht="45">
      <c r="A858" s="3" t="s">
        <v>3808</v>
      </c>
      <c r="B858" s="3" t="s">
        <v>3809</v>
      </c>
      <c r="C858" s="3" t="s">
        <v>13</v>
      </c>
      <c r="D858" s="3" t="s">
        <v>3793</v>
      </c>
      <c r="E858" s="3"/>
      <c r="F858" s="3" t="s">
        <v>54</v>
      </c>
      <c r="G858" s="3" t="s">
        <v>100</v>
      </c>
      <c r="H858" s="3"/>
      <c r="I858" s="3"/>
      <c r="J858" s="3" t="s">
        <v>3810</v>
      </c>
      <c r="K858" s="3"/>
      <c r="L858" s="3" t="s">
        <v>3811</v>
      </c>
      <c r="M858" s="3" t="str">
        <f>HYPERLINK("https://ceds.ed.gov/cedselementdetails.aspx?termid=6374")</f>
        <v>https://ceds.ed.gov/cedselementdetails.aspx?termid=6374</v>
      </c>
      <c r="N858" s="3" t="str">
        <f>HYPERLINK("https://ceds.ed.gov/elementComment.aspx?elementName=Learning Standard Item Association Origin Node Name &amp;elementID=6374", "Click here to submit comment")</f>
        <v>Click here to submit comment</v>
      </c>
    </row>
    <row r="859" spans="1:14" ht="45">
      <c r="A859" s="3" t="s">
        <v>3812</v>
      </c>
      <c r="B859" s="3" t="s">
        <v>3813</v>
      </c>
      <c r="C859" s="3" t="s">
        <v>13</v>
      </c>
      <c r="D859" s="3" t="s">
        <v>3793</v>
      </c>
      <c r="E859" s="3"/>
      <c r="F859" s="3" t="s">
        <v>54</v>
      </c>
      <c r="G859" s="3" t="s">
        <v>93</v>
      </c>
      <c r="H859" s="3"/>
      <c r="I859" s="3"/>
      <c r="J859" s="3" t="s">
        <v>3814</v>
      </c>
      <c r="K859" s="3"/>
      <c r="L859" s="3" t="s">
        <v>3815</v>
      </c>
      <c r="M859" s="3" t="str">
        <f>HYPERLINK("https://ceds.ed.gov/cedselementdetails.aspx?termid=6375")</f>
        <v>https://ceds.ed.gov/cedselementdetails.aspx?termid=6375</v>
      </c>
      <c r="N859" s="3" t="str">
        <f>HYPERLINK("https://ceds.ed.gov/elementComment.aspx?elementName=Learning Standard Item Association Origin Node URI &amp;elementID=6375", "Click here to submit comment")</f>
        <v>Click here to submit comment</v>
      </c>
    </row>
    <row r="860" spans="1:14" ht="225" customHeight="1">
      <c r="A860" s="16" t="s">
        <v>3816</v>
      </c>
      <c r="B860" s="16" t="s">
        <v>3817</v>
      </c>
      <c r="C860" s="17" t="s">
        <v>6568</v>
      </c>
      <c r="D860" s="16" t="s">
        <v>6244</v>
      </c>
      <c r="E860" s="16"/>
      <c r="F860" s="16" t="s">
        <v>66</v>
      </c>
      <c r="G860" s="16"/>
      <c r="H860" s="16" t="s">
        <v>848</v>
      </c>
      <c r="I860" s="3" t="s">
        <v>3818</v>
      </c>
      <c r="J860" s="16" t="s">
        <v>3820</v>
      </c>
      <c r="K860" s="16"/>
      <c r="L860" s="16" t="s">
        <v>3821</v>
      </c>
      <c r="M860" s="16" t="str">
        <f>HYPERLINK("https://ceds.ed.gov/cedselementdetails.aspx?termid=5869")</f>
        <v>https://ceds.ed.gov/cedselementdetails.aspx?termid=5869</v>
      </c>
      <c r="N860" s="16" t="str">
        <f>HYPERLINK("https://ceds.ed.gov/elementComment.aspx?elementName=Learning Standard Item Association Type &amp;elementID=5869", "Click here to submit comment")</f>
        <v>Click here to submit comment</v>
      </c>
    </row>
    <row r="861" spans="1:14" ht="135">
      <c r="A861" s="16"/>
      <c r="B861" s="16"/>
      <c r="C861" s="16"/>
      <c r="D861" s="16"/>
      <c r="E861" s="16"/>
      <c r="F861" s="16"/>
      <c r="G861" s="16"/>
      <c r="H861" s="16"/>
      <c r="I861" s="3" t="s">
        <v>3819</v>
      </c>
      <c r="J861" s="16"/>
      <c r="K861" s="16"/>
      <c r="L861" s="16"/>
      <c r="M861" s="16"/>
      <c r="N861" s="16"/>
    </row>
    <row r="862" spans="1:14" ht="135">
      <c r="A862" s="3" t="s">
        <v>3822</v>
      </c>
      <c r="B862" s="3" t="s">
        <v>3823</v>
      </c>
      <c r="C862" s="3" t="s">
        <v>13</v>
      </c>
      <c r="D862" s="3" t="s">
        <v>3793</v>
      </c>
      <c r="E862" s="3"/>
      <c r="F862" s="3" t="s">
        <v>54</v>
      </c>
      <c r="G862" s="3" t="s">
        <v>3824</v>
      </c>
      <c r="H862" s="3"/>
      <c r="I862" s="3" t="s">
        <v>3825</v>
      </c>
      <c r="J862" s="3" t="s">
        <v>3826</v>
      </c>
      <c r="K862" s="3"/>
      <c r="L862" s="3" t="s">
        <v>3827</v>
      </c>
      <c r="M862" s="3" t="str">
        <f>HYPERLINK("https://ceds.ed.gov/cedselementdetails.aspx?termid=6376")</f>
        <v>https://ceds.ed.gov/cedselementdetails.aspx?termid=6376</v>
      </c>
      <c r="N862" s="3" t="str">
        <f>HYPERLINK("https://ceds.ed.gov/elementComment.aspx?elementName=Learning Standard Item Association Weight &amp;elementID=6376", "Click here to submit comment")</f>
        <v>Click here to submit comment</v>
      </c>
    </row>
    <row r="863" spans="1:14" ht="75">
      <c r="A863" s="3" t="s">
        <v>3828</v>
      </c>
      <c r="B863" s="3" t="s">
        <v>3829</v>
      </c>
      <c r="C863" s="3" t="s">
        <v>6245</v>
      </c>
      <c r="D863" s="3" t="s">
        <v>6246</v>
      </c>
      <c r="E863" s="3"/>
      <c r="F863" s="3"/>
      <c r="G863" s="3"/>
      <c r="H863" s="3"/>
      <c r="I863" s="3"/>
      <c r="J863" s="3" t="s">
        <v>3830</v>
      </c>
      <c r="K863" s="3"/>
      <c r="L863" s="3" t="s">
        <v>3831</v>
      </c>
      <c r="M863" s="3" t="str">
        <f>HYPERLINK("https://ceds.ed.gov/cedselementdetails.aspx?termid=5875")</f>
        <v>https://ceds.ed.gov/cedselementdetails.aspx?termid=5875</v>
      </c>
      <c r="N863" s="3" t="str">
        <f>HYPERLINK("https://ceds.ed.gov/elementComment.aspx?elementName=Learning Standard Item Blooms Taxonomy Domain &amp;elementID=5875", "Click here to submit comment")</f>
        <v>Click here to submit comment</v>
      </c>
    </row>
    <row r="864" spans="1:14" ht="120">
      <c r="A864" s="3" t="s">
        <v>3832</v>
      </c>
      <c r="B864" s="3" t="s">
        <v>3833</v>
      </c>
      <c r="C864" s="3" t="s">
        <v>13</v>
      </c>
      <c r="D864" s="3" t="s">
        <v>6247</v>
      </c>
      <c r="E864" s="3"/>
      <c r="F864" s="3"/>
      <c r="G864" s="3" t="s">
        <v>100</v>
      </c>
      <c r="H864" s="3"/>
      <c r="I864" s="3" t="s">
        <v>3834</v>
      </c>
      <c r="J864" s="3" t="s">
        <v>3835</v>
      </c>
      <c r="K864" s="3" t="s">
        <v>3836</v>
      </c>
      <c r="L864" s="3" t="s">
        <v>3837</v>
      </c>
      <c r="M864" s="3" t="str">
        <f>HYPERLINK("https://ceds.ed.gov/cedselementdetails.aspx?termid=5669")</f>
        <v>https://ceds.ed.gov/cedselementdetails.aspx?termid=5669</v>
      </c>
      <c r="N864" s="3" t="str">
        <f>HYPERLINK("https://ceds.ed.gov/elementComment.aspx?elementName=Learning Standard Item Code &amp;elementID=5669", "Click here to submit comment")</f>
        <v>Click here to submit comment</v>
      </c>
    </row>
    <row r="865" spans="1:14" ht="75">
      <c r="A865" s="3" t="s">
        <v>3838</v>
      </c>
      <c r="B865" s="3" t="s">
        <v>3839</v>
      </c>
      <c r="C865" s="3" t="s">
        <v>13</v>
      </c>
      <c r="D865" s="3" t="s">
        <v>6246</v>
      </c>
      <c r="E865" s="3"/>
      <c r="F865" s="3"/>
      <c r="G865" s="3" t="s">
        <v>93</v>
      </c>
      <c r="H865" s="3"/>
      <c r="I865" s="3"/>
      <c r="J865" s="3" t="s">
        <v>3840</v>
      </c>
      <c r="K865" s="3"/>
      <c r="L865" s="3" t="s">
        <v>3841</v>
      </c>
      <c r="M865" s="3" t="str">
        <f>HYPERLINK("https://ceds.ed.gov/cedselementdetails.aspx?termid=5887")</f>
        <v>https://ceds.ed.gov/cedselementdetails.aspx?termid=5887</v>
      </c>
      <c r="N865" s="3" t="str">
        <f>HYPERLINK("https://ceds.ed.gov/elementComment.aspx?elementName=Learning Standard Item Concept Keyword &amp;elementID=5887", "Click here to submit comment")</f>
        <v>Click here to submit comment</v>
      </c>
    </row>
    <row r="866" spans="1:14" ht="75">
      <c r="A866" s="3" t="s">
        <v>3842</v>
      </c>
      <c r="B866" s="3" t="s">
        <v>3843</v>
      </c>
      <c r="C866" s="3" t="s">
        <v>13</v>
      </c>
      <c r="D866" s="3" t="s">
        <v>6246</v>
      </c>
      <c r="E866" s="3"/>
      <c r="F866" s="3"/>
      <c r="G866" s="3" t="s">
        <v>100</v>
      </c>
      <c r="H866" s="3"/>
      <c r="I866" s="3"/>
      <c r="J866" s="3" t="s">
        <v>3844</v>
      </c>
      <c r="K866" s="3"/>
      <c r="L866" s="3" t="s">
        <v>3845</v>
      </c>
      <c r="M866" s="3" t="str">
        <f>HYPERLINK("https://ceds.ed.gov/cedselementdetails.aspx?termid=5888")</f>
        <v>https://ceds.ed.gov/cedselementdetails.aspx?termid=5888</v>
      </c>
      <c r="N866" s="3" t="str">
        <f>HYPERLINK("https://ceds.ed.gov/elementComment.aspx?elementName=Learning Standard Item Concept Term &amp;elementID=5888", "Click here to submit comment")</f>
        <v>Click here to submit comment</v>
      </c>
    </row>
    <row r="867" spans="1:14" ht="240">
      <c r="A867" s="3" t="s">
        <v>3846</v>
      </c>
      <c r="B867" s="3" t="s">
        <v>3847</v>
      </c>
      <c r="C867" s="3" t="s">
        <v>5963</v>
      </c>
      <c r="D867" s="3" t="s">
        <v>6247</v>
      </c>
      <c r="E867" s="3"/>
      <c r="F867" s="3" t="s">
        <v>54</v>
      </c>
      <c r="G867" s="3"/>
      <c r="H867" s="3"/>
      <c r="I867" s="3" t="s">
        <v>3848</v>
      </c>
      <c r="J867" s="3" t="s">
        <v>3849</v>
      </c>
      <c r="K867" s="3"/>
      <c r="L867" s="3" t="s">
        <v>3850</v>
      </c>
      <c r="M867" s="3" t="str">
        <f>HYPERLINK("https://ceds.ed.gov/cedselementdetails.aspx?termid=6499")</f>
        <v>https://ceds.ed.gov/cedselementdetails.aspx?termid=6499</v>
      </c>
      <c r="N867" s="3" t="str">
        <f>HYPERLINK("https://ceds.ed.gov/elementComment.aspx?elementName=Learning Standard Item Current Version Indicator &amp;elementID=6499", "Click here to submit comment")</f>
        <v>Click here to submit comment</v>
      </c>
    </row>
    <row r="868" spans="1:14" ht="409.5">
      <c r="A868" s="3" t="s">
        <v>3851</v>
      </c>
      <c r="B868" s="3" t="s">
        <v>3852</v>
      </c>
      <c r="C868" s="4" t="s">
        <v>6400</v>
      </c>
      <c r="D868" s="3" t="s">
        <v>6246</v>
      </c>
      <c r="E868" s="3"/>
      <c r="F868" s="3"/>
      <c r="G868" s="3"/>
      <c r="H868" s="3"/>
      <c r="I868" s="3" t="s">
        <v>3853</v>
      </c>
      <c r="J868" s="3" t="s">
        <v>3854</v>
      </c>
      <c r="K868" s="3"/>
      <c r="L868" s="3" t="s">
        <v>3855</v>
      </c>
      <c r="M868" s="3" t="str">
        <f>HYPERLINK("https://ceds.ed.gov/cedselementdetails.aspx?termid=5701")</f>
        <v>https://ceds.ed.gov/cedselementdetails.aspx?termid=5701</v>
      </c>
      <c r="N868" s="3" t="str">
        <f>HYPERLINK("https://ceds.ed.gov/elementComment.aspx?elementName=Learning Standard Item Education Level &amp;elementID=5701", "Click here to submit comment")</f>
        <v>Click here to submit comment</v>
      </c>
    </row>
    <row r="869" spans="1:14" ht="120">
      <c r="A869" s="3" t="s">
        <v>3856</v>
      </c>
      <c r="B869" s="3" t="s">
        <v>3857</v>
      </c>
      <c r="C869" s="3" t="s">
        <v>13</v>
      </c>
      <c r="D869" s="3" t="s">
        <v>6247</v>
      </c>
      <c r="E869" s="3" t="s">
        <v>493</v>
      </c>
      <c r="F869" s="3"/>
      <c r="G869" s="3" t="s">
        <v>3858</v>
      </c>
      <c r="H869" s="3"/>
      <c r="I869" s="3"/>
      <c r="J869" s="3" t="s">
        <v>3859</v>
      </c>
      <c r="K869" s="3" t="s">
        <v>3860</v>
      </c>
      <c r="L869" s="3" t="s">
        <v>3861</v>
      </c>
      <c r="M869" s="3" t="str">
        <f>HYPERLINK("https://ceds.ed.gov/cedselementdetails.aspx?termid=5666")</f>
        <v>https://ceds.ed.gov/cedselementdetails.aspx?termid=5666</v>
      </c>
      <c r="N869" s="3" t="str">
        <f>HYPERLINK("https://ceds.ed.gov/elementComment.aspx?elementName=Learning Standard Item Identifier &amp;elementID=5666", "Click here to submit comment")</f>
        <v>Click here to submit comment</v>
      </c>
    </row>
    <row r="870" spans="1:14" ht="75">
      <c r="A870" s="3" t="s">
        <v>3862</v>
      </c>
      <c r="B870" s="3" t="s">
        <v>3863</v>
      </c>
      <c r="C870" s="5" t="s">
        <v>939</v>
      </c>
      <c r="D870" s="3" t="s">
        <v>6246</v>
      </c>
      <c r="E870" s="3"/>
      <c r="F870" s="3"/>
      <c r="G870" s="3"/>
      <c r="H870" s="3"/>
      <c r="I870" s="3" t="s">
        <v>3478</v>
      </c>
      <c r="J870" s="3" t="s">
        <v>3864</v>
      </c>
      <c r="K870" s="3"/>
      <c r="L870" s="3" t="s">
        <v>3865</v>
      </c>
      <c r="M870" s="3" t="str">
        <f>HYPERLINK("https://ceds.ed.gov/cedselementdetails.aspx?termid=5881")</f>
        <v>https://ceds.ed.gov/cedselementdetails.aspx?termid=5881</v>
      </c>
      <c r="N870" s="3" t="str">
        <f>HYPERLINK("https://ceds.ed.gov/elementComment.aspx?elementName=Learning Standard Item Language &amp;elementID=5881", "Click here to submit comment")</f>
        <v>Click here to submit comment</v>
      </c>
    </row>
    <row r="871" spans="1:14" ht="75">
      <c r="A871" s="3" t="s">
        <v>3866</v>
      </c>
      <c r="B871" s="3" t="s">
        <v>3867</v>
      </c>
      <c r="C871" s="3" t="s">
        <v>13</v>
      </c>
      <c r="D871" s="3" t="s">
        <v>6246</v>
      </c>
      <c r="E871" s="3"/>
      <c r="F871" s="3"/>
      <c r="G871" s="3" t="s">
        <v>93</v>
      </c>
      <c r="H871" s="3"/>
      <c r="I871" s="3"/>
      <c r="J871" s="3" t="s">
        <v>3868</v>
      </c>
      <c r="K871" s="3"/>
      <c r="L871" s="3" t="s">
        <v>3869</v>
      </c>
      <c r="M871" s="3" t="str">
        <f>HYPERLINK("https://ceds.ed.gov/cedselementdetails.aspx?termid=5883")</f>
        <v>https://ceds.ed.gov/cedselementdetails.aspx?termid=5883</v>
      </c>
      <c r="N871" s="3" t="str">
        <f>HYPERLINK("https://ceds.ed.gov/elementComment.aspx?elementName=Learning Standard Item License &amp;elementID=5883", "Click here to submit comment")</f>
        <v>Click here to submit comment</v>
      </c>
    </row>
    <row r="872" spans="1:14" ht="150">
      <c r="A872" s="3" t="s">
        <v>3870</v>
      </c>
      <c r="B872" s="3" t="s">
        <v>3871</v>
      </c>
      <c r="C872" s="4" t="s">
        <v>6569</v>
      </c>
      <c r="D872" s="3" t="s">
        <v>6246</v>
      </c>
      <c r="E872" s="3"/>
      <c r="F872" s="3"/>
      <c r="G872" s="3"/>
      <c r="H872" s="3"/>
      <c r="I872" s="3"/>
      <c r="J872" s="3" t="s">
        <v>3872</v>
      </c>
      <c r="K872" s="3"/>
      <c r="L872" s="3" t="s">
        <v>3873</v>
      </c>
      <c r="M872" s="3" t="str">
        <f>HYPERLINK("https://ceds.ed.gov/cedselementdetails.aspx?termid=5876")</f>
        <v>https://ceds.ed.gov/cedselementdetails.aspx?termid=5876</v>
      </c>
      <c r="N872" s="3" t="str">
        <f>HYPERLINK("https://ceds.ed.gov/elementComment.aspx?elementName=Learning Standard Item Multiple Intelligence &amp;elementID=5876", "Click here to submit comment")</f>
        <v>Click here to submit comment</v>
      </c>
    </row>
    <row r="873" spans="1:14" ht="105">
      <c r="A873" s="3" t="s">
        <v>3874</v>
      </c>
      <c r="B873" s="3" t="s">
        <v>3875</v>
      </c>
      <c r="C873" s="3" t="s">
        <v>6248</v>
      </c>
      <c r="D873" s="3" t="s">
        <v>3876</v>
      </c>
      <c r="E873" s="3"/>
      <c r="F873" s="3" t="s">
        <v>54</v>
      </c>
      <c r="G873" s="3"/>
      <c r="H873" s="3"/>
      <c r="I873" s="3"/>
      <c r="J873" s="3" t="s">
        <v>3877</v>
      </c>
      <c r="K873" s="3"/>
      <c r="L873" s="3" t="s">
        <v>3878</v>
      </c>
      <c r="M873" s="3" t="str">
        <f>HYPERLINK("https://ceds.ed.gov/cedselementdetails.aspx?termid=6377")</f>
        <v>https://ceds.ed.gov/cedselementdetails.aspx?termid=6377</v>
      </c>
      <c r="N873" s="3" t="str">
        <f>HYPERLINK("https://ceds.ed.gov/elementComment.aspx?elementName=Learning Standard Item Node Accessibility Profile &amp;elementID=6377", "Click here to submit comment")</f>
        <v>Click here to submit comment</v>
      </c>
    </row>
    <row r="874" spans="1:14" ht="45">
      <c r="A874" s="3" t="s">
        <v>3879</v>
      </c>
      <c r="B874" s="3" t="s">
        <v>3880</v>
      </c>
      <c r="C874" s="3" t="s">
        <v>13</v>
      </c>
      <c r="D874" s="3" t="s">
        <v>3876</v>
      </c>
      <c r="E874" s="3"/>
      <c r="F874" s="3" t="s">
        <v>54</v>
      </c>
      <c r="G874" s="3" t="s">
        <v>100</v>
      </c>
      <c r="H874" s="3"/>
      <c r="I874" s="3"/>
      <c r="J874" s="3" t="s">
        <v>3881</v>
      </c>
      <c r="K874" s="3"/>
      <c r="L874" s="3" t="s">
        <v>3882</v>
      </c>
      <c r="M874" s="3" t="str">
        <f>HYPERLINK("https://ceds.ed.gov/cedselementdetails.aspx?termid=6378")</f>
        <v>https://ceds.ed.gov/cedselementdetails.aspx?termid=6378</v>
      </c>
      <c r="N874" s="3" t="str">
        <f>HYPERLINK("https://ceds.ed.gov/elementComment.aspx?elementName=Learning Standard Item Node Name &amp;elementID=6378", "Click here to submit comment")</f>
        <v>Click here to submit comment</v>
      </c>
    </row>
    <row r="875" spans="1:14" ht="75">
      <c r="A875" s="3" t="s">
        <v>3883</v>
      </c>
      <c r="B875" s="3" t="s">
        <v>3884</v>
      </c>
      <c r="C875" s="3" t="s">
        <v>13</v>
      </c>
      <c r="D875" s="3" t="s">
        <v>6246</v>
      </c>
      <c r="E875" s="3"/>
      <c r="F875" s="3"/>
      <c r="G875" s="3" t="s">
        <v>319</v>
      </c>
      <c r="H875" s="3"/>
      <c r="I875" s="3"/>
      <c r="J875" s="3" t="s">
        <v>3885</v>
      </c>
      <c r="K875" s="3"/>
      <c r="L875" s="3" t="s">
        <v>3886</v>
      </c>
      <c r="M875" s="3" t="str">
        <f>HYPERLINK("https://ceds.ed.gov/cedselementdetails.aspx?termid=6215")</f>
        <v>https://ceds.ed.gov/cedselementdetails.aspx?termid=6215</v>
      </c>
      <c r="N875" s="3" t="str">
        <f>HYPERLINK("https://ceds.ed.gov/elementComment.aspx?elementName=Learning Standard Item Notes &amp;elementID=6215", "Click here to submit comment")</f>
        <v>Click here to submit comment</v>
      </c>
    </row>
    <row r="876" spans="1:14" ht="75">
      <c r="A876" s="3" t="s">
        <v>3887</v>
      </c>
      <c r="B876" s="3" t="s">
        <v>3888</v>
      </c>
      <c r="C876" s="3" t="s">
        <v>13</v>
      </c>
      <c r="D876" s="3" t="s">
        <v>6246</v>
      </c>
      <c r="E876" s="3"/>
      <c r="F876" s="3"/>
      <c r="G876" s="3" t="s">
        <v>100</v>
      </c>
      <c r="H876" s="3"/>
      <c r="I876" s="3"/>
      <c r="J876" s="3" t="s">
        <v>3889</v>
      </c>
      <c r="K876" s="3"/>
      <c r="L876" s="3" t="s">
        <v>3890</v>
      </c>
      <c r="M876" s="3" t="str">
        <f>HYPERLINK("https://ceds.ed.gov/cedselementdetails.aspx?termid=5873")</f>
        <v>https://ceds.ed.gov/cedselementdetails.aspx?termid=5873</v>
      </c>
      <c r="N876" s="3" t="str">
        <f>HYPERLINK("https://ceds.ed.gov/elementComment.aspx?elementName=Learning Standard Item Parent Code &amp;elementID=5873", "Click here to submit comment")</f>
        <v>Click here to submit comment</v>
      </c>
    </row>
    <row r="877" spans="1:14" ht="135">
      <c r="A877" s="3" t="s">
        <v>3891</v>
      </c>
      <c r="B877" s="3" t="s">
        <v>3892</v>
      </c>
      <c r="C877" s="3" t="s">
        <v>13</v>
      </c>
      <c r="D877" s="3" t="s">
        <v>6246</v>
      </c>
      <c r="E877" s="3"/>
      <c r="F877" s="3"/>
      <c r="G877" s="3" t="s">
        <v>3858</v>
      </c>
      <c r="H877" s="3"/>
      <c r="I877" s="3"/>
      <c r="J877" s="3" t="s">
        <v>3893</v>
      </c>
      <c r="K877" s="3"/>
      <c r="L877" s="3" t="s">
        <v>3894</v>
      </c>
      <c r="M877" s="3" t="str">
        <f>HYPERLINK("https://ceds.ed.gov/cedselementdetails.aspx?termid=5872")</f>
        <v>https://ceds.ed.gov/cedselementdetails.aspx?termid=5872</v>
      </c>
      <c r="N877" s="3" t="str">
        <f>HYPERLINK("https://ceds.ed.gov/elementComment.aspx?elementName=Learning Standard Item Parent Identifier &amp;elementID=5872", "Click here to submit comment")</f>
        <v>Click here to submit comment</v>
      </c>
    </row>
    <row r="878" spans="1:14" ht="75">
      <c r="A878" s="3" t="s">
        <v>3895</v>
      </c>
      <c r="B878" s="3" t="s">
        <v>3896</v>
      </c>
      <c r="C878" s="3" t="s">
        <v>13</v>
      </c>
      <c r="D878" s="3" t="s">
        <v>6246</v>
      </c>
      <c r="E878" s="3"/>
      <c r="F878" s="3"/>
      <c r="G878" s="3" t="s">
        <v>93</v>
      </c>
      <c r="H878" s="3"/>
      <c r="I878" s="3"/>
      <c r="J878" s="3" t="s">
        <v>3897</v>
      </c>
      <c r="K878" s="3"/>
      <c r="L878" s="3" t="s">
        <v>3898</v>
      </c>
      <c r="M878" s="3" t="str">
        <f>HYPERLINK("https://ceds.ed.gov/cedselementdetails.aspx?termid=6078")</f>
        <v>https://ceds.ed.gov/cedselementdetails.aspx?termid=6078</v>
      </c>
      <c r="N878" s="3" t="str">
        <f>HYPERLINK("https://ceds.ed.gov/elementComment.aspx?elementName=Learning Standard Item Parent URL &amp;elementID=6078", "Click here to submit comment")</f>
        <v>Click here to submit comment</v>
      </c>
    </row>
    <row r="879" spans="1:14" ht="150">
      <c r="A879" s="3" t="s">
        <v>3899</v>
      </c>
      <c r="B879" s="3" t="s">
        <v>3900</v>
      </c>
      <c r="C879" s="3" t="s">
        <v>13</v>
      </c>
      <c r="D879" s="3" t="s">
        <v>6247</v>
      </c>
      <c r="E879" s="3" t="s">
        <v>493</v>
      </c>
      <c r="F879" s="3"/>
      <c r="G879" s="3" t="s">
        <v>3858</v>
      </c>
      <c r="H879" s="3"/>
      <c r="I879" s="3" t="s">
        <v>3901</v>
      </c>
      <c r="J879" s="3" t="s">
        <v>3902</v>
      </c>
      <c r="K879" s="3"/>
      <c r="L879" s="3" t="s">
        <v>3903</v>
      </c>
      <c r="M879" s="3" t="str">
        <f>HYPERLINK("https://ceds.ed.gov/cedselementdetails.aspx?termid=5691")</f>
        <v>https://ceds.ed.gov/cedselementdetails.aspx?termid=5691</v>
      </c>
      <c r="N879" s="3" t="str">
        <f>HYPERLINK("https://ceds.ed.gov/elementComment.aspx?elementName=Learning Standard Item Prerequisite Identifier &amp;elementID=5691", "Click here to submit comment")</f>
        <v>Click here to submit comment</v>
      </c>
    </row>
    <row r="880" spans="1:14" ht="240">
      <c r="A880" s="3" t="s">
        <v>3904</v>
      </c>
      <c r="B880" s="3" t="s">
        <v>3905</v>
      </c>
      <c r="C880" s="3" t="s">
        <v>13</v>
      </c>
      <c r="D880" s="3" t="s">
        <v>6247</v>
      </c>
      <c r="E880" s="3"/>
      <c r="F880" s="3" t="s">
        <v>54</v>
      </c>
      <c r="G880" s="3" t="s">
        <v>3906</v>
      </c>
      <c r="H880" s="3"/>
      <c r="I880" s="3" t="s">
        <v>3848</v>
      </c>
      <c r="J880" s="3" t="s">
        <v>3907</v>
      </c>
      <c r="K880" s="3"/>
      <c r="L880" s="3" t="s">
        <v>3908</v>
      </c>
      <c r="M880" s="3" t="str">
        <f>HYPERLINK("https://ceds.ed.gov/cedselementdetails.aspx?termid=6498")</f>
        <v>https://ceds.ed.gov/cedselementdetails.aspx?termid=6498</v>
      </c>
      <c r="N880" s="3" t="str">
        <f>HYPERLINK("https://ceds.ed.gov/elementComment.aspx?elementName=Learning Standard Item Previous Version Identifier &amp;elementID=6498", "Click here to submit comment")</f>
        <v>Click here to submit comment</v>
      </c>
    </row>
    <row r="881" spans="1:14" ht="225">
      <c r="A881" s="3" t="s">
        <v>3909</v>
      </c>
      <c r="B881" s="3" t="s">
        <v>3910</v>
      </c>
      <c r="C881" s="3" t="s">
        <v>13</v>
      </c>
      <c r="D881" s="3" t="s">
        <v>6247</v>
      </c>
      <c r="E881" s="3" t="s">
        <v>493</v>
      </c>
      <c r="F881" s="3"/>
      <c r="G881" s="3" t="s">
        <v>319</v>
      </c>
      <c r="H881" s="3"/>
      <c r="I881" s="3" t="s">
        <v>3911</v>
      </c>
      <c r="J881" s="3" t="s">
        <v>3912</v>
      </c>
      <c r="K881" s="3" t="s">
        <v>3913</v>
      </c>
      <c r="L881" s="3" t="s">
        <v>3914</v>
      </c>
      <c r="M881" s="3" t="str">
        <f>HYPERLINK("https://ceds.ed.gov/cedselementdetails.aspx?termid=5667")</f>
        <v>https://ceds.ed.gov/cedselementdetails.aspx?termid=5667</v>
      </c>
      <c r="N881" s="3" t="str">
        <f>HYPERLINK("https://ceds.ed.gov/elementComment.aspx?elementName=Learning Standard Item Statement &amp;elementID=5667", "Click here to submit comment")</f>
        <v>Click here to submit comment</v>
      </c>
    </row>
    <row r="882" spans="1:14" ht="105">
      <c r="A882" s="3" t="s">
        <v>3915</v>
      </c>
      <c r="B882" s="3" t="s">
        <v>3916</v>
      </c>
      <c r="C882" s="4" t="s">
        <v>6570</v>
      </c>
      <c r="D882" s="3" t="s">
        <v>3876</v>
      </c>
      <c r="E882" s="3"/>
      <c r="F882" s="3" t="s">
        <v>54</v>
      </c>
      <c r="G882" s="3"/>
      <c r="H882" s="3"/>
      <c r="I882" s="3"/>
      <c r="J882" s="3" t="s">
        <v>3917</v>
      </c>
      <c r="K882" s="3"/>
      <c r="L882" s="3" t="s">
        <v>3918</v>
      </c>
      <c r="M882" s="3" t="str">
        <f>HYPERLINK("https://ceds.ed.gov/cedselementdetails.aspx?termid=6380")</f>
        <v>https://ceds.ed.gov/cedselementdetails.aspx?termid=6380</v>
      </c>
      <c r="N882" s="3" t="str">
        <f>HYPERLINK("https://ceds.ed.gov/elementComment.aspx?elementName=Learning Standard Item Testability Type &amp;elementID=6380", "Click here to submit comment")</f>
        <v>Click here to submit comment</v>
      </c>
    </row>
    <row r="883" spans="1:14" ht="120">
      <c r="A883" s="3" t="s">
        <v>3919</v>
      </c>
      <c r="B883" s="3" t="s">
        <v>3920</v>
      </c>
      <c r="C883" s="3" t="s">
        <v>13</v>
      </c>
      <c r="D883" s="3" t="s">
        <v>6249</v>
      </c>
      <c r="E883" s="3"/>
      <c r="F883" s="3"/>
      <c r="G883" s="3" t="s">
        <v>545</v>
      </c>
      <c r="H883" s="3"/>
      <c r="I883" s="3"/>
      <c r="J883" s="3" t="s">
        <v>3921</v>
      </c>
      <c r="K883" s="3"/>
      <c r="L883" s="3" t="s">
        <v>3922</v>
      </c>
      <c r="M883" s="3" t="str">
        <f>HYPERLINK("https://ceds.ed.gov/cedselementdetails.aspx?termid=6115")</f>
        <v>https://ceds.ed.gov/cedselementdetails.aspx?termid=6115</v>
      </c>
      <c r="N883" s="3" t="str">
        <f>HYPERLINK("https://ceds.ed.gov/elementComment.aspx?elementName=Learning Standard Item Text Complexity Maximum Value &amp;elementID=6115", "Click here to submit comment")</f>
        <v>Click here to submit comment</v>
      </c>
    </row>
    <row r="884" spans="1:14" ht="120">
      <c r="A884" s="3" t="s">
        <v>3923</v>
      </c>
      <c r="B884" s="3" t="s">
        <v>3924</v>
      </c>
      <c r="C884" s="3" t="s">
        <v>13</v>
      </c>
      <c r="D884" s="3" t="s">
        <v>6249</v>
      </c>
      <c r="E884" s="3"/>
      <c r="F884" s="3"/>
      <c r="G884" s="3" t="s">
        <v>545</v>
      </c>
      <c r="H884" s="3"/>
      <c r="I884" s="3"/>
      <c r="J884" s="3" t="s">
        <v>3925</v>
      </c>
      <c r="K884" s="3"/>
      <c r="L884" s="3" t="s">
        <v>3926</v>
      </c>
      <c r="M884" s="3" t="str">
        <f>HYPERLINK("https://ceds.ed.gov/cedselementdetails.aspx?termid=6114")</f>
        <v>https://ceds.ed.gov/cedselementdetails.aspx?termid=6114</v>
      </c>
      <c r="N884" s="3" t="str">
        <f>HYPERLINK("https://ceds.ed.gov/elementComment.aspx?elementName=Learning Standard Item Text Complexity Minimum Value &amp;elementID=6114", "Click here to submit comment")</f>
        <v>Click here to submit comment</v>
      </c>
    </row>
    <row r="885" spans="1:14" ht="75">
      <c r="A885" s="3" t="s">
        <v>3927</v>
      </c>
      <c r="B885" s="3" t="s">
        <v>3928</v>
      </c>
      <c r="C885" s="3" t="s">
        <v>13</v>
      </c>
      <c r="D885" s="3" t="s">
        <v>6246</v>
      </c>
      <c r="E885" s="3"/>
      <c r="F885" s="3"/>
      <c r="G885" s="3" t="s">
        <v>100</v>
      </c>
      <c r="H885" s="3"/>
      <c r="I885" s="3"/>
      <c r="J885" s="3" t="s">
        <v>3929</v>
      </c>
      <c r="K885" s="3"/>
      <c r="L885" s="3" t="s">
        <v>3930</v>
      </c>
      <c r="M885" s="3" t="str">
        <f>HYPERLINK("https://ceds.ed.gov/cedselementdetails.aspx?termid=5910")</f>
        <v>https://ceds.ed.gov/cedselementdetails.aspx?termid=5910</v>
      </c>
      <c r="N885" s="3" t="str">
        <f>HYPERLINK("https://ceds.ed.gov/elementComment.aspx?elementName=Learning Standard Item Text Complexity System &amp;elementID=5910", "Click here to submit comment")</f>
        <v>Click here to submit comment</v>
      </c>
    </row>
    <row r="886" spans="1:14" ht="120">
      <c r="A886" s="3" t="s">
        <v>3931</v>
      </c>
      <c r="B886" s="3" t="s">
        <v>3932</v>
      </c>
      <c r="C886" s="3" t="s">
        <v>13</v>
      </c>
      <c r="D886" s="3" t="s">
        <v>6247</v>
      </c>
      <c r="E886" s="3" t="s">
        <v>493</v>
      </c>
      <c r="F886" s="3"/>
      <c r="G886" s="3" t="s">
        <v>106</v>
      </c>
      <c r="H886" s="3"/>
      <c r="I886" s="3"/>
      <c r="J886" s="3" t="s">
        <v>3933</v>
      </c>
      <c r="K886" s="3" t="s">
        <v>3934</v>
      </c>
      <c r="L886" s="3" t="s">
        <v>3935</v>
      </c>
      <c r="M886" s="3" t="str">
        <f>HYPERLINK("https://ceds.ed.gov/cedselementdetails.aspx?termid=5668")</f>
        <v>https://ceds.ed.gov/cedselementdetails.aspx?termid=5668</v>
      </c>
      <c r="N886" s="3" t="str">
        <f>HYPERLINK("https://ceds.ed.gov/elementComment.aspx?elementName=Learning Standard Item Type &amp;elementID=5668", "Click here to submit comment")</f>
        <v>Click here to submit comment</v>
      </c>
    </row>
    <row r="887" spans="1:14" ht="75">
      <c r="A887" s="3" t="s">
        <v>3936</v>
      </c>
      <c r="B887" s="3" t="s">
        <v>3937</v>
      </c>
      <c r="C887" s="3" t="s">
        <v>13</v>
      </c>
      <c r="D887" s="3" t="s">
        <v>6246</v>
      </c>
      <c r="E887" s="3"/>
      <c r="F887" s="3"/>
      <c r="G887" s="3" t="s">
        <v>1127</v>
      </c>
      <c r="H887" s="3"/>
      <c r="I887" s="3" t="s">
        <v>3938</v>
      </c>
      <c r="J887" s="3" t="s">
        <v>3939</v>
      </c>
      <c r="K887" s="3"/>
      <c r="L887" s="3" t="s">
        <v>3940</v>
      </c>
      <c r="M887" s="3" t="str">
        <f>HYPERLINK("https://ceds.ed.gov/cedselementdetails.aspx?termid=5870")</f>
        <v>https://ceds.ed.gov/cedselementdetails.aspx?termid=5870</v>
      </c>
      <c r="N887" s="3" t="str">
        <f>HYPERLINK("https://ceds.ed.gov/elementComment.aspx?elementName=Learning Standard Item Typical Age Range &amp;elementID=5870", "Click here to submit comment")</f>
        <v>Click here to submit comment</v>
      </c>
    </row>
    <row r="888" spans="1:14" ht="75">
      <c r="A888" s="3" t="s">
        <v>3941</v>
      </c>
      <c r="B888" s="3" t="s">
        <v>3942</v>
      </c>
      <c r="C888" s="3" t="s">
        <v>13</v>
      </c>
      <c r="D888" s="3" t="s">
        <v>6246</v>
      </c>
      <c r="E888" s="3"/>
      <c r="F888" s="3"/>
      <c r="G888" s="3" t="s">
        <v>93</v>
      </c>
      <c r="H888" s="3"/>
      <c r="I888" s="3"/>
      <c r="J888" s="3" t="s">
        <v>3943</v>
      </c>
      <c r="K888" s="3"/>
      <c r="L888" s="3" t="s">
        <v>3944</v>
      </c>
      <c r="M888" s="3" t="str">
        <f>HYPERLINK("https://ceds.ed.gov/cedselementdetails.aspx?termid=5874")</f>
        <v>https://ceds.ed.gov/cedselementdetails.aspx?termid=5874</v>
      </c>
      <c r="N888" s="3" t="str">
        <f>HYPERLINK("https://ceds.ed.gov/elementComment.aspx?elementName=Learning Standard Item URL &amp;elementID=5874", "Click here to submit comment")</f>
        <v>Click here to submit comment</v>
      </c>
    </row>
    <row r="889" spans="1:14" ht="120">
      <c r="A889" s="3" t="s">
        <v>3945</v>
      </c>
      <c r="B889" s="3" t="s">
        <v>3946</v>
      </c>
      <c r="C889" s="3" t="s">
        <v>13</v>
      </c>
      <c r="D889" s="3" t="s">
        <v>6240</v>
      </c>
      <c r="E889" s="3"/>
      <c r="F889" s="3" t="s">
        <v>54</v>
      </c>
      <c r="G889" s="3" t="s">
        <v>73</v>
      </c>
      <c r="H889" s="3"/>
      <c r="I889" s="3" t="s">
        <v>3947</v>
      </c>
      <c r="J889" s="3" t="s">
        <v>3948</v>
      </c>
      <c r="K889" s="3"/>
      <c r="L889" s="3" t="s">
        <v>3949</v>
      </c>
      <c r="M889" s="3" t="str">
        <f>HYPERLINK("https://ceds.ed.gov/cedselementdetails.aspx?termid=6483")</f>
        <v>https://ceds.ed.gov/cedselementdetails.aspx?termid=6483</v>
      </c>
      <c r="N889" s="3" t="str">
        <f>HYPERLINK("https://ceds.ed.gov/elementComment.aspx?elementName=Learning Standard Item Valid End Date &amp;elementID=6483", "Click here to submit comment")</f>
        <v>Click here to submit comment</v>
      </c>
    </row>
    <row r="890" spans="1:14" ht="120">
      <c r="A890" s="3" t="s">
        <v>3950</v>
      </c>
      <c r="B890" s="3" t="s">
        <v>3951</v>
      </c>
      <c r="C890" s="3" t="s">
        <v>13</v>
      </c>
      <c r="D890" s="3" t="s">
        <v>6240</v>
      </c>
      <c r="E890" s="3"/>
      <c r="F890" s="3" t="s">
        <v>54</v>
      </c>
      <c r="G890" s="3" t="s">
        <v>73</v>
      </c>
      <c r="H890" s="3"/>
      <c r="I890" s="3"/>
      <c r="J890" s="3" t="s">
        <v>3952</v>
      </c>
      <c r="K890" s="3"/>
      <c r="L890" s="3" t="s">
        <v>3953</v>
      </c>
      <c r="M890" s="3" t="str">
        <f>HYPERLINK("https://ceds.ed.gov/cedselementdetails.aspx?termid=6484")</f>
        <v>https://ceds.ed.gov/cedselementdetails.aspx?termid=6484</v>
      </c>
      <c r="N890" s="3" t="str">
        <f>HYPERLINK("https://ceds.ed.gov/elementComment.aspx?elementName=Learning Standard Item Valid Start Date &amp;elementID=6484", "Click here to submit comment")</f>
        <v>Click here to submit comment</v>
      </c>
    </row>
    <row r="891" spans="1:14" ht="75">
      <c r="A891" s="3" t="s">
        <v>3954</v>
      </c>
      <c r="B891" s="3" t="s">
        <v>3955</v>
      </c>
      <c r="C891" s="3" t="s">
        <v>13</v>
      </c>
      <c r="D891" s="3" t="s">
        <v>6246</v>
      </c>
      <c r="E891" s="3"/>
      <c r="F891" s="3"/>
      <c r="G891" s="3" t="s">
        <v>319</v>
      </c>
      <c r="H891" s="3"/>
      <c r="I891" s="3"/>
      <c r="J891" s="3" t="s">
        <v>3956</v>
      </c>
      <c r="K891" s="3"/>
      <c r="L891" s="3" t="s">
        <v>3957</v>
      </c>
      <c r="M891" s="3" t="str">
        <f>HYPERLINK("https://ceds.ed.gov/cedselementdetails.aspx?termid=6216")</f>
        <v>https://ceds.ed.gov/cedselementdetails.aspx?termid=6216</v>
      </c>
      <c r="N891" s="3" t="str">
        <f>HYPERLINK("https://ceds.ed.gov/elementComment.aspx?elementName=Learning Standard Item Version &amp;elementID=6216", "Click here to submit comment")</f>
        <v>Click here to submit comment</v>
      </c>
    </row>
    <row r="892" spans="1:14" ht="345">
      <c r="A892" s="3" t="s">
        <v>3958</v>
      </c>
      <c r="B892" s="3" t="s">
        <v>3959</v>
      </c>
      <c r="C892" s="4" t="s">
        <v>6571</v>
      </c>
      <c r="D892" s="3" t="s">
        <v>3960</v>
      </c>
      <c r="E892" s="3"/>
      <c r="F892" s="3" t="s">
        <v>66</v>
      </c>
      <c r="G892" s="3"/>
      <c r="H892" s="3" t="s">
        <v>2309</v>
      </c>
      <c r="I892" s="3"/>
      <c r="J892" s="3" t="s">
        <v>3961</v>
      </c>
      <c r="K892" s="3"/>
      <c r="L892" s="3" t="s">
        <v>3962</v>
      </c>
      <c r="M892" s="3" t="str">
        <f>HYPERLINK("https://ceds.ed.gov/cedselementdetails.aspx?termid=5617")</f>
        <v>https://ceds.ed.gov/cedselementdetails.aspx?termid=5617</v>
      </c>
      <c r="N892" s="3" t="str">
        <f>HYPERLINK("https://ceds.ed.gov/elementComment.aspx?elementName=Leave Event Type &amp;elementID=5617", "Click here to submit comment")</f>
        <v>Click here to submit comment</v>
      </c>
    </row>
    <row r="893" spans="1:14" ht="90">
      <c r="A893" s="3" t="s">
        <v>3963</v>
      </c>
      <c r="B893" s="3" t="s">
        <v>3964</v>
      </c>
      <c r="C893" s="4" t="s">
        <v>6572</v>
      </c>
      <c r="D893" s="3" t="s">
        <v>6250</v>
      </c>
      <c r="E893" s="3" t="s">
        <v>6093</v>
      </c>
      <c r="F893" s="3"/>
      <c r="G893" s="3"/>
      <c r="H893" s="3"/>
      <c r="I893" s="3"/>
      <c r="J893" s="3" t="s">
        <v>3965</v>
      </c>
      <c r="K893" s="3"/>
      <c r="L893" s="3" t="s">
        <v>3966</v>
      </c>
      <c r="M893" s="3" t="str">
        <f>HYPERLINK("https://ceds.ed.gov/cedselementdetails.aspx?termid=5178")</f>
        <v>https://ceds.ed.gov/cedselementdetails.aspx?termid=5178</v>
      </c>
      <c r="N893" s="3" t="str">
        <f>HYPERLINK("https://ceds.ed.gov/elementComment.aspx?elementName=Level of Institution &amp;elementID=5178", "Click here to submit comment")</f>
        <v>Click here to submit comment</v>
      </c>
    </row>
    <row r="894" spans="1:14" ht="105">
      <c r="A894" s="3" t="s">
        <v>3967</v>
      </c>
      <c r="B894" s="3" t="s">
        <v>3968</v>
      </c>
      <c r="C894" s="4" t="s">
        <v>6573</v>
      </c>
      <c r="D894" s="3" t="s">
        <v>388</v>
      </c>
      <c r="E894" s="3" t="s">
        <v>6154</v>
      </c>
      <c r="F894" s="3"/>
      <c r="G894" s="3"/>
      <c r="H894" s="3"/>
      <c r="I894" s="3"/>
      <c r="J894" s="3" t="s">
        <v>3969</v>
      </c>
      <c r="K894" s="3"/>
      <c r="L894" s="3" t="s">
        <v>3970</v>
      </c>
      <c r="M894" s="3" t="str">
        <f>HYPERLINK("https://ceds.ed.gov/cedselementdetails.aspx?termid=5340")</f>
        <v>https://ceds.ed.gov/cedselementdetails.aspx?termid=5340</v>
      </c>
      <c r="N894" s="3" t="str">
        <f>HYPERLINK("https://ceds.ed.gov/elementComment.aspx?elementName=Level of Specialization in Early Learning &amp;elementID=5340", "Click here to submit comment")</f>
        <v>Click here to submit comment</v>
      </c>
    </row>
    <row r="895" spans="1:14" ht="60">
      <c r="A895" s="3" t="s">
        <v>3971</v>
      </c>
      <c r="B895" s="3" t="s">
        <v>3972</v>
      </c>
      <c r="C895" s="4" t="s">
        <v>6371</v>
      </c>
      <c r="D895" s="3" t="s">
        <v>1774</v>
      </c>
      <c r="E895" s="3" t="s">
        <v>6104</v>
      </c>
      <c r="F895" s="3"/>
      <c r="G895" s="3"/>
      <c r="H895" s="3"/>
      <c r="I895" s="3"/>
      <c r="J895" s="3" t="s">
        <v>3973</v>
      </c>
      <c r="K895" s="3"/>
      <c r="L895" s="3" t="s">
        <v>3974</v>
      </c>
      <c r="M895" s="3" t="str">
        <f>HYPERLINK("https://ceds.ed.gov/cedselementdetails.aspx?termid=5349")</f>
        <v>https://ceds.ed.gov/cedselementdetails.aspx?termid=5349</v>
      </c>
      <c r="N895" s="3" t="str">
        <f>HYPERLINK("https://ceds.ed.gov/elementComment.aspx?elementName=License Exempt &amp;elementID=5349", "Click here to submit comment")</f>
        <v>Click here to submit comment</v>
      </c>
    </row>
    <row r="896" spans="1:14" ht="165">
      <c r="A896" s="3" t="s">
        <v>3975</v>
      </c>
      <c r="B896" s="3" t="s">
        <v>3976</v>
      </c>
      <c r="C896" s="4" t="s">
        <v>6574</v>
      </c>
      <c r="D896" s="3" t="s">
        <v>1536</v>
      </c>
      <c r="E896" s="3" t="s">
        <v>24</v>
      </c>
      <c r="F896" s="3"/>
      <c r="G896" s="3"/>
      <c r="H896" s="3"/>
      <c r="I896" s="3"/>
      <c r="J896" s="3" t="s">
        <v>3977</v>
      </c>
      <c r="K896" s="3" t="s">
        <v>3978</v>
      </c>
      <c r="L896" s="3" t="s">
        <v>3979</v>
      </c>
      <c r="M896" s="3" t="str">
        <f>HYPERLINK("https://ceds.ed.gov/cedselementdetails.aspx?termid=5179")</f>
        <v>https://ceds.ed.gov/cedselementdetails.aspx?termid=5179</v>
      </c>
      <c r="N896" s="3" t="str">
        <f>HYPERLINK("https://ceds.ed.gov/elementComment.aspx?elementName=Limited English Proficiency - Postsecondary &amp;elementID=5179", "Click here to submit comment")</f>
        <v>Click here to submit comment</v>
      </c>
    </row>
    <row r="897" spans="1:14" ht="45">
      <c r="A897" s="3" t="s">
        <v>3980</v>
      </c>
      <c r="B897" s="3" t="s">
        <v>3981</v>
      </c>
      <c r="C897" s="3" t="s">
        <v>13</v>
      </c>
      <c r="D897" s="3" t="s">
        <v>3982</v>
      </c>
      <c r="E897" s="3"/>
      <c r="F897" s="3"/>
      <c r="G897" s="3" t="s">
        <v>73</v>
      </c>
      <c r="H897" s="3"/>
      <c r="I897" s="3"/>
      <c r="J897" s="3" t="s">
        <v>3983</v>
      </c>
      <c r="K897" s="3" t="s">
        <v>3984</v>
      </c>
      <c r="L897" s="3" t="s">
        <v>3985</v>
      </c>
      <c r="M897" s="3" t="str">
        <f>HYPERLINK("https://ceds.ed.gov/cedselementdetails.aspx?termid=6213")</f>
        <v>https://ceds.ed.gov/cedselementdetails.aspx?termid=6213</v>
      </c>
      <c r="N897" s="3" t="str">
        <f>HYPERLINK("https://ceds.ed.gov/elementComment.aspx?elementName=Limited English Proficiency Entry Date &amp;elementID=6213", "Click here to submit comment")</f>
        <v>Click here to submit comment</v>
      </c>
    </row>
    <row r="898" spans="1:14" ht="45">
      <c r="A898" s="3" t="s">
        <v>3986</v>
      </c>
      <c r="B898" s="3" t="s">
        <v>3987</v>
      </c>
      <c r="C898" s="3" t="s">
        <v>13</v>
      </c>
      <c r="D898" s="3" t="s">
        <v>3982</v>
      </c>
      <c r="E898" s="3" t="s">
        <v>218</v>
      </c>
      <c r="F898" s="3"/>
      <c r="G898" s="3" t="s">
        <v>73</v>
      </c>
      <c r="H898" s="3"/>
      <c r="I898" s="3"/>
      <c r="J898" s="3" t="s">
        <v>3988</v>
      </c>
      <c r="K898" s="3" t="s">
        <v>3989</v>
      </c>
      <c r="L898" s="3" t="s">
        <v>3990</v>
      </c>
      <c r="M898" s="3" t="str">
        <f>HYPERLINK("https://ceds.ed.gov/cedselementdetails.aspx?termid=5562")</f>
        <v>https://ceds.ed.gov/cedselementdetails.aspx?termid=5562</v>
      </c>
      <c r="N898" s="3" t="str">
        <f>HYPERLINK("https://ceds.ed.gov/elementComment.aspx?elementName=Limited English Proficiency Exit Date &amp;elementID=5562", "Click here to submit comment")</f>
        <v>Click here to submit comment</v>
      </c>
    </row>
    <row r="899" spans="1:14" ht="409.5">
      <c r="A899" s="3" t="s">
        <v>3991</v>
      </c>
      <c r="B899" s="3" t="s">
        <v>3992</v>
      </c>
      <c r="C899" s="3" t="s">
        <v>5963</v>
      </c>
      <c r="D899" s="3" t="s">
        <v>3982</v>
      </c>
      <c r="E899" s="3" t="s">
        <v>6084</v>
      </c>
      <c r="F899" s="3"/>
      <c r="G899" s="3"/>
      <c r="H899" s="3"/>
      <c r="I899" s="3"/>
      <c r="J899" s="3" t="s">
        <v>3993</v>
      </c>
      <c r="K899" s="3" t="s">
        <v>3994</v>
      </c>
      <c r="L899" s="3" t="s">
        <v>3995</v>
      </c>
      <c r="M899" s="3" t="str">
        <f>HYPERLINK("https://ceds.ed.gov/cedselementdetails.aspx?termid=5180")</f>
        <v>https://ceds.ed.gov/cedselementdetails.aspx?termid=5180</v>
      </c>
      <c r="N899" s="3" t="str">
        <f>HYPERLINK("https://ceds.ed.gov/elementComment.aspx?elementName=Limited English Proficiency Status &amp;elementID=5180", "Click here to submit comment")</f>
        <v>Click here to submit comment</v>
      </c>
    </row>
    <row r="900" spans="1:14" ht="240">
      <c r="A900" s="3" t="s">
        <v>3996</v>
      </c>
      <c r="B900" s="3" t="s">
        <v>3997</v>
      </c>
      <c r="C900" s="4" t="s">
        <v>6575</v>
      </c>
      <c r="D900" s="3" t="s">
        <v>30</v>
      </c>
      <c r="E900" s="3" t="s">
        <v>207</v>
      </c>
      <c r="F900" s="3"/>
      <c r="G900" s="3"/>
      <c r="H900" s="3"/>
      <c r="I900" s="3"/>
      <c r="J900" s="3" t="s">
        <v>3998</v>
      </c>
      <c r="K900" s="3"/>
      <c r="L900" s="3" t="s">
        <v>3999</v>
      </c>
      <c r="M900" s="3" t="str">
        <f>HYPERLINK("https://ceds.ed.gov/cedselementdetails.aspx?termid=5456")</f>
        <v>https://ceds.ed.gov/cedselementdetails.aspx?termid=5456</v>
      </c>
      <c r="N900" s="3" t="str">
        <f>HYPERLINK("https://ceds.ed.gov/elementComment.aspx?elementName=Literacy Assessment Administered Type &amp;elementID=5456", "Click here to submit comment")</f>
        <v>Click here to submit comment</v>
      </c>
    </row>
    <row r="901" spans="1:14" ht="60">
      <c r="A901" s="3" t="s">
        <v>4000</v>
      </c>
      <c r="B901" s="3" t="s">
        <v>4001</v>
      </c>
      <c r="C901" s="3" t="s">
        <v>5963</v>
      </c>
      <c r="D901" s="3" t="s">
        <v>30</v>
      </c>
      <c r="E901" s="3" t="s">
        <v>207</v>
      </c>
      <c r="F901" s="3"/>
      <c r="G901" s="3"/>
      <c r="H901" s="3"/>
      <c r="I901" s="3"/>
      <c r="J901" s="3" t="s">
        <v>4002</v>
      </c>
      <c r="K901" s="3"/>
      <c r="L901" s="3" t="s">
        <v>4003</v>
      </c>
      <c r="M901" s="3" t="str">
        <f>HYPERLINK("https://ceds.ed.gov/cedselementdetails.aspx?termid=5457")</f>
        <v>https://ceds.ed.gov/cedselementdetails.aspx?termid=5457</v>
      </c>
      <c r="N901" s="3" t="str">
        <f>HYPERLINK("https://ceds.ed.gov/elementComment.aspx?elementName=Literacy Goal Met Status &amp;elementID=5457", "Click here to submit comment")</f>
        <v>Click here to submit comment</v>
      </c>
    </row>
    <row r="902" spans="1:14" ht="45">
      <c r="A902" s="3" t="s">
        <v>4004</v>
      </c>
      <c r="B902" s="3" t="s">
        <v>4005</v>
      </c>
      <c r="C902" s="3" t="s">
        <v>5963</v>
      </c>
      <c r="D902" s="3" t="s">
        <v>30</v>
      </c>
      <c r="E902" s="3" t="s">
        <v>207</v>
      </c>
      <c r="F902" s="3"/>
      <c r="G902" s="3"/>
      <c r="H902" s="3"/>
      <c r="I902" s="3"/>
      <c r="J902" s="3" t="s">
        <v>4006</v>
      </c>
      <c r="K902" s="3"/>
      <c r="L902" s="3" t="s">
        <v>4007</v>
      </c>
      <c r="M902" s="3" t="str">
        <f>HYPERLINK("https://ceds.ed.gov/cedselementdetails.aspx?termid=5458")</f>
        <v>https://ceds.ed.gov/cedselementdetails.aspx?termid=5458</v>
      </c>
      <c r="N902" s="3" t="str">
        <f>HYPERLINK("https://ceds.ed.gov/elementComment.aspx?elementName=Literacy Post Test Status &amp;elementID=5458", "Click here to submit comment")</f>
        <v>Click here to submit comment</v>
      </c>
    </row>
    <row r="903" spans="1:14" ht="45">
      <c r="A903" s="3" t="s">
        <v>4008</v>
      </c>
      <c r="B903" s="3" t="s">
        <v>4009</v>
      </c>
      <c r="C903" s="3" t="s">
        <v>5963</v>
      </c>
      <c r="D903" s="3" t="s">
        <v>30</v>
      </c>
      <c r="E903" s="3" t="s">
        <v>207</v>
      </c>
      <c r="F903" s="3"/>
      <c r="G903" s="3"/>
      <c r="H903" s="3"/>
      <c r="I903" s="3"/>
      <c r="J903" s="3" t="s">
        <v>4010</v>
      </c>
      <c r="K903" s="3"/>
      <c r="L903" s="3" t="s">
        <v>4011</v>
      </c>
      <c r="M903" s="3" t="str">
        <f>HYPERLINK("https://ceds.ed.gov/cedselementdetails.aspx?termid=5459")</f>
        <v>https://ceds.ed.gov/cedselementdetails.aspx?termid=5459</v>
      </c>
      <c r="N903" s="3" t="str">
        <f>HYPERLINK("https://ceds.ed.gov/elementComment.aspx?elementName=Literacy Pre Test Status &amp;elementID=5459", "Click here to submit comment")</f>
        <v>Click here to submit comment</v>
      </c>
    </row>
    <row r="904" spans="1:14" ht="60">
      <c r="A904" s="3" t="s">
        <v>4012</v>
      </c>
      <c r="B904" s="3" t="s">
        <v>4013</v>
      </c>
      <c r="C904" s="4" t="s">
        <v>6576</v>
      </c>
      <c r="D904" s="3" t="s">
        <v>2822</v>
      </c>
      <c r="E904" s="3" t="s">
        <v>207</v>
      </c>
      <c r="F904" s="3"/>
      <c r="G904" s="3"/>
      <c r="H904" s="3"/>
      <c r="I904" s="3"/>
      <c r="J904" s="3" t="s">
        <v>4014</v>
      </c>
      <c r="K904" s="3" t="s">
        <v>4015</v>
      </c>
      <c r="L904" s="3" t="s">
        <v>4016</v>
      </c>
      <c r="M904" s="3" t="str">
        <f>HYPERLINK("https://ceds.ed.gov/cedselementdetails.aspx?termid=5441")</f>
        <v>https://ceds.ed.gov/cedselementdetails.aspx?termid=5441</v>
      </c>
      <c r="N904" s="3" t="str">
        <f>HYPERLINK("https://ceds.ed.gov/elementComment.aspx?elementName=Local Education Agency Funds Transfer Type &amp;elementID=5441", "Click here to submit comment")</f>
        <v>Click here to submit comment</v>
      </c>
    </row>
    <row r="905" spans="1:14" ht="375">
      <c r="A905" s="3" t="s">
        <v>4017</v>
      </c>
      <c r="B905" s="3" t="s">
        <v>4018</v>
      </c>
      <c r="C905" s="4" t="s">
        <v>6577</v>
      </c>
      <c r="D905" s="3" t="s">
        <v>6251</v>
      </c>
      <c r="E905" s="3" t="s">
        <v>6252</v>
      </c>
      <c r="F905" s="3"/>
      <c r="G905" s="3"/>
      <c r="H905" s="3"/>
      <c r="I905" s="3"/>
      <c r="J905" s="3" t="s">
        <v>4019</v>
      </c>
      <c r="K905" s="3" t="s">
        <v>4020</v>
      </c>
      <c r="L905" s="3" t="s">
        <v>4021</v>
      </c>
      <c r="M905" s="3" t="str">
        <f>HYPERLINK("https://ceds.ed.gov/cedselementdetails.aspx?termid=5159")</f>
        <v>https://ceds.ed.gov/cedselementdetails.aspx?termid=5159</v>
      </c>
      <c r="N905" s="3" t="str">
        <f>HYPERLINK("https://ceds.ed.gov/elementComment.aspx?elementName=Local Education Agency Identification System &amp;elementID=5159", "Click here to submit comment")</f>
        <v>Click here to submit comment</v>
      </c>
    </row>
    <row r="906" spans="1:14" ht="375">
      <c r="A906" s="3" t="s">
        <v>4022</v>
      </c>
      <c r="B906" s="3" t="s">
        <v>4023</v>
      </c>
      <c r="C906" s="3" t="s">
        <v>13</v>
      </c>
      <c r="D906" s="3" t="s">
        <v>6251</v>
      </c>
      <c r="E906" s="3" t="s">
        <v>6252</v>
      </c>
      <c r="F906" s="3"/>
      <c r="G906" s="3" t="s">
        <v>100</v>
      </c>
      <c r="H906" s="3"/>
      <c r="I906" s="3"/>
      <c r="J906" s="3" t="s">
        <v>4024</v>
      </c>
      <c r="K906" s="3" t="s">
        <v>4025</v>
      </c>
      <c r="L906" s="3" t="s">
        <v>4026</v>
      </c>
      <c r="M906" s="3" t="str">
        <f>HYPERLINK("https://ceds.ed.gov/cedselementdetails.aspx?termid=5153")</f>
        <v>https://ceds.ed.gov/cedselementdetails.aspx?termid=5153</v>
      </c>
      <c r="N906" s="3" t="str">
        <f>HYPERLINK("https://ceds.ed.gov/elementComment.aspx?elementName=Local Education Agency Identifier &amp;elementID=5153", "Click here to submit comment")</f>
        <v>Click here to submit comment</v>
      </c>
    </row>
    <row r="907" spans="1:14" ht="90">
      <c r="A907" s="3" t="s">
        <v>4027</v>
      </c>
      <c r="B907" s="3" t="s">
        <v>4028</v>
      </c>
      <c r="C907" s="4" t="s">
        <v>6578</v>
      </c>
      <c r="D907" s="3" t="s">
        <v>59</v>
      </c>
      <c r="E907" s="3" t="s">
        <v>218</v>
      </c>
      <c r="F907" s="3"/>
      <c r="G907" s="3"/>
      <c r="H907" s="3"/>
      <c r="I907" s="3"/>
      <c r="J907" s="3" t="s">
        <v>4029</v>
      </c>
      <c r="K907" s="3" t="s">
        <v>4030</v>
      </c>
      <c r="L907" s="3" t="s">
        <v>4031</v>
      </c>
      <c r="M907" s="3" t="str">
        <f>HYPERLINK("https://ceds.ed.gov/cedselementdetails.aspx?termid=5173")</f>
        <v>https://ceds.ed.gov/cedselementdetails.aspx?termid=5173</v>
      </c>
      <c r="N907" s="3" t="str">
        <f>HYPERLINK("https://ceds.ed.gov/elementComment.aspx?elementName=Local Education Agency Improvement Status &amp;elementID=5173", "Click here to submit comment")</f>
        <v>Click here to submit comment</v>
      </c>
    </row>
    <row r="908" spans="1:14" ht="135">
      <c r="A908" s="3" t="s">
        <v>4032</v>
      </c>
      <c r="B908" s="3" t="s">
        <v>4033</v>
      </c>
      <c r="C908" s="4" t="s">
        <v>6579</v>
      </c>
      <c r="D908" s="3" t="s">
        <v>4034</v>
      </c>
      <c r="E908" s="3" t="s">
        <v>218</v>
      </c>
      <c r="F908" s="3"/>
      <c r="G908" s="3"/>
      <c r="H908" s="3"/>
      <c r="I908" s="3"/>
      <c r="J908" s="3" t="s">
        <v>4035</v>
      </c>
      <c r="K908" s="3" t="s">
        <v>4036</v>
      </c>
      <c r="L908" s="3" t="s">
        <v>4037</v>
      </c>
      <c r="M908" s="3" t="str">
        <f>HYPERLINK("https://ceds.ed.gov/cedselementdetails.aspx?termid=5174")</f>
        <v>https://ceds.ed.gov/cedselementdetails.aspx?termid=5174</v>
      </c>
      <c r="N908" s="3" t="str">
        <f>HYPERLINK("https://ceds.ed.gov/elementComment.aspx?elementName=Local Education Agency Operational Status &amp;elementID=5174", "Click here to submit comment")</f>
        <v>Click here to submit comment</v>
      </c>
    </row>
    <row r="909" spans="1:14" ht="45">
      <c r="A909" s="3" t="s">
        <v>4038</v>
      </c>
      <c r="B909" s="3" t="s">
        <v>4039</v>
      </c>
      <c r="C909" s="3" t="s">
        <v>13</v>
      </c>
      <c r="D909" s="3" t="s">
        <v>4034</v>
      </c>
      <c r="E909" s="3" t="s">
        <v>218</v>
      </c>
      <c r="F909" s="3"/>
      <c r="G909" s="3" t="s">
        <v>4040</v>
      </c>
      <c r="H909" s="3"/>
      <c r="I909" s="3"/>
      <c r="J909" s="3" t="s">
        <v>4041</v>
      </c>
      <c r="K909" s="3" t="s">
        <v>4042</v>
      </c>
      <c r="L909" s="3" t="s">
        <v>4043</v>
      </c>
      <c r="M909" s="3" t="str">
        <f>HYPERLINK("https://ceds.ed.gov/cedselementdetails.aspx?termid=5175")</f>
        <v>https://ceds.ed.gov/cedselementdetails.aspx?termid=5175</v>
      </c>
      <c r="N909" s="3" t="str">
        <f>HYPERLINK("https://ceds.ed.gov/elementComment.aspx?elementName=Local Education Agency Supervisory Union Identification Number &amp;elementID=5175", "Click here to submit comment")</f>
        <v>Click here to submit comment</v>
      </c>
    </row>
    <row r="910" spans="1:14" ht="60">
      <c r="A910" s="3" t="s">
        <v>4044</v>
      </c>
      <c r="B910" s="3" t="s">
        <v>4045</v>
      </c>
      <c r="C910" s="3" t="s">
        <v>5963</v>
      </c>
      <c r="D910" s="3" t="s">
        <v>2822</v>
      </c>
      <c r="E910" s="3" t="s">
        <v>207</v>
      </c>
      <c r="F910" s="3"/>
      <c r="G910" s="3"/>
      <c r="H910" s="3"/>
      <c r="I910" s="3"/>
      <c r="J910" s="3" t="s">
        <v>4046</v>
      </c>
      <c r="K910" s="3" t="s">
        <v>4047</v>
      </c>
      <c r="L910" s="3" t="s">
        <v>4048</v>
      </c>
      <c r="M910" s="3" t="str">
        <f>HYPERLINK("https://ceds.ed.gov/cedselementdetails.aspx?termid=5436")</f>
        <v>https://ceds.ed.gov/cedselementdetails.aspx?termid=5436</v>
      </c>
      <c r="N910" s="3" t="str">
        <f>HYPERLINK("https://ceds.ed.gov/elementComment.aspx?elementName=Local Education Agency Transferability of Funds &amp;elementID=5436", "Click here to submit comment")</f>
        <v>Click here to submit comment</v>
      </c>
    </row>
    <row r="911" spans="1:14" ht="225">
      <c r="A911" s="3" t="s">
        <v>4049</v>
      </c>
      <c r="B911" s="3" t="s">
        <v>4050</v>
      </c>
      <c r="C911" s="4" t="s">
        <v>6580</v>
      </c>
      <c r="D911" s="3" t="s">
        <v>4034</v>
      </c>
      <c r="E911" s="3" t="s">
        <v>218</v>
      </c>
      <c r="F911" s="3"/>
      <c r="G911" s="3"/>
      <c r="H911" s="3"/>
      <c r="I911" s="3"/>
      <c r="J911" s="3" t="s">
        <v>4051</v>
      </c>
      <c r="K911" s="3"/>
      <c r="L911" s="3" t="s">
        <v>4052</v>
      </c>
      <c r="M911" s="3" t="str">
        <f>HYPERLINK("https://ceds.ed.gov/cedselementdetails.aspx?termid=5528")</f>
        <v>https://ceds.ed.gov/cedselementdetails.aspx?termid=5528</v>
      </c>
      <c r="N911" s="3" t="str">
        <f>HYPERLINK("https://ceds.ed.gov/elementComment.aspx?elementName=Local Education Agency Type &amp;elementID=5528", "Click here to submit comment")</f>
        <v>Click here to submit comment</v>
      </c>
    </row>
    <row r="912" spans="1:14" ht="75">
      <c r="A912" s="3" t="s">
        <v>4053</v>
      </c>
      <c r="B912" s="3" t="s">
        <v>4054</v>
      </c>
      <c r="C912" s="3" t="s">
        <v>13</v>
      </c>
      <c r="D912" s="3" t="s">
        <v>6218</v>
      </c>
      <c r="E912" s="3"/>
      <c r="F912" s="3"/>
      <c r="G912" s="3" t="s">
        <v>1127</v>
      </c>
      <c r="H912" s="3"/>
      <c r="I912" s="3"/>
      <c r="J912" s="3" t="s">
        <v>4055</v>
      </c>
      <c r="K912" s="3"/>
      <c r="L912" s="3" t="s">
        <v>4053</v>
      </c>
      <c r="M912" s="3" t="str">
        <f>HYPERLINK("https://ceds.ed.gov/cedselementdetails.aspx?termid=5600")</f>
        <v>https://ceds.ed.gov/cedselementdetails.aspx?termid=5600</v>
      </c>
      <c r="N912" s="3" t="str">
        <f>HYPERLINK("https://ceds.ed.gov/elementComment.aspx?elementName=Longitude &amp;elementID=5600", "Click here to submit comment")</f>
        <v>Click here to submit comment</v>
      </c>
    </row>
    <row r="913" spans="1:14" ht="180">
      <c r="A913" s="3" t="s">
        <v>4056</v>
      </c>
      <c r="B913" s="3" t="s">
        <v>4057</v>
      </c>
      <c r="C913" s="3" t="s">
        <v>5963</v>
      </c>
      <c r="D913" s="3" t="s">
        <v>2248</v>
      </c>
      <c r="E913" s="3"/>
      <c r="F913" s="3"/>
      <c r="G913" s="3"/>
      <c r="H913" s="3"/>
      <c r="I913" s="3"/>
      <c r="J913" s="3" t="s">
        <v>4058</v>
      </c>
      <c r="K913" s="3"/>
      <c r="L913" s="3" t="s">
        <v>4059</v>
      </c>
      <c r="M913" s="3" t="str">
        <f>HYPERLINK("https://ceds.ed.gov/cedselementdetails.aspx?termid=5758")</f>
        <v>https://ceds.ed.gov/cedselementdetails.aspx?termid=5758</v>
      </c>
      <c r="N913" s="3" t="str">
        <f>HYPERLINK("https://ceds.ed.gov/elementComment.aspx?elementName=Low-income Status &amp;elementID=5758", "Click here to submit comment")</f>
        <v>Click here to submit comment</v>
      </c>
    </row>
    <row r="914" spans="1:14" ht="135">
      <c r="A914" s="3" t="s">
        <v>4060</v>
      </c>
      <c r="B914" s="3" t="s">
        <v>4061</v>
      </c>
      <c r="C914" s="4" t="s">
        <v>6581</v>
      </c>
      <c r="D914" s="3" t="s">
        <v>224</v>
      </c>
      <c r="E914" s="3" t="s">
        <v>5968</v>
      </c>
      <c r="F914" s="3"/>
      <c r="G914" s="3"/>
      <c r="H914" s="3"/>
      <c r="I914" s="3"/>
      <c r="J914" s="3" t="s">
        <v>4062</v>
      </c>
      <c r="K914" s="3"/>
      <c r="L914" s="3" t="s">
        <v>4063</v>
      </c>
      <c r="M914" s="3" t="str">
        <f>HYPERLINK("https://ceds.ed.gov/cedselementdetails.aspx?termid=5181")</f>
        <v>https://ceds.ed.gov/cedselementdetails.aspx?termid=5181</v>
      </c>
      <c r="N914" s="3" t="str">
        <f>HYPERLINK("https://ceds.ed.gov/elementComment.aspx?elementName=Magnet or Special Program Emphasis School &amp;elementID=5181", "Click here to submit comment")</f>
        <v>Click here to submit comment</v>
      </c>
    </row>
    <row r="915" spans="1:14" ht="90">
      <c r="A915" s="3" t="s">
        <v>4064</v>
      </c>
      <c r="B915" s="3" t="s">
        <v>4065</v>
      </c>
      <c r="C915" s="3" t="s">
        <v>13</v>
      </c>
      <c r="D915" s="3" t="s">
        <v>4066</v>
      </c>
      <c r="E915" s="3" t="s">
        <v>5968</v>
      </c>
      <c r="F915" s="3"/>
      <c r="G915" s="3" t="s">
        <v>100</v>
      </c>
      <c r="H915" s="3"/>
      <c r="I915" s="3"/>
      <c r="J915" s="3" t="s">
        <v>4067</v>
      </c>
      <c r="K915" s="3"/>
      <c r="L915" s="3" t="s">
        <v>4068</v>
      </c>
      <c r="M915" s="3" t="str">
        <f>HYPERLINK("https://ceds.ed.gov/cedselementdetails.aspx?termid=5182")</f>
        <v>https://ceds.ed.gov/cedselementdetails.aspx?termid=5182</v>
      </c>
      <c r="N915" s="3" t="str">
        <f>HYPERLINK("https://ceds.ed.gov/elementComment.aspx?elementName=Marking Period Name &amp;elementID=5182", "Click here to submit comment")</f>
        <v>Click here to submit comment</v>
      </c>
    </row>
    <row r="916" spans="1:14" ht="60">
      <c r="A916" s="3" t="s">
        <v>4069</v>
      </c>
      <c r="B916" s="3" t="s">
        <v>4070</v>
      </c>
      <c r="C916" s="3" t="s">
        <v>6253</v>
      </c>
      <c r="D916" s="3" t="s">
        <v>4071</v>
      </c>
      <c r="E916" s="3" t="s">
        <v>1480</v>
      </c>
      <c r="F916" s="3"/>
      <c r="G916" s="3"/>
      <c r="H916" s="3"/>
      <c r="I916" s="3"/>
      <c r="J916" s="3" t="s">
        <v>4072</v>
      </c>
      <c r="K916" s="3"/>
      <c r="L916" s="3" t="s">
        <v>4073</v>
      </c>
      <c r="M916" s="3" t="str">
        <f>HYPERLINK("https://ceds.ed.gov/cedselementdetails.aspx?termid=5429")</f>
        <v>https://ceds.ed.gov/cedselementdetails.aspx?termid=5429</v>
      </c>
      <c r="N916" s="3" t="str">
        <f>HYPERLINK("https://ceds.ed.gov/elementComment.aspx?elementName=Medical Alert Indicator &amp;elementID=5429", "Click here to submit comment")</f>
        <v>Click here to submit comment</v>
      </c>
    </row>
    <row r="917" spans="1:14" ht="180">
      <c r="A917" s="3" t="s">
        <v>4074</v>
      </c>
      <c r="B917" s="3" t="s">
        <v>4075</v>
      </c>
      <c r="C917" s="3" t="s">
        <v>5963</v>
      </c>
      <c r="D917" s="3" t="s">
        <v>35</v>
      </c>
      <c r="E917" s="3" t="s">
        <v>36</v>
      </c>
      <c r="F917" s="3"/>
      <c r="G917" s="3"/>
      <c r="H917" s="3"/>
      <c r="I917" s="3" t="s">
        <v>2630</v>
      </c>
      <c r="J917" s="3" t="s">
        <v>4076</v>
      </c>
      <c r="K917" s="3"/>
      <c r="L917" s="3" t="s">
        <v>4077</v>
      </c>
      <c r="M917" s="3" t="str">
        <f>HYPERLINK("https://ceds.ed.gov/cedselementdetails.aspx?termid=5710")</f>
        <v>https://ceds.ed.gov/cedselementdetails.aspx?termid=5710</v>
      </c>
      <c r="N917" s="3" t="str">
        <f>HYPERLINK("https://ceds.ed.gov/elementComment.aspx?elementName=Medical School Staff Status &amp;elementID=5710", "Click here to submit comment")</f>
        <v>Click here to submit comment</v>
      </c>
    </row>
    <row r="918" spans="1:14" ht="45">
      <c r="A918" s="3" t="s">
        <v>4078</v>
      </c>
      <c r="B918" s="3" t="s">
        <v>4079</v>
      </c>
      <c r="C918" s="3" t="s">
        <v>6254</v>
      </c>
      <c r="D918" s="3" t="s">
        <v>4080</v>
      </c>
      <c r="E918" s="3"/>
      <c r="F918" s="3" t="s">
        <v>54</v>
      </c>
      <c r="G918" s="3" t="s">
        <v>106</v>
      </c>
      <c r="H918" s="3"/>
      <c r="I918" s="3"/>
      <c r="J918" s="3" t="s">
        <v>4081</v>
      </c>
      <c r="K918" s="3"/>
      <c r="L918" s="3" t="s">
        <v>4082</v>
      </c>
      <c r="M918" s="3" t="str">
        <f>HYPERLINK("https://ceds.ed.gov/cedselementdetails.aspx?termid=6482")</f>
        <v>https://ceds.ed.gov/cedselementdetails.aspx?termid=6482</v>
      </c>
      <c r="N918" s="3" t="str">
        <f>HYPERLINK("https://ceds.ed.gov/elementComment.aspx?elementName=Method of Service Delivery &amp;elementID=6482", "Click here to submit comment")</f>
        <v>Click here to submit comment</v>
      </c>
    </row>
    <row r="919" spans="1:14" ht="90">
      <c r="A919" s="3" t="s">
        <v>4083</v>
      </c>
      <c r="B919" s="3" t="s">
        <v>4084</v>
      </c>
      <c r="C919" s="3" t="s">
        <v>13</v>
      </c>
      <c r="D919" s="3" t="s">
        <v>4066</v>
      </c>
      <c r="E919" s="3" t="s">
        <v>5968</v>
      </c>
      <c r="F919" s="3"/>
      <c r="G919" s="3" t="s">
        <v>4085</v>
      </c>
      <c r="H919" s="3"/>
      <c r="I919" s="3"/>
      <c r="J919" s="3" t="s">
        <v>4086</v>
      </c>
      <c r="K919" s="3"/>
      <c r="L919" s="3" t="s">
        <v>4087</v>
      </c>
      <c r="M919" s="3" t="str">
        <f>HYPERLINK("https://ceds.ed.gov/cedselementdetails.aspx?termid=5183")</f>
        <v>https://ceds.ed.gov/cedselementdetails.aspx?termid=5183</v>
      </c>
      <c r="N919" s="3" t="str">
        <f>HYPERLINK("https://ceds.ed.gov/elementComment.aspx?elementName=Mid Term Mark &amp;elementID=5183", "Click here to submit comment")</f>
        <v>Click here to submit comment</v>
      </c>
    </row>
    <row r="920" spans="1:14" ht="409.5">
      <c r="A920" s="3" t="s">
        <v>4088</v>
      </c>
      <c r="B920" s="3" t="s">
        <v>4089</v>
      </c>
      <c r="C920" s="3" t="s">
        <v>13</v>
      </c>
      <c r="D920" s="3" t="s">
        <v>6217</v>
      </c>
      <c r="E920" s="3" t="s">
        <v>6176</v>
      </c>
      <c r="F920" s="3" t="s">
        <v>3</v>
      </c>
      <c r="G920" s="3" t="s">
        <v>1368</v>
      </c>
      <c r="H920" s="3"/>
      <c r="I920" s="3" t="s">
        <v>2778</v>
      </c>
      <c r="J920" s="3" t="s">
        <v>4090</v>
      </c>
      <c r="K920" s="3"/>
      <c r="L920" s="3" t="s">
        <v>4091</v>
      </c>
      <c r="M920" s="3" t="str">
        <f>HYPERLINK("https://ceds.ed.gov/cedselementdetails.aspx?termid=5184")</f>
        <v>https://ceds.ed.gov/cedselementdetails.aspx?termid=5184</v>
      </c>
      <c r="N920" s="3" t="str">
        <f>HYPERLINK("https://ceds.ed.gov/elementComment.aspx?elementName=Middle Name &amp;elementID=5184", "Click here to submit comment")</f>
        <v>Click here to submit comment</v>
      </c>
    </row>
    <row r="921" spans="1:14" ht="75">
      <c r="A921" s="3" t="s">
        <v>4092</v>
      </c>
      <c r="B921" s="3" t="s">
        <v>4093</v>
      </c>
      <c r="C921" s="3" t="s">
        <v>5963</v>
      </c>
      <c r="D921" s="3" t="s">
        <v>1479</v>
      </c>
      <c r="E921" s="3" t="s">
        <v>218</v>
      </c>
      <c r="F921" s="3"/>
      <c r="G921" s="3"/>
      <c r="H921" s="3"/>
      <c r="I921" s="3"/>
      <c r="J921" s="3" t="s">
        <v>4094</v>
      </c>
      <c r="K921" s="3" t="s">
        <v>4095</v>
      </c>
      <c r="L921" s="3" t="s">
        <v>4096</v>
      </c>
      <c r="M921" s="3" t="str">
        <f>HYPERLINK("https://ceds.ed.gov/cedselementdetails.aspx?termid=5555")</f>
        <v>https://ceds.ed.gov/cedselementdetails.aspx?termid=5555</v>
      </c>
      <c r="N921" s="3" t="str">
        <f>HYPERLINK("https://ceds.ed.gov/elementComment.aspx?elementName=Migrant Education Program Continuation of Services Status &amp;elementID=5555", "Click here to submit comment")</f>
        <v>Click here to submit comment</v>
      </c>
    </row>
    <row r="922" spans="1:14" ht="120">
      <c r="A922" s="3" t="s">
        <v>4097</v>
      </c>
      <c r="B922" s="3" t="s">
        <v>4098</v>
      </c>
      <c r="C922" s="3" t="s">
        <v>13</v>
      </c>
      <c r="D922" s="3" t="s">
        <v>1479</v>
      </c>
      <c r="E922" s="3" t="s">
        <v>1480</v>
      </c>
      <c r="F922" s="3"/>
      <c r="G922" s="3" t="s">
        <v>73</v>
      </c>
      <c r="H922" s="3"/>
      <c r="I922" s="3"/>
      <c r="J922" s="3" t="s">
        <v>4099</v>
      </c>
      <c r="K922" s="3" t="s">
        <v>4100</v>
      </c>
      <c r="L922" s="3" t="s">
        <v>4101</v>
      </c>
      <c r="M922" s="3" t="str">
        <f>HYPERLINK("https://ceds.ed.gov/cedselementdetails.aspx?termid=5420")</f>
        <v>https://ceds.ed.gov/cedselementdetails.aspx?termid=5420</v>
      </c>
      <c r="N922" s="3" t="str">
        <f>HYPERLINK("https://ceds.ed.gov/elementComment.aspx?elementName=Migrant Education Program Eligibility Expiration Date &amp;elementID=5420", "Click here to submit comment")</f>
        <v>Click here to submit comment</v>
      </c>
    </row>
    <row r="923" spans="1:14" ht="150">
      <c r="A923" s="3" t="s">
        <v>4102</v>
      </c>
      <c r="B923" s="3" t="s">
        <v>4103</v>
      </c>
      <c r="C923" s="4" t="s">
        <v>6582</v>
      </c>
      <c r="D923" s="3" t="s">
        <v>1479</v>
      </c>
      <c r="E923" s="3" t="s">
        <v>1480</v>
      </c>
      <c r="F923" s="3"/>
      <c r="G923" s="3"/>
      <c r="H923" s="3"/>
      <c r="I923" s="3"/>
      <c r="J923" s="3" t="s">
        <v>4104</v>
      </c>
      <c r="K923" s="3" t="s">
        <v>4105</v>
      </c>
      <c r="L923" s="3" t="s">
        <v>4106</v>
      </c>
      <c r="M923" s="3" t="str">
        <f>HYPERLINK("https://ceds.ed.gov/cedselementdetails.aspx?termid=5427")</f>
        <v>https://ceds.ed.gov/cedselementdetails.aspx?termid=5427</v>
      </c>
      <c r="N923" s="3" t="str">
        <f>HYPERLINK("https://ceds.ed.gov/elementComment.aspx?elementName=Migrant Education Program Enrollment Type &amp;elementID=5427", "Click here to submit comment")</f>
        <v>Click here to submit comment</v>
      </c>
    </row>
    <row r="924" spans="1:14" ht="45">
      <c r="A924" s="3" t="s">
        <v>4107</v>
      </c>
      <c r="B924" s="3" t="s">
        <v>4108</v>
      </c>
      <c r="C924" s="3" t="s">
        <v>5963</v>
      </c>
      <c r="D924" s="3" t="s">
        <v>1479</v>
      </c>
      <c r="E924" s="3" t="s">
        <v>218</v>
      </c>
      <c r="F924" s="3"/>
      <c r="G924" s="3"/>
      <c r="H924" s="3"/>
      <c r="I924" s="3"/>
      <c r="J924" s="3" t="s">
        <v>4109</v>
      </c>
      <c r="K924" s="3" t="s">
        <v>4110</v>
      </c>
      <c r="L924" s="3" t="s">
        <v>4111</v>
      </c>
      <c r="M924" s="3" t="str">
        <f>HYPERLINK("https://ceds.ed.gov/cedselementdetails.aspx?termid=5185")</f>
        <v>https://ceds.ed.gov/cedselementdetails.aspx?termid=5185</v>
      </c>
      <c r="N924" s="3" t="str">
        <f>HYPERLINK("https://ceds.ed.gov/elementComment.aspx?elementName=Migrant Education Program Participation Status &amp;elementID=5185", "Click here to submit comment")</f>
        <v>Click here to submit comment</v>
      </c>
    </row>
    <row r="925" spans="1:14" ht="60">
      <c r="A925" s="3" t="s">
        <v>4112</v>
      </c>
      <c r="B925" s="3" t="s">
        <v>4113</v>
      </c>
      <c r="C925" s="3" t="s">
        <v>5963</v>
      </c>
      <c r="D925" s="3" t="s">
        <v>1779</v>
      </c>
      <c r="E925" s="3" t="s">
        <v>218</v>
      </c>
      <c r="F925" s="3"/>
      <c r="G925" s="3"/>
      <c r="H925" s="3"/>
      <c r="I925" s="3"/>
      <c r="J925" s="3" t="s">
        <v>4114</v>
      </c>
      <c r="K925" s="3" t="s">
        <v>4115</v>
      </c>
      <c r="L925" s="3" t="s">
        <v>4116</v>
      </c>
      <c r="M925" s="3" t="str">
        <f>HYPERLINK("https://ceds.ed.gov/cedselementdetails.aspx?termid=5534")</f>
        <v>https://ceds.ed.gov/cedselementdetails.aspx?termid=5534</v>
      </c>
      <c r="N925" s="3" t="str">
        <f>HYPERLINK("https://ceds.ed.gov/elementComment.aspx?elementName=Migrant Education Program Personnel Indicator &amp;elementID=5534", "Click here to submit comment")</f>
        <v>Click here to submit comment</v>
      </c>
    </row>
    <row r="926" spans="1:14" ht="75">
      <c r="A926" s="3" t="s">
        <v>4117</v>
      </c>
      <c r="B926" s="3" t="s">
        <v>4118</v>
      </c>
      <c r="C926" s="4" t="s">
        <v>6583</v>
      </c>
      <c r="D926" s="3" t="s">
        <v>1479</v>
      </c>
      <c r="E926" s="3" t="s">
        <v>1480</v>
      </c>
      <c r="F926" s="3"/>
      <c r="G926" s="3"/>
      <c r="H926" s="3"/>
      <c r="I926" s="3"/>
      <c r="J926" s="3" t="s">
        <v>4119</v>
      </c>
      <c r="K926" s="3" t="s">
        <v>4120</v>
      </c>
      <c r="L926" s="3" t="s">
        <v>4121</v>
      </c>
      <c r="M926" s="3" t="str">
        <f>HYPERLINK("https://ceds.ed.gov/cedselementdetails.aspx?termid=5430")</f>
        <v>https://ceds.ed.gov/cedselementdetails.aspx?termid=5430</v>
      </c>
      <c r="N926" s="3" t="str">
        <f>HYPERLINK("https://ceds.ed.gov/elementComment.aspx?elementName=Migrant Education Program Project Based &amp;elementID=5430", "Click here to submit comment")</f>
        <v>Click here to submit comment</v>
      </c>
    </row>
    <row r="927" spans="1:14" ht="120">
      <c r="A927" s="3" t="s">
        <v>4122</v>
      </c>
      <c r="B927" s="3" t="s">
        <v>4123</v>
      </c>
      <c r="C927" s="4" t="s">
        <v>6584</v>
      </c>
      <c r="D927" s="3" t="s">
        <v>3399</v>
      </c>
      <c r="E927" s="3" t="s">
        <v>207</v>
      </c>
      <c r="F927" s="3"/>
      <c r="G927" s="3"/>
      <c r="H927" s="3"/>
      <c r="I927" s="3"/>
      <c r="J927" s="3" t="s">
        <v>4124</v>
      </c>
      <c r="K927" s="3" t="s">
        <v>4125</v>
      </c>
      <c r="L927" s="3" t="s">
        <v>4126</v>
      </c>
      <c r="M927" s="3" t="str">
        <f>HYPERLINK("https://ceds.ed.gov/cedselementdetails.aspx?termid=5453")</f>
        <v>https://ceds.ed.gov/cedselementdetails.aspx?termid=5453</v>
      </c>
      <c r="N927" s="3" t="str">
        <f>HYPERLINK("https://ceds.ed.gov/elementComment.aspx?elementName=Migrant Education Program Project Type &amp;elementID=5453", "Click here to submit comment")</f>
        <v>Click here to submit comment</v>
      </c>
    </row>
    <row r="928" spans="1:14" ht="195">
      <c r="A928" s="3" t="s">
        <v>4127</v>
      </c>
      <c r="B928" s="3" t="s">
        <v>4128</v>
      </c>
      <c r="C928" s="4" t="s">
        <v>6585</v>
      </c>
      <c r="D928" s="3" t="s">
        <v>1479</v>
      </c>
      <c r="E928" s="3" t="s">
        <v>218</v>
      </c>
      <c r="F928" s="3"/>
      <c r="G928" s="3"/>
      <c r="H928" s="3"/>
      <c r="I928" s="3"/>
      <c r="J928" s="3" t="s">
        <v>4129</v>
      </c>
      <c r="K928" s="3" t="s">
        <v>4130</v>
      </c>
      <c r="L928" s="3" t="s">
        <v>4131</v>
      </c>
      <c r="M928" s="3" t="str">
        <f>HYPERLINK("https://ceds.ed.gov/cedselementdetails.aspx?termid=5186")</f>
        <v>https://ceds.ed.gov/cedselementdetails.aspx?termid=5186</v>
      </c>
      <c r="N928" s="3" t="str">
        <f>HYPERLINK("https://ceds.ed.gov/elementComment.aspx?elementName=Migrant Education Program Services Type &amp;elementID=5186", "Click here to submit comment")</f>
        <v>Click here to submit comment</v>
      </c>
    </row>
    <row r="929" spans="1:14" ht="75">
      <c r="A929" s="3" t="s">
        <v>4132</v>
      </c>
      <c r="B929" s="3" t="s">
        <v>4133</v>
      </c>
      <c r="C929" s="4" t="s">
        <v>6586</v>
      </c>
      <c r="D929" s="3" t="s">
        <v>3399</v>
      </c>
      <c r="E929" s="3" t="s">
        <v>218</v>
      </c>
      <c r="F929" s="3"/>
      <c r="G929" s="3"/>
      <c r="H929" s="3"/>
      <c r="I929" s="3"/>
      <c r="J929" s="3" t="s">
        <v>4134</v>
      </c>
      <c r="K929" s="3" t="s">
        <v>4135</v>
      </c>
      <c r="L929" s="3" t="s">
        <v>4136</v>
      </c>
      <c r="M929" s="3" t="str">
        <f>HYPERLINK("https://ceds.ed.gov/cedselementdetails.aspx?termid=5187")</f>
        <v>https://ceds.ed.gov/cedselementdetails.aspx?termid=5187</v>
      </c>
      <c r="N929" s="3" t="str">
        <f>HYPERLINK("https://ceds.ed.gov/elementComment.aspx?elementName=Migrant Education Program Session Type &amp;elementID=5187", "Click here to submit comment")</f>
        <v>Click here to submit comment</v>
      </c>
    </row>
    <row r="930" spans="1:14" ht="120">
      <c r="A930" s="3" t="s">
        <v>4137</v>
      </c>
      <c r="B930" s="3" t="s">
        <v>4138</v>
      </c>
      <c r="C930" s="4" t="s">
        <v>6587</v>
      </c>
      <c r="D930" s="3" t="s">
        <v>1723</v>
      </c>
      <c r="E930" s="3" t="s">
        <v>218</v>
      </c>
      <c r="F930" s="3"/>
      <c r="G930" s="3"/>
      <c r="H930" s="3"/>
      <c r="I930" s="3" t="s">
        <v>4139</v>
      </c>
      <c r="J930" s="3" t="s">
        <v>4140</v>
      </c>
      <c r="K930" s="3" t="s">
        <v>4141</v>
      </c>
      <c r="L930" s="3" t="s">
        <v>4142</v>
      </c>
      <c r="M930" s="3" t="str">
        <f>HYPERLINK("https://ceds.ed.gov/cedselementdetails.aspx?termid=5188")</f>
        <v>https://ceds.ed.gov/cedselementdetails.aspx?termid=5188</v>
      </c>
      <c r="N930" s="3" t="str">
        <f>HYPERLINK("https://ceds.ed.gov/elementComment.aspx?elementName=Migrant Education Program Staff Category &amp;elementID=5188", "Click here to submit comment")</f>
        <v>Click here to submit comment</v>
      </c>
    </row>
    <row r="931" spans="1:14" ht="120">
      <c r="A931" s="3" t="s">
        <v>4143</v>
      </c>
      <c r="B931" s="3" t="s">
        <v>4144</v>
      </c>
      <c r="C931" s="3" t="s">
        <v>5963</v>
      </c>
      <c r="D931" s="3" t="s">
        <v>1479</v>
      </c>
      <c r="E931" s="3" t="s">
        <v>218</v>
      </c>
      <c r="F931" s="3"/>
      <c r="G931" s="3"/>
      <c r="H931" s="3"/>
      <c r="I931" s="3"/>
      <c r="J931" s="3" t="s">
        <v>4145</v>
      </c>
      <c r="K931" s="3"/>
      <c r="L931" s="3" t="s">
        <v>4146</v>
      </c>
      <c r="M931" s="3" t="str">
        <f>HYPERLINK("https://ceds.ed.gov/cedselementdetails.aspx?termid=5554")</f>
        <v>https://ceds.ed.gov/cedselementdetails.aspx?termid=5554</v>
      </c>
      <c r="N931" s="3" t="str">
        <f>HYPERLINK("https://ceds.ed.gov/elementComment.aspx?elementName=Migrant Prioritized for Services &amp;elementID=5554", "Click here to submit comment")</f>
        <v>Click here to submit comment</v>
      </c>
    </row>
    <row r="932" spans="1:14" ht="270">
      <c r="A932" s="3" t="s">
        <v>4147</v>
      </c>
      <c r="B932" s="3" t="s">
        <v>4148</v>
      </c>
      <c r="C932" s="3" t="s">
        <v>5963</v>
      </c>
      <c r="D932" s="3" t="s">
        <v>6255</v>
      </c>
      <c r="E932" s="3" t="s">
        <v>6084</v>
      </c>
      <c r="F932" s="3" t="s">
        <v>3</v>
      </c>
      <c r="G932" s="3"/>
      <c r="H932" s="3"/>
      <c r="I932" s="3"/>
      <c r="J932" s="3" t="s">
        <v>4149</v>
      </c>
      <c r="K932" s="3"/>
      <c r="L932" s="3" t="s">
        <v>4150</v>
      </c>
      <c r="M932" s="3" t="str">
        <f>HYPERLINK("https://ceds.ed.gov/cedselementdetails.aspx?termid=5189")</f>
        <v>https://ceds.ed.gov/cedselementdetails.aspx?termid=5189</v>
      </c>
      <c r="N932" s="3" t="str">
        <f>HYPERLINK("https://ceds.ed.gov/elementComment.aspx?elementName=Migrant Status &amp;elementID=5189", "Click here to submit comment")</f>
        <v>Click here to submit comment</v>
      </c>
    </row>
    <row r="933" spans="1:14" ht="195">
      <c r="A933" s="3" t="s">
        <v>4151</v>
      </c>
      <c r="B933" s="3" t="s">
        <v>4152</v>
      </c>
      <c r="C933" s="3" t="s">
        <v>13</v>
      </c>
      <c r="D933" s="3" t="s">
        <v>1479</v>
      </c>
      <c r="E933" s="3" t="s">
        <v>1480</v>
      </c>
      <c r="F933" s="3"/>
      <c r="G933" s="3" t="s">
        <v>73</v>
      </c>
      <c r="H933" s="3"/>
      <c r="I933" s="3"/>
      <c r="J933" s="3" t="s">
        <v>4153</v>
      </c>
      <c r="K933" s="3"/>
      <c r="L933" s="3" t="s">
        <v>4154</v>
      </c>
      <c r="M933" s="3" t="str">
        <f>HYPERLINK("https://ceds.ed.gov/cedselementdetails.aspx?termid=5422")</f>
        <v>https://ceds.ed.gov/cedselementdetails.aspx?termid=5422</v>
      </c>
      <c r="N933" s="3" t="str">
        <f>HYPERLINK("https://ceds.ed.gov/elementComment.aspx?elementName=Migrant Student Qualifying Arrival Date &amp;elementID=5422", "Click here to submit comment")</f>
        <v>Click here to submit comment</v>
      </c>
    </row>
    <row r="934" spans="1:14" ht="210">
      <c r="A934" s="3" t="s">
        <v>4155</v>
      </c>
      <c r="B934" s="3" t="s">
        <v>4156</v>
      </c>
      <c r="C934" s="3" t="s">
        <v>5963</v>
      </c>
      <c r="D934" s="3" t="s">
        <v>2483</v>
      </c>
      <c r="E934" s="3"/>
      <c r="F934" s="3" t="s">
        <v>54</v>
      </c>
      <c r="G934" s="3"/>
      <c r="H934" s="3"/>
      <c r="I934" s="3" t="s">
        <v>4157</v>
      </c>
      <c r="J934" s="3" t="s">
        <v>4158</v>
      </c>
      <c r="K934" s="3"/>
      <c r="L934" s="3" t="s">
        <v>4159</v>
      </c>
      <c r="M934" s="3" t="str">
        <f>HYPERLINK("https://ceds.ed.gov/cedselementdetails.aspx?termid=6381")</f>
        <v>https://ceds.ed.gov/cedselementdetails.aspx?termid=6381</v>
      </c>
      <c r="N934" s="3" t="str">
        <f>HYPERLINK("https://ceds.ed.gov/elementComment.aspx?elementName=Military Enlistment After Exit &amp;elementID=6381", "Click here to submit comment")</f>
        <v>Click here to submit comment</v>
      </c>
    </row>
    <row r="935" spans="1:14" ht="30">
      <c r="A935" s="3" t="s">
        <v>4160</v>
      </c>
      <c r="B935" s="3" t="s">
        <v>4161</v>
      </c>
      <c r="C935" s="3" t="s">
        <v>13</v>
      </c>
      <c r="D935" s="3" t="s">
        <v>2116</v>
      </c>
      <c r="E935" s="3"/>
      <c r="F935" s="3"/>
      <c r="G935" s="3" t="s">
        <v>308</v>
      </c>
      <c r="H935" s="3"/>
      <c r="I935" s="3"/>
      <c r="J935" s="3" t="s">
        <v>4162</v>
      </c>
      <c r="K935" s="3"/>
      <c r="L935" s="3" t="s">
        <v>4163</v>
      </c>
      <c r="M935" s="3" t="str">
        <f>HYPERLINK("https://ceds.ed.gov/cedselementdetails.aspx?termid=5491")</f>
        <v>https://ceds.ed.gov/cedselementdetails.aspx?termid=5491</v>
      </c>
      <c r="N935" s="3" t="str">
        <f>HYPERLINK("https://ceds.ed.gov/elementComment.aspx?elementName=Minutes Per Day &amp;elementID=5491", "Click here to submit comment")</f>
        <v>Click here to submit comment</v>
      </c>
    </row>
    <row r="936" spans="1:14" ht="30">
      <c r="A936" s="3" t="s">
        <v>4164</v>
      </c>
      <c r="B936" s="3" t="s">
        <v>4165</v>
      </c>
      <c r="C936" s="3" t="s">
        <v>13</v>
      </c>
      <c r="D936" s="3" t="s">
        <v>4166</v>
      </c>
      <c r="E936" s="3"/>
      <c r="F936" s="3" t="s">
        <v>54</v>
      </c>
      <c r="G936" s="3" t="s">
        <v>73</v>
      </c>
      <c r="H936" s="3"/>
      <c r="I936" s="3"/>
      <c r="J936" s="3" t="s">
        <v>4167</v>
      </c>
      <c r="K936" s="3"/>
      <c r="L936" s="3" t="s">
        <v>4168</v>
      </c>
      <c r="M936" s="3" t="str">
        <f>HYPERLINK("https://ceds.ed.gov/cedselementdetails.aspx?termid=6298")</f>
        <v>https://ceds.ed.gov/cedselementdetails.aspx?termid=6298</v>
      </c>
      <c r="N936" s="3" t="str">
        <f>HYPERLINK("https://ceds.ed.gov/elementComment.aspx?elementName=Monitoring Visit End Date &amp;elementID=6298", "Click here to submit comment")</f>
        <v>Click here to submit comment</v>
      </c>
    </row>
    <row r="937" spans="1:14" ht="30">
      <c r="A937" s="3" t="s">
        <v>4169</v>
      </c>
      <c r="B937" s="3" t="s">
        <v>4170</v>
      </c>
      <c r="C937" s="3" t="s">
        <v>13</v>
      </c>
      <c r="D937" s="3" t="s">
        <v>4166</v>
      </c>
      <c r="E937" s="3"/>
      <c r="F937" s="3" t="s">
        <v>54</v>
      </c>
      <c r="G937" s="3" t="s">
        <v>73</v>
      </c>
      <c r="H937" s="3"/>
      <c r="I937" s="3"/>
      <c r="J937" s="3" t="s">
        <v>4171</v>
      </c>
      <c r="K937" s="3"/>
      <c r="L937" s="3" t="s">
        <v>4172</v>
      </c>
      <c r="M937" s="3" t="str">
        <f>HYPERLINK("https://ceds.ed.gov/cedselementdetails.aspx?termid=6297")</f>
        <v>https://ceds.ed.gov/cedselementdetails.aspx?termid=6297</v>
      </c>
      <c r="N937" s="3" t="str">
        <f>HYPERLINK("https://ceds.ed.gov/elementComment.aspx?elementName=Monitoring Visit Start Date &amp;elementID=6297", "Click here to submit comment")</f>
        <v>Click here to submit comment</v>
      </c>
    </row>
    <row r="938" spans="1:14" ht="165">
      <c r="A938" s="3" t="s">
        <v>4173</v>
      </c>
      <c r="B938" s="3" t="s">
        <v>4174</v>
      </c>
      <c r="C938" s="4" t="s">
        <v>6506</v>
      </c>
      <c r="D938" s="3" t="s">
        <v>1536</v>
      </c>
      <c r="E938" s="3"/>
      <c r="F938" s="3"/>
      <c r="G938" s="3"/>
      <c r="H938" s="3"/>
      <c r="I938" s="3"/>
      <c r="J938" s="3" t="s">
        <v>4175</v>
      </c>
      <c r="K938" s="3"/>
      <c r="L938" s="3" t="s">
        <v>4176</v>
      </c>
      <c r="M938" s="3" t="str">
        <f>HYPERLINK("https://ceds.ed.gov/cedselementdetails.aspx?termid=6194")</f>
        <v>https://ceds.ed.gov/cedselementdetails.aspx?termid=6194</v>
      </c>
      <c r="N938" s="3" t="str">
        <f>HYPERLINK("https://ceds.ed.gov/elementComment.aspx?elementName=Mother's or Maternal Guardian Education &amp;elementID=6194", "Click here to submit comment")</f>
        <v>Click here to submit comment</v>
      </c>
    </row>
    <row r="939" spans="1:14" ht="45">
      <c r="A939" s="3" t="s">
        <v>4177</v>
      </c>
      <c r="B939" s="3" t="s">
        <v>4178</v>
      </c>
      <c r="C939" s="3" t="s">
        <v>5963</v>
      </c>
      <c r="D939" s="3" t="s">
        <v>1479</v>
      </c>
      <c r="E939" s="3" t="s">
        <v>1480</v>
      </c>
      <c r="F939" s="3"/>
      <c r="G939" s="3"/>
      <c r="H939" s="3"/>
      <c r="I939" s="3"/>
      <c r="J939" s="3" t="s">
        <v>4179</v>
      </c>
      <c r="K939" s="3"/>
      <c r="L939" s="3" t="s">
        <v>4180</v>
      </c>
      <c r="M939" s="3" t="str">
        <f>HYPERLINK("https://ceds.ed.gov/cedselementdetails.aspx?termid=5421")</f>
        <v>https://ceds.ed.gov/cedselementdetails.aspx?termid=5421</v>
      </c>
      <c r="N939" s="3" t="str">
        <f>HYPERLINK("https://ceds.ed.gov/elementComment.aspx?elementName=Multiple Birth Indicator &amp;elementID=5421", "Click here to submit comment")</f>
        <v>Click here to submit comment</v>
      </c>
    </row>
    <row r="940" spans="1:14" ht="105">
      <c r="A940" s="3" t="s">
        <v>4181</v>
      </c>
      <c r="B940" s="3" t="s">
        <v>4182</v>
      </c>
      <c r="C940" s="4" t="s">
        <v>6588</v>
      </c>
      <c r="D940" s="3" t="s">
        <v>6019</v>
      </c>
      <c r="E940" s="3"/>
      <c r="F940" s="3"/>
      <c r="G940" s="3"/>
      <c r="H940" s="3"/>
      <c r="I940" s="3"/>
      <c r="J940" s="3" t="s">
        <v>4183</v>
      </c>
      <c r="K940" s="3"/>
      <c r="L940" s="3" t="s">
        <v>4184</v>
      </c>
      <c r="M940" s="3" t="str">
        <f>HYPERLINK("https://ceds.ed.gov/cedselementdetails.aspx?termid=6166")</f>
        <v>https://ceds.ed.gov/cedselementdetails.aspx?termid=6166</v>
      </c>
      <c r="N940" s="3" t="str">
        <f>HYPERLINK("https://ceds.ed.gov/elementComment.aspx?elementName=NAEP Aspects of Reading &amp;elementID=6166", "Click here to submit comment")</f>
        <v>Click here to submit comment</v>
      </c>
    </row>
    <row r="941" spans="1:14" ht="75">
      <c r="A941" s="3" t="s">
        <v>4185</v>
      </c>
      <c r="B941" s="3" t="s">
        <v>4186</v>
      </c>
      <c r="C941" s="4" t="s">
        <v>6589</v>
      </c>
      <c r="D941" s="3" t="s">
        <v>6019</v>
      </c>
      <c r="E941" s="3"/>
      <c r="F941" s="3"/>
      <c r="G941" s="3"/>
      <c r="H941" s="3"/>
      <c r="I941" s="3"/>
      <c r="J941" s="3" t="s">
        <v>4187</v>
      </c>
      <c r="K941" s="3"/>
      <c r="L941" s="3" t="s">
        <v>4188</v>
      </c>
      <c r="M941" s="3" t="str">
        <f>HYPERLINK("https://ceds.ed.gov/cedselementdetails.aspx?termid=6072")</f>
        <v>https://ceds.ed.gov/cedselementdetails.aspx?termid=6072</v>
      </c>
      <c r="N941" s="3" t="str">
        <f>HYPERLINK("https://ceds.ed.gov/elementComment.aspx?elementName=NAEP Mathematical Complexity Level &amp;elementID=6072", "Click here to submit comment")</f>
        <v>Click here to submit comment</v>
      </c>
    </row>
    <row r="942" spans="1:14" ht="225">
      <c r="A942" s="3" t="s">
        <v>4189</v>
      </c>
      <c r="B942" s="3" t="s">
        <v>4190</v>
      </c>
      <c r="C942" s="3" t="s">
        <v>13</v>
      </c>
      <c r="D942" s="3" t="s">
        <v>6256</v>
      </c>
      <c r="E942" s="3" t="s">
        <v>6257</v>
      </c>
      <c r="F942" s="3"/>
      <c r="G942" s="3" t="s">
        <v>106</v>
      </c>
      <c r="H942" s="3"/>
      <c r="I942" s="3"/>
      <c r="J942" s="3" t="s">
        <v>4191</v>
      </c>
      <c r="K942" s="3"/>
      <c r="L942" s="3" t="s">
        <v>4192</v>
      </c>
      <c r="M942" s="3" t="str">
        <f>HYPERLINK("https://ceds.ed.gov/cedselementdetails.aspx?termid=5191")</f>
        <v>https://ceds.ed.gov/cedselementdetails.aspx?termid=5191</v>
      </c>
      <c r="N942" s="3" t="str">
        <f>HYPERLINK("https://ceds.ed.gov/elementComment.aspx?elementName=Name of Institution &amp;elementID=5191", "Click here to submit comment")</f>
        <v>Click here to submit comment</v>
      </c>
    </row>
    <row r="943" spans="1:14" ht="30">
      <c r="A943" s="3" t="s">
        <v>4193</v>
      </c>
      <c r="B943" s="3" t="s">
        <v>4194</v>
      </c>
      <c r="C943" s="3" t="s">
        <v>13</v>
      </c>
      <c r="D943" s="3" t="s">
        <v>1629</v>
      </c>
      <c r="E943" s="3" t="s">
        <v>202</v>
      </c>
      <c r="F943" s="3"/>
      <c r="G943" s="3" t="s">
        <v>106</v>
      </c>
      <c r="H943" s="3"/>
      <c r="I943" s="3"/>
      <c r="J943" s="3" t="s">
        <v>4195</v>
      </c>
      <c r="K943" s="3"/>
      <c r="L943" s="3" t="s">
        <v>4196</v>
      </c>
      <c r="M943" s="3" t="str">
        <f>HYPERLINK("https://ceds.ed.gov/cedselementdetails.aspx?termid=6064")</f>
        <v>https://ceds.ed.gov/cedselementdetails.aspx?termid=6064</v>
      </c>
      <c r="N943" s="3" t="str">
        <f>HYPERLINK("https://ceds.ed.gov/elementComment.aspx?elementName=Name of Professional Credential or License &amp;elementID=6064", "Click here to submit comment")</f>
        <v>Click here to submit comment</v>
      </c>
    </row>
    <row r="944" spans="1:14" ht="45">
      <c r="A944" s="3" t="s">
        <v>4197</v>
      </c>
      <c r="B944" s="3" t="s">
        <v>4198</v>
      </c>
      <c r="C944" s="3" t="s">
        <v>5963</v>
      </c>
      <c r="D944" s="3" t="s">
        <v>6081</v>
      </c>
      <c r="E944" s="3"/>
      <c r="F944" s="3" t="s">
        <v>54</v>
      </c>
      <c r="G944" s="3"/>
      <c r="H944" s="3"/>
      <c r="I944" s="3"/>
      <c r="J944" s="3" t="s">
        <v>4199</v>
      </c>
      <c r="K944" s="3" t="s">
        <v>4200</v>
      </c>
      <c r="L944" s="3" t="s">
        <v>4201</v>
      </c>
      <c r="M944" s="3" t="str">
        <f>HYPERLINK("https://ceds.ed.gov/cedselementdetails.aspx?termid=6382")</f>
        <v>https://ceds.ed.gov/cedselementdetails.aspx?termid=6382</v>
      </c>
      <c r="N944" s="3" t="str">
        <f>HYPERLINK("https://ceds.ed.gov/elementComment.aspx?elementName=National Collegiate Athletic Association Eligibility &amp;elementID=6382", "Click here to submit comment")</f>
        <v>Click here to submit comment</v>
      </c>
    </row>
    <row r="945" spans="1:14" ht="315">
      <c r="A945" s="3" t="s">
        <v>4202</v>
      </c>
      <c r="B945" s="3" t="s">
        <v>4203</v>
      </c>
      <c r="C945" s="4" t="s">
        <v>6373</v>
      </c>
      <c r="D945" s="3" t="s">
        <v>5985</v>
      </c>
      <c r="E945" s="3" t="s">
        <v>5986</v>
      </c>
      <c r="F945" s="3"/>
      <c r="G945" s="3"/>
      <c r="H945" s="3"/>
      <c r="I945" s="3" t="s">
        <v>353</v>
      </c>
      <c r="J945" s="3" t="s">
        <v>4204</v>
      </c>
      <c r="K945" s="3"/>
      <c r="L945" s="3" t="s">
        <v>4205</v>
      </c>
      <c r="M945" s="3" t="str">
        <f>HYPERLINK("https://ceds.ed.gov/cedselementdetails.aspx?termid=5658")</f>
        <v>https://ceds.ed.gov/cedselementdetails.aspx?termid=5658</v>
      </c>
      <c r="N945" s="3" t="str">
        <f>HYPERLINK("https://ceds.ed.gov/elementComment.aspx?elementName=Native Hawaiian or Other Pacific Islander &amp;elementID=5658", "Click here to submit comment")</f>
        <v>Click here to submit comment</v>
      </c>
    </row>
    <row r="946" spans="1:14" ht="45">
      <c r="A946" s="3" t="s">
        <v>4206</v>
      </c>
      <c r="B946" s="3" t="s">
        <v>4207</v>
      </c>
      <c r="C946" s="3" t="s">
        <v>4208</v>
      </c>
      <c r="D946" s="3" t="s">
        <v>1831</v>
      </c>
      <c r="E946" s="3"/>
      <c r="F946" s="3" t="s">
        <v>54</v>
      </c>
      <c r="G946" s="3"/>
      <c r="H946" s="3"/>
      <c r="I946" s="3"/>
      <c r="J946" s="3" t="s">
        <v>4209</v>
      </c>
      <c r="K946" s="3"/>
      <c r="L946" s="3" t="s">
        <v>4210</v>
      </c>
      <c r="M946" s="3" t="str">
        <f>HYPERLINK("https://ceds.ed.gov/cedselementdetails.aspx?termid=6383")</f>
        <v>https://ceds.ed.gov/cedselementdetails.aspx?termid=6383</v>
      </c>
      <c r="N946" s="3" t="str">
        <f>HYPERLINK("https://ceds.ed.gov/elementComment.aspx?elementName=NCES College Course Map Code &amp;elementID=6383", "Click here to submit comment")</f>
        <v>Click here to submit comment</v>
      </c>
    </row>
    <row r="947" spans="1:14" ht="180">
      <c r="A947" s="3" t="s">
        <v>4211</v>
      </c>
      <c r="B947" s="3" t="s">
        <v>4212</v>
      </c>
      <c r="C947" s="3" t="s">
        <v>5963</v>
      </c>
      <c r="D947" s="3" t="s">
        <v>4213</v>
      </c>
      <c r="E947" s="3" t="s">
        <v>218</v>
      </c>
      <c r="F947" s="3"/>
      <c r="G947" s="3"/>
      <c r="H947" s="3"/>
      <c r="I947" s="3" t="s">
        <v>4214</v>
      </c>
      <c r="J947" s="3" t="s">
        <v>4215</v>
      </c>
      <c r="K947" s="3"/>
      <c r="L947" s="3" t="s">
        <v>4216</v>
      </c>
      <c r="M947" s="3" t="str">
        <f>HYPERLINK("https://ceds.ed.gov/cedselementdetails.aspx?termid=5636")</f>
        <v>https://ceds.ed.gov/cedselementdetails.aspx?termid=5636</v>
      </c>
      <c r="N947" s="3" t="str">
        <f>HYPERLINK("https://ceds.ed.gov/elementComment.aspx?elementName=Neglected or Delinquent Academic Achievement Indicator &amp;elementID=5636", "Click here to submit comment")</f>
        <v>Click here to submit comment</v>
      </c>
    </row>
    <row r="948" spans="1:14" ht="180">
      <c r="A948" s="3" t="s">
        <v>4217</v>
      </c>
      <c r="B948" s="3" t="s">
        <v>4218</v>
      </c>
      <c r="C948" s="3" t="s">
        <v>5963</v>
      </c>
      <c r="D948" s="3" t="s">
        <v>4213</v>
      </c>
      <c r="E948" s="3" t="s">
        <v>218</v>
      </c>
      <c r="F948" s="3"/>
      <c r="G948" s="3"/>
      <c r="H948" s="3"/>
      <c r="I948" s="3" t="s">
        <v>4214</v>
      </c>
      <c r="J948" s="3" t="s">
        <v>4219</v>
      </c>
      <c r="K948" s="3"/>
      <c r="L948" s="3" t="s">
        <v>4220</v>
      </c>
      <c r="M948" s="3" t="str">
        <f>HYPERLINK("https://ceds.ed.gov/cedselementdetails.aspx?termid=5638")</f>
        <v>https://ceds.ed.gov/cedselementdetails.aspx?termid=5638</v>
      </c>
      <c r="N948" s="3" t="str">
        <f>HYPERLINK("https://ceds.ed.gov/elementComment.aspx?elementName=Neglected or Delinquent Academic Outcome Indicator &amp;elementID=5638", "Click here to submit comment")</f>
        <v>Click here to submit comment</v>
      </c>
    </row>
    <row r="949" spans="1:14" ht="45">
      <c r="A949" s="3" t="s">
        <v>4221</v>
      </c>
      <c r="B949" s="3" t="s">
        <v>4222</v>
      </c>
      <c r="C949" s="3" t="s">
        <v>5963</v>
      </c>
      <c r="D949" s="3" t="s">
        <v>4213</v>
      </c>
      <c r="E949" s="3" t="s">
        <v>207</v>
      </c>
      <c r="F949" s="3"/>
      <c r="G949" s="3"/>
      <c r="H949" s="3"/>
      <c r="I949" s="3"/>
      <c r="J949" s="3" t="s">
        <v>4223</v>
      </c>
      <c r="K949" s="3"/>
      <c r="L949" s="3" t="s">
        <v>4224</v>
      </c>
      <c r="M949" s="3" t="str">
        <f>HYPERLINK("https://ceds.ed.gov/cedselementdetails.aspx?termid=5475")</f>
        <v>https://ceds.ed.gov/cedselementdetails.aspx?termid=5475</v>
      </c>
      <c r="N949" s="3" t="str">
        <f>HYPERLINK("https://ceds.ed.gov/elementComment.aspx?elementName=Neglected or Delinquent Obtained Employment &amp;elementID=5475", "Click here to submit comment")</f>
        <v>Click here to submit comment</v>
      </c>
    </row>
    <row r="950" spans="1:14" ht="150">
      <c r="A950" s="3" t="s">
        <v>4225</v>
      </c>
      <c r="B950" s="3" t="s">
        <v>4226</v>
      </c>
      <c r="C950" s="4" t="s">
        <v>6590</v>
      </c>
      <c r="D950" s="3" t="s">
        <v>4213</v>
      </c>
      <c r="E950" s="3" t="s">
        <v>218</v>
      </c>
      <c r="F950" s="3"/>
      <c r="G950" s="3"/>
      <c r="H950" s="3"/>
      <c r="I950" s="3"/>
      <c r="J950" s="3" t="s">
        <v>4227</v>
      </c>
      <c r="K950" s="3"/>
      <c r="L950" s="3" t="s">
        <v>4228</v>
      </c>
      <c r="M950" s="3" t="str">
        <f>HYPERLINK("https://ceds.ed.gov/cedselementdetails.aspx?termid=5194")</f>
        <v>https://ceds.ed.gov/cedselementdetails.aspx?termid=5194</v>
      </c>
      <c r="N950" s="3" t="str">
        <f>HYPERLINK("https://ceds.ed.gov/elementComment.aspx?elementName=Neglected or Delinquent Program Type &amp;elementID=5194", "Click here to submit comment")</f>
        <v>Click here to submit comment</v>
      </c>
    </row>
    <row r="951" spans="1:14" ht="105">
      <c r="A951" s="3" t="s">
        <v>4229</v>
      </c>
      <c r="B951" s="3" t="s">
        <v>4230</v>
      </c>
      <c r="C951" s="3" t="s">
        <v>6180</v>
      </c>
      <c r="D951" s="3" t="s">
        <v>4213</v>
      </c>
      <c r="E951" s="3" t="s">
        <v>6084</v>
      </c>
      <c r="F951" s="3"/>
      <c r="G951" s="3"/>
      <c r="H951" s="3"/>
      <c r="I951" s="3"/>
      <c r="J951" s="3" t="s">
        <v>4231</v>
      </c>
      <c r="K951" s="3"/>
      <c r="L951" s="3" t="s">
        <v>4232</v>
      </c>
      <c r="M951" s="3" t="str">
        <f>HYPERLINK("https://ceds.ed.gov/cedselementdetails.aspx?termid=5193")</f>
        <v>https://ceds.ed.gov/cedselementdetails.aspx?termid=5193</v>
      </c>
      <c r="N951" s="3" t="str">
        <f>HYPERLINK("https://ceds.ed.gov/elementComment.aspx?elementName=Neglected or Delinquent Status &amp;elementID=5193", "Click here to submit comment")</f>
        <v>Click here to submit comment</v>
      </c>
    </row>
    <row r="952" spans="1:14" ht="165">
      <c r="A952" s="3" t="s">
        <v>4233</v>
      </c>
      <c r="B952" s="3" t="s">
        <v>4234</v>
      </c>
      <c r="C952" s="4" t="s">
        <v>6591</v>
      </c>
      <c r="D952" s="3" t="s">
        <v>30</v>
      </c>
      <c r="E952" s="3"/>
      <c r="F952" s="3"/>
      <c r="G952" s="3"/>
      <c r="H952" s="3"/>
      <c r="I952" s="3"/>
      <c r="J952" s="3" t="s">
        <v>4235</v>
      </c>
      <c r="K952" s="3"/>
      <c r="L952" s="3" t="s">
        <v>4236</v>
      </c>
      <c r="M952" s="3" t="str">
        <f>HYPERLINK("https://ceds.ed.gov/cedselementdetails.aspx?termid=5522")</f>
        <v>https://ceds.ed.gov/cedselementdetails.aspx?termid=5522</v>
      </c>
      <c r="N952" s="3" t="str">
        <f>HYPERLINK("https://ceds.ed.gov/elementComment.aspx?elementName=Nonpromotion Reason &amp;elementID=5522", "Click here to submit comment")</f>
        <v>Click here to submit comment</v>
      </c>
    </row>
    <row r="953" spans="1:14" ht="210">
      <c r="A953" s="3" t="s">
        <v>4237</v>
      </c>
      <c r="B953" s="3" t="s">
        <v>4238</v>
      </c>
      <c r="C953" s="3" t="s">
        <v>13</v>
      </c>
      <c r="D953" s="3" t="s">
        <v>1708</v>
      </c>
      <c r="E953" s="3" t="s">
        <v>5976</v>
      </c>
      <c r="F953" s="3"/>
      <c r="G953" s="3" t="s">
        <v>106</v>
      </c>
      <c r="H953" s="3"/>
      <c r="I953" s="3"/>
      <c r="J953" s="3" t="s">
        <v>4239</v>
      </c>
      <c r="K953" s="3"/>
      <c r="L953" s="3" t="s">
        <v>4240</v>
      </c>
      <c r="M953" s="3" t="str">
        <f>HYPERLINK("https://ceds.ed.gov/cedselementdetails.aspx?termid=5197")</f>
        <v>https://ceds.ed.gov/cedselementdetails.aspx?termid=5197</v>
      </c>
      <c r="N953" s="3" t="str">
        <f>HYPERLINK("https://ceds.ed.gov/elementComment.aspx?elementName=Normal Length of Time for Completion &amp;elementID=5197", "Click here to submit comment")</f>
        <v>Click here to submit comment</v>
      </c>
    </row>
    <row r="954" spans="1:14" ht="90">
      <c r="A954" s="3" t="s">
        <v>4241</v>
      </c>
      <c r="B954" s="3" t="s">
        <v>4242</v>
      </c>
      <c r="C954" s="3" t="s">
        <v>6258</v>
      </c>
      <c r="D954" s="3" t="s">
        <v>1708</v>
      </c>
      <c r="E954" s="3" t="s">
        <v>5976</v>
      </c>
      <c r="F954" s="3"/>
      <c r="G954" s="3"/>
      <c r="H954" s="3"/>
      <c r="I954" s="3"/>
      <c r="J954" s="3" t="s">
        <v>4243</v>
      </c>
      <c r="K954" s="3"/>
      <c r="L954" s="3" t="s">
        <v>4244</v>
      </c>
      <c r="M954" s="3" t="str">
        <f>HYPERLINK("https://ceds.ed.gov/cedselementdetails.aspx?termid=5198")</f>
        <v>https://ceds.ed.gov/cedselementdetails.aspx?termid=5198</v>
      </c>
      <c r="N954" s="3" t="str">
        <f>HYPERLINK("https://ceds.ed.gov/elementComment.aspx?elementName=Normal Length of Time for Completion Units &amp;elementID=5198", "Click here to submit comment")</f>
        <v>Click here to submit comment</v>
      </c>
    </row>
    <row r="955" spans="1:14" ht="45">
      <c r="A955" s="3" t="s">
        <v>4245</v>
      </c>
      <c r="B955" s="3" t="s">
        <v>4246</v>
      </c>
      <c r="C955" s="3" t="s">
        <v>13</v>
      </c>
      <c r="D955" s="3" t="s">
        <v>388</v>
      </c>
      <c r="E955" s="3" t="s">
        <v>202</v>
      </c>
      <c r="F955" s="3"/>
      <c r="G955" s="3" t="s">
        <v>389</v>
      </c>
      <c r="H955" s="3"/>
      <c r="I955" s="3"/>
      <c r="J955" s="3" t="s">
        <v>4247</v>
      </c>
      <c r="K955" s="3"/>
      <c r="L955" s="3" t="s">
        <v>4248</v>
      </c>
      <c r="M955" s="3" t="str">
        <f>HYPERLINK("https://ceds.ed.gov/cedselementdetails.aspx?termid=5816")</f>
        <v>https://ceds.ed.gov/cedselementdetails.aspx?termid=5816</v>
      </c>
      <c r="N955" s="3" t="str">
        <f>HYPERLINK("https://ceds.ed.gov/elementComment.aspx?elementName=Number of Business-related Postsecondary Credit Hours &amp;elementID=5816", "Click here to submit comment")</f>
        <v>Click here to submit comment</v>
      </c>
    </row>
    <row r="956" spans="1:14" ht="45">
      <c r="A956" s="3" t="s">
        <v>4249</v>
      </c>
      <c r="B956" s="3" t="s">
        <v>4250</v>
      </c>
      <c r="C956" s="3" t="s">
        <v>13</v>
      </c>
      <c r="D956" s="3" t="s">
        <v>2439</v>
      </c>
      <c r="E956" s="3" t="s">
        <v>65</v>
      </c>
      <c r="F956" s="3"/>
      <c r="G956" s="3" t="s">
        <v>308</v>
      </c>
      <c r="H956" s="3"/>
      <c r="I956" s="3"/>
      <c r="J956" s="3" t="s">
        <v>4251</v>
      </c>
      <c r="K956" s="3"/>
      <c r="L956" s="3" t="s">
        <v>4252</v>
      </c>
      <c r="M956" s="3" t="str">
        <f>HYPERLINK("https://ceds.ed.gov/cedselementdetails.aspx?termid=5844")</f>
        <v>https://ceds.ed.gov/cedselementdetails.aspx?termid=5844</v>
      </c>
      <c r="N956" s="3" t="str">
        <f>HYPERLINK("https://ceds.ed.gov/elementComment.aspx?elementName=Number of Classrooms &amp;elementID=5844", "Click here to submit comment")</f>
        <v>Click here to submit comment</v>
      </c>
    </row>
    <row r="957" spans="1:14" ht="90">
      <c r="A957" s="3" t="s">
        <v>4253</v>
      </c>
      <c r="B957" s="3" t="s">
        <v>4254</v>
      </c>
      <c r="C957" s="3" t="s">
        <v>13</v>
      </c>
      <c r="D957" s="3" t="s">
        <v>6183</v>
      </c>
      <c r="E957" s="3" t="s">
        <v>5968</v>
      </c>
      <c r="F957" s="3"/>
      <c r="G957" s="3" t="s">
        <v>1461</v>
      </c>
      <c r="H957" s="3"/>
      <c r="I957" s="3"/>
      <c r="J957" s="3" t="s">
        <v>4255</v>
      </c>
      <c r="K957" s="3"/>
      <c r="L957" s="3" t="s">
        <v>4256</v>
      </c>
      <c r="M957" s="3" t="str">
        <f>HYPERLINK("https://ceds.ed.gov/cedselementdetails.aspx?termid=5199")</f>
        <v>https://ceds.ed.gov/cedselementdetails.aspx?termid=5199</v>
      </c>
      <c r="N957" s="3" t="str">
        <f>HYPERLINK("https://ceds.ed.gov/elementComment.aspx?elementName=Number of Credits Attempted &amp;elementID=5199", "Click here to submit comment")</f>
        <v>Click here to submit comment</v>
      </c>
    </row>
    <row r="958" spans="1:14" ht="135">
      <c r="A958" s="3" t="s">
        <v>4257</v>
      </c>
      <c r="B958" s="3" t="s">
        <v>4258</v>
      </c>
      <c r="C958" s="3" t="s">
        <v>13</v>
      </c>
      <c r="D958" s="3" t="s">
        <v>6259</v>
      </c>
      <c r="E958" s="3" t="s">
        <v>6252</v>
      </c>
      <c r="F958" s="3" t="s">
        <v>66</v>
      </c>
      <c r="G958" s="3" t="s">
        <v>1461</v>
      </c>
      <c r="H958" s="3" t="s">
        <v>1820</v>
      </c>
      <c r="I958" s="3"/>
      <c r="J958" s="3" t="s">
        <v>4259</v>
      </c>
      <c r="K958" s="3"/>
      <c r="L958" s="3" t="s">
        <v>4260</v>
      </c>
      <c r="M958" s="3" t="str">
        <f>HYPERLINK("https://ceds.ed.gov/cedselementdetails.aspx?termid=5200")</f>
        <v>https://ceds.ed.gov/cedselementdetails.aspx?termid=5200</v>
      </c>
      <c r="N958" s="3" t="str">
        <f>HYPERLINK("https://ceds.ed.gov/elementComment.aspx?elementName=Number of Credits Earned &amp;elementID=5200", "Click here to submit comment")</f>
        <v>Click here to submit comment</v>
      </c>
    </row>
    <row r="959" spans="1:14" ht="120">
      <c r="A959" s="3" t="s">
        <v>4261</v>
      </c>
      <c r="B959" s="3" t="s">
        <v>4262</v>
      </c>
      <c r="C959" s="3" t="s">
        <v>13</v>
      </c>
      <c r="D959" s="3" t="s">
        <v>6260</v>
      </c>
      <c r="E959" s="3" t="s">
        <v>6261</v>
      </c>
      <c r="F959" s="3"/>
      <c r="G959" s="3" t="s">
        <v>1461</v>
      </c>
      <c r="H959" s="3"/>
      <c r="I959" s="3"/>
      <c r="J959" s="3" t="s">
        <v>4263</v>
      </c>
      <c r="K959" s="3"/>
      <c r="L959" s="3" t="s">
        <v>4264</v>
      </c>
      <c r="M959" s="3" t="str">
        <f>HYPERLINK("https://ceds.ed.gov/cedselementdetails.aspx?termid=5201")</f>
        <v>https://ceds.ed.gov/cedselementdetails.aspx?termid=5201</v>
      </c>
      <c r="N959" s="3" t="str">
        <f>HYPERLINK("https://ceds.ed.gov/elementComment.aspx?elementName=Number of Days Absent &amp;elementID=5201", "Click here to submit comment")</f>
        <v>Click here to submit comment</v>
      </c>
    </row>
    <row r="960" spans="1:14" ht="90">
      <c r="A960" s="3" t="s">
        <v>4265</v>
      </c>
      <c r="B960" s="3" t="s">
        <v>4266</v>
      </c>
      <c r="C960" s="3" t="s">
        <v>13</v>
      </c>
      <c r="D960" s="3" t="s">
        <v>2103</v>
      </c>
      <c r="E960" s="3" t="s">
        <v>207</v>
      </c>
      <c r="F960" s="3"/>
      <c r="G960" s="3" t="s">
        <v>1461</v>
      </c>
      <c r="H960" s="3"/>
      <c r="I960" s="3"/>
      <c r="J960" s="3" t="s">
        <v>4267</v>
      </c>
      <c r="K960" s="3"/>
      <c r="L960" s="3" t="s">
        <v>4268</v>
      </c>
      <c r="M960" s="3" t="str">
        <f>HYPERLINK("https://ceds.ed.gov/cedselementdetails.aspx?termid=5447")</f>
        <v>https://ceds.ed.gov/cedselementdetails.aspx?termid=5447</v>
      </c>
      <c r="N960" s="3" t="str">
        <f>HYPERLINK("https://ceds.ed.gov/elementComment.aspx?elementName=Number of Days for Title III Subgrants &amp;elementID=5447", "Click here to submit comment")</f>
        <v>Click here to submit comment</v>
      </c>
    </row>
    <row r="961" spans="1:14" ht="255">
      <c r="A961" s="3" t="s">
        <v>4269</v>
      </c>
      <c r="B961" s="3" t="s">
        <v>4270</v>
      </c>
      <c r="C961" s="3" t="s">
        <v>13</v>
      </c>
      <c r="D961" s="3" t="s">
        <v>6262</v>
      </c>
      <c r="E961" s="3" t="s">
        <v>6263</v>
      </c>
      <c r="F961" s="3"/>
      <c r="G961" s="3" t="s">
        <v>1461</v>
      </c>
      <c r="H961" s="3"/>
      <c r="I961" s="3" t="s">
        <v>4271</v>
      </c>
      <c r="J961" s="3" t="s">
        <v>4272</v>
      </c>
      <c r="K961" s="3"/>
      <c r="L961" s="3" t="s">
        <v>4273</v>
      </c>
      <c r="M961" s="3" t="str">
        <f>HYPERLINK("https://ceds.ed.gov/cedselementdetails.aspx?termid=5202")</f>
        <v>https://ceds.ed.gov/cedselementdetails.aspx?termid=5202</v>
      </c>
      <c r="N961" s="3" t="str">
        <f>HYPERLINK("https://ceds.ed.gov/elementComment.aspx?elementName=Number of Days in Attendance &amp;elementID=5202", "Click here to submit comment")</f>
        <v>Click here to submit comment</v>
      </c>
    </row>
    <row r="962" spans="1:14" ht="60">
      <c r="A962" s="3" t="s">
        <v>4274</v>
      </c>
      <c r="B962" s="3" t="s">
        <v>4275</v>
      </c>
      <c r="C962" s="3" t="s">
        <v>13</v>
      </c>
      <c r="D962" s="3" t="s">
        <v>1536</v>
      </c>
      <c r="E962" s="3"/>
      <c r="F962" s="3" t="s">
        <v>54</v>
      </c>
      <c r="G962" s="3" t="s">
        <v>575</v>
      </c>
      <c r="H962" s="3"/>
      <c r="I962" s="3"/>
      <c r="J962" s="3" t="s">
        <v>4276</v>
      </c>
      <c r="K962" s="3"/>
      <c r="L962" s="3" t="s">
        <v>4277</v>
      </c>
      <c r="M962" s="3" t="str">
        <f>HYPERLINK("https://ceds.ed.gov/cedselementdetails.aspx?termid=6384")</f>
        <v>https://ceds.ed.gov/cedselementdetails.aspx?termid=6384</v>
      </c>
      <c r="N962" s="3" t="str">
        <f>HYPERLINK("https://ceds.ed.gov/elementComment.aspx?elementName=Number of Dependents &amp;elementID=6384", "Click here to submit comment")</f>
        <v>Click here to submit comment</v>
      </c>
    </row>
    <row r="963" spans="1:14" ht="45">
      <c r="A963" s="3" t="s">
        <v>4278</v>
      </c>
      <c r="B963" s="3" t="s">
        <v>4279</v>
      </c>
      <c r="C963" s="3" t="s">
        <v>13</v>
      </c>
      <c r="D963" s="3" t="s">
        <v>1774</v>
      </c>
      <c r="E963" s="3" t="s">
        <v>65</v>
      </c>
      <c r="F963" s="3"/>
      <c r="G963" s="3" t="s">
        <v>308</v>
      </c>
      <c r="H963" s="3"/>
      <c r="I963" s="3"/>
      <c r="J963" s="3" t="s">
        <v>4280</v>
      </c>
      <c r="K963" s="3"/>
      <c r="L963" s="3" t="s">
        <v>4281</v>
      </c>
      <c r="M963" s="3" t="str">
        <f>HYPERLINK("https://ceds.ed.gov/cedselementdetails.aspx?termid=5835")</f>
        <v>https://ceds.ed.gov/cedselementdetails.aspx?termid=5835</v>
      </c>
      <c r="N963" s="3" t="str">
        <f>HYPERLINK("https://ceds.ed.gov/elementComment.aspx?elementName=Number of Early Learning Fatalities &amp;elementID=5835", "Click here to submit comment")</f>
        <v>Click here to submit comment</v>
      </c>
    </row>
    <row r="964" spans="1:14" ht="45">
      <c r="A964" s="3" t="s">
        <v>4282</v>
      </c>
      <c r="B964" s="3" t="s">
        <v>4283</v>
      </c>
      <c r="C964" s="3" t="s">
        <v>13</v>
      </c>
      <c r="D964" s="3" t="s">
        <v>1774</v>
      </c>
      <c r="E964" s="3" t="s">
        <v>65</v>
      </c>
      <c r="F964" s="3"/>
      <c r="G964" s="3" t="s">
        <v>308</v>
      </c>
      <c r="H964" s="3"/>
      <c r="I964" s="3"/>
      <c r="J964" s="3" t="s">
        <v>4284</v>
      </c>
      <c r="K964" s="3"/>
      <c r="L964" s="3" t="s">
        <v>4285</v>
      </c>
      <c r="M964" s="3" t="str">
        <f>HYPERLINK("https://ceds.ed.gov/cedselementdetails.aspx?termid=5836")</f>
        <v>https://ceds.ed.gov/cedselementdetails.aspx?termid=5836</v>
      </c>
      <c r="N964" s="3" t="str">
        <f>HYPERLINK("https://ceds.ed.gov/elementComment.aspx?elementName=Number of Early Learning Injuries &amp;elementID=5836", "Click here to submit comment")</f>
        <v>Click here to submit comment</v>
      </c>
    </row>
    <row r="965" spans="1:14" ht="30">
      <c r="A965" s="3" t="s">
        <v>4286</v>
      </c>
      <c r="B965" s="3" t="s">
        <v>4287</v>
      </c>
      <c r="C965" s="3" t="s">
        <v>13</v>
      </c>
      <c r="D965" s="3" t="s">
        <v>4166</v>
      </c>
      <c r="E965" s="3" t="s">
        <v>65</v>
      </c>
      <c r="F965" s="3"/>
      <c r="G965" s="3" t="s">
        <v>308</v>
      </c>
      <c r="H965" s="3"/>
      <c r="I965" s="3"/>
      <c r="J965" s="3" t="s">
        <v>4288</v>
      </c>
      <c r="K965" s="3"/>
      <c r="L965" s="3" t="s">
        <v>4289</v>
      </c>
      <c r="M965" s="3" t="str">
        <f>HYPERLINK("https://ceds.ed.gov/cedselementdetails.aspx?termid=5839")</f>
        <v>https://ceds.ed.gov/cedselementdetails.aspx?termid=5839</v>
      </c>
      <c r="N965" s="3" t="str">
        <f>HYPERLINK("https://ceds.ed.gov/elementComment.aspx?elementName=Number of Early Learning Program Monitoring Visits &amp;elementID=5839", "Click here to submit comment")</f>
        <v>Click here to submit comment</v>
      </c>
    </row>
    <row r="966" spans="1:14" ht="30">
      <c r="A966" s="3" t="s">
        <v>4290</v>
      </c>
      <c r="B966" s="3" t="s">
        <v>4291</v>
      </c>
      <c r="C966" s="3" t="s">
        <v>13</v>
      </c>
      <c r="D966" s="3" t="s">
        <v>3399</v>
      </c>
      <c r="E966" s="3" t="s">
        <v>207</v>
      </c>
      <c r="F966" s="3"/>
      <c r="G966" s="3" t="s">
        <v>308</v>
      </c>
      <c r="H966" s="3"/>
      <c r="I966" s="3"/>
      <c r="J966" s="3" t="s">
        <v>4292</v>
      </c>
      <c r="K966" s="3"/>
      <c r="L966" s="3" t="s">
        <v>4293</v>
      </c>
      <c r="M966" s="3" t="str">
        <f>HYPERLINK("https://ceds.ed.gov/cedselementdetails.aspx?termid=5460")</f>
        <v>https://ceds.ed.gov/cedselementdetails.aspx?termid=5460</v>
      </c>
      <c r="N966" s="3" t="str">
        <f>HYPERLINK("https://ceds.ed.gov/elementComment.aspx?elementName=Number of Immigrant Program Subgrants &amp;elementID=5460", "Click here to submit comment")</f>
        <v>Click here to submit comment</v>
      </c>
    </row>
    <row r="967" spans="1:14" ht="195">
      <c r="A967" s="3" t="s">
        <v>4294</v>
      </c>
      <c r="B967" s="3" t="s">
        <v>4295</v>
      </c>
      <c r="C967" s="3" t="s">
        <v>13</v>
      </c>
      <c r="D967" s="3" t="s">
        <v>2644</v>
      </c>
      <c r="E967" s="3" t="s">
        <v>2147</v>
      </c>
      <c r="F967" s="3"/>
      <c r="G967" s="3" t="s">
        <v>308</v>
      </c>
      <c r="H967" s="3"/>
      <c r="I967" s="3"/>
      <c r="J967" s="3" t="s">
        <v>4296</v>
      </c>
      <c r="K967" s="3"/>
      <c r="L967" s="3" t="s">
        <v>4297</v>
      </c>
      <c r="M967" s="3" t="str">
        <f>HYPERLINK("https://ceds.ed.gov/cedselementdetails.aspx?termid=5329")</f>
        <v>https://ceds.ed.gov/cedselementdetails.aspx?termid=5329</v>
      </c>
      <c r="N967" s="3" t="str">
        <f>HYPERLINK("https://ceds.ed.gov/elementComment.aspx?elementName=Number of People in Family &amp;elementID=5329", "Click here to submit comment")</f>
        <v>Click here to submit comment</v>
      </c>
    </row>
    <row r="968" spans="1:14" ht="30">
      <c r="A968" s="3" t="s">
        <v>4298</v>
      </c>
      <c r="B968" s="3" t="s">
        <v>4299</v>
      </c>
      <c r="C968" s="3" t="s">
        <v>13</v>
      </c>
      <c r="D968" s="3" t="s">
        <v>2644</v>
      </c>
      <c r="E968" s="3" t="s">
        <v>2147</v>
      </c>
      <c r="F968" s="3"/>
      <c r="G968" s="3" t="s">
        <v>308</v>
      </c>
      <c r="H968" s="3"/>
      <c r="I968" s="3"/>
      <c r="J968" s="3" t="s">
        <v>4300</v>
      </c>
      <c r="K968" s="3"/>
      <c r="L968" s="3" t="s">
        <v>4301</v>
      </c>
      <c r="M968" s="3" t="str">
        <f>HYPERLINK("https://ceds.ed.gov/cedselementdetails.aspx?termid=5330")</f>
        <v>https://ceds.ed.gov/cedselementdetails.aspx?termid=5330</v>
      </c>
      <c r="N968" s="3" t="str">
        <f>HYPERLINK("https://ceds.ed.gov/elementComment.aspx?elementName=Number of People in Household &amp;elementID=5330", "Click here to submit comment")</f>
        <v>Click here to submit comment</v>
      </c>
    </row>
    <row r="969" spans="1:14" ht="45">
      <c r="A969" s="3" t="s">
        <v>4302</v>
      </c>
      <c r="B969" s="3" t="s">
        <v>4303</v>
      </c>
      <c r="C969" s="3" t="s">
        <v>13</v>
      </c>
      <c r="D969" s="3" t="s">
        <v>4304</v>
      </c>
      <c r="E969" s="3" t="s">
        <v>65</v>
      </c>
      <c r="F969" s="3"/>
      <c r="G969" s="3" t="s">
        <v>308</v>
      </c>
      <c r="H969" s="3"/>
      <c r="I969" s="3"/>
      <c r="J969" s="3" t="s">
        <v>4305</v>
      </c>
      <c r="K969" s="3" t="s">
        <v>4306</v>
      </c>
      <c r="L969" s="3" t="s">
        <v>4307</v>
      </c>
      <c r="M969" s="3" t="str">
        <f>HYPERLINK("https://ceds.ed.gov/cedselementdetails.aspx?termid=5843")</f>
        <v>https://ceds.ed.gov/cedselementdetails.aspx?termid=5843</v>
      </c>
      <c r="N969" s="3" t="str">
        <f>HYPERLINK("https://ceds.ed.gov/elementComment.aspx?elementName=Number of Quality Rating and Improvement System Levels &amp;elementID=5843", "Click here to submit comment")</f>
        <v>Click here to submit comment</v>
      </c>
    </row>
    <row r="970" spans="1:14" ht="75">
      <c r="A970" s="3" t="s">
        <v>4308</v>
      </c>
      <c r="B970" s="3" t="s">
        <v>4309</v>
      </c>
      <c r="C970" s="3" t="s">
        <v>13</v>
      </c>
      <c r="D970" s="3" t="s">
        <v>388</v>
      </c>
      <c r="E970" s="3" t="s">
        <v>202</v>
      </c>
      <c r="F970" s="3"/>
      <c r="G970" s="3" t="s">
        <v>389</v>
      </c>
      <c r="H970" s="3"/>
      <c r="I970" s="3"/>
      <c r="J970" s="3" t="s">
        <v>4310</v>
      </c>
      <c r="K970" s="3"/>
      <c r="L970" s="3" t="s">
        <v>4311</v>
      </c>
      <c r="M970" s="3" t="str">
        <f>HYPERLINK("https://ceds.ed.gov/cedselementdetails.aspx?termid=5815")</f>
        <v>https://ceds.ed.gov/cedselementdetails.aspx?termid=5815</v>
      </c>
      <c r="N970" s="3" t="str">
        <f>HYPERLINK("https://ceds.ed.gov/elementComment.aspx?elementName=Number of School-age Education Postsecondary Credit Hours &amp;elementID=5815", "Click here to submit comment")</f>
        <v>Click here to submit comment</v>
      </c>
    </row>
    <row r="971" spans="1:14" ht="180">
      <c r="A971" s="3" t="s">
        <v>4312</v>
      </c>
      <c r="B971" s="3" t="s">
        <v>4313</v>
      </c>
      <c r="C971" s="3" t="s">
        <v>13</v>
      </c>
      <c r="D971" s="3" t="s">
        <v>1606</v>
      </c>
      <c r="E971" s="3"/>
      <c r="F971" s="3"/>
      <c r="G971" s="3" t="s">
        <v>4314</v>
      </c>
      <c r="H971" s="3"/>
      <c r="I971" s="3"/>
      <c r="J971" s="3" t="s">
        <v>4315</v>
      </c>
      <c r="K971" s="3" t="s">
        <v>4316</v>
      </c>
      <c r="L971" s="3" t="s">
        <v>4316</v>
      </c>
      <c r="M971" s="3" t="str">
        <f>HYPERLINK("https://ceds.ed.gov/cedselementdetails.aspx?termid=5203")</f>
        <v>https://ceds.ed.gov/cedselementdetails.aspx?termid=5203</v>
      </c>
      <c r="N971" s="3" t="str">
        <f>HYPERLINK("https://ceds.ed.gov/elementComment.aspx?elementName=Office of Postsecondary Education Identifier &amp;elementID=5203", "Click here to submit comment")</f>
        <v>Click here to submit comment</v>
      </c>
    </row>
    <row r="972" spans="1:14" ht="45">
      <c r="A972" s="3" t="s">
        <v>4317</v>
      </c>
      <c r="B972" s="3" t="s">
        <v>4318</v>
      </c>
      <c r="C972" s="3" t="s">
        <v>5963</v>
      </c>
      <c r="D972" s="3" t="s">
        <v>2387</v>
      </c>
      <c r="E972" s="3" t="s">
        <v>65</v>
      </c>
      <c r="F972" s="3"/>
      <c r="G972" s="3"/>
      <c r="H972" s="3"/>
      <c r="I972" s="3"/>
      <c r="J972" s="3" t="s">
        <v>4319</v>
      </c>
      <c r="K972" s="3"/>
      <c r="L972" s="3" t="s">
        <v>4320</v>
      </c>
      <c r="M972" s="3" t="str">
        <f>HYPERLINK("https://ceds.ed.gov/cedselementdetails.aspx?termid=5847")</f>
        <v>https://ceds.ed.gov/cedselementdetails.aspx?termid=5847</v>
      </c>
      <c r="N972" s="3" t="str">
        <f>HYPERLINK("https://ceds.ed.gov/elementComment.aspx?elementName=Ongoing Health Screening Policy &amp;elementID=5847", "Click here to submit comment")</f>
        <v>Click here to submit comment</v>
      </c>
    </row>
    <row r="973" spans="1:14" ht="30">
      <c r="A973" s="3" t="s">
        <v>4321</v>
      </c>
      <c r="B973" s="3" t="s">
        <v>4322</v>
      </c>
      <c r="C973" s="3" t="s">
        <v>13</v>
      </c>
      <c r="D973" s="3" t="s">
        <v>2439</v>
      </c>
      <c r="E973" s="3" t="s">
        <v>6104</v>
      </c>
      <c r="F973" s="3"/>
      <c r="G973" s="3" t="s">
        <v>73</v>
      </c>
      <c r="H973" s="3"/>
      <c r="I973" s="3"/>
      <c r="J973" s="3" t="s">
        <v>4323</v>
      </c>
      <c r="K973" s="3"/>
      <c r="L973" s="3" t="s">
        <v>4324</v>
      </c>
      <c r="M973" s="3" t="str">
        <f>HYPERLINK("https://ceds.ed.gov/cedselementdetails.aspx?termid=5350")</f>
        <v>https://ceds.ed.gov/cedselementdetails.aspx?termid=5350</v>
      </c>
      <c r="N973" s="3" t="str">
        <f>HYPERLINK("https://ceds.ed.gov/elementComment.aspx?elementName=Operation Date &amp;elementID=5350", "Click here to submit comment")</f>
        <v>Click here to submit comment</v>
      </c>
    </row>
    <row r="974" spans="1:14" ht="45">
      <c r="A974" s="3" t="s">
        <v>4325</v>
      </c>
      <c r="B974" s="3" t="s">
        <v>4326</v>
      </c>
      <c r="C974" s="3" t="s">
        <v>13</v>
      </c>
      <c r="D974" s="3" t="s">
        <v>6094</v>
      </c>
      <c r="E974" s="3" t="s">
        <v>218</v>
      </c>
      <c r="F974" s="3"/>
      <c r="G974" s="3" t="s">
        <v>73</v>
      </c>
      <c r="H974" s="3"/>
      <c r="I974" s="3"/>
      <c r="J974" s="3" t="s">
        <v>4327</v>
      </c>
      <c r="K974" s="3"/>
      <c r="L974" s="3" t="s">
        <v>4328</v>
      </c>
      <c r="M974" s="3" t="str">
        <f>HYPERLINK("https://ceds.ed.gov/cedselementdetails.aspx?termid=5525")</f>
        <v>https://ceds.ed.gov/cedselementdetails.aspx?termid=5525</v>
      </c>
      <c r="N974" s="3" t="str">
        <f>HYPERLINK("https://ceds.ed.gov/elementComment.aspx?elementName=Operational Status Effective Date &amp;elementID=5525", "Click here to submit comment")</f>
        <v>Click here to submit comment</v>
      </c>
    </row>
    <row r="975" spans="1:14" ht="90">
      <c r="A975" s="3" t="s">
        <v>4329</v>
      </c>
      <c r="B975" s="3" t="s">
        <v>4330</v>
      </c>
      <c r="C975" s="3" t="s">
        <v>5963</v>
      </c>
      <c r="D975" s="3" t="s">
        <v>2267</v>
      </c>
      <c r="E975" s="3"/>
      <c r="F975" s="3" t="s">
        <v>54</v>
      </c>
      <c r="G975" s="3"/>
      <c r="H975" s="3"/>
      <c r="I975" s="3"/>
      <c r="J975" s="3" t="s">
        <v>4331</v>
      </c>
      <c r="K975" s="3"/>
      <c r="L975" s="3" t="s">
        <v>4332</v>
      </c>
      <c r="M975" s="3" t="str">
        <f>HYPERLINK("https://ceds.ed.gov/cedselementdetails.aspx?termid=6385")</f>
        <v>https://ceds.ed.gov/cedselementdetails.aspx?termid=6385</v>
      </c>
      <c r="N975" s="3" t="str">
        <f>HYPERLINK("https://ceds.ed.gov/elementComment.aspx?elementName=Oral Defense Completed Indicator &amp;elementID=6385", "Click here to submit comment")</f>
        <v>Click here to submit comment</v>
      </c>
    </row>
    <row r="976" spans="1:14" ht="30">
      <c r="A976" s="3" t="s">
        <v>4333</v>
      </c>
      <c r="B976" s="3" t="s">
        <v>4334</v>
      </c>
      <c r="C976" s="3" t="s">
        <v>13</v>
      </c>
      <c r="D976" s="3" t="s">
        <v>2267</v>
      </c>
      <c r="E976" s="3"/>
      <c r="F976" s="3" t="s">
        <v>54</v>
      </c>
      <c r="G976" s="3" t="s">
        <v>73</v>
      </c>
      <c r="H976" s="3"/>
      <c r="I976" s="3"/>
      <c r="J976" s="3" t="s">
        <v>4335</v>
      </c>
      <c r="K976" s="3"/>
      <c r="L976" s="3" t="s">
        <v>4336</v>
      </c>
      <c r="M976" s="3" t="str">
        <f>HYPERLINK("https://ceds.ed.gov/cedselementdetails.aspx?termid=6386")</f>
        <v>https://ceds.ed.gov/cedselementdetails.aspx?termid=6386</v>
      </c>
      <c r="N976" s="3" t="str">
        <f>HYPERLINK("https://ceds.ed.gov/elementComment.aspx?elementName=Oral Defense Date &amp;elementID=6386", "Click here to submit comment")</f>
        <v>Click here to submit comment</v>
      </c>
    </row>
    <row r="977" spans="1:14" ht="240">
      <c r="A977" s="3" t="s">
        <v>4337</v>
      </c>
      <c r="B977" s="3" t="s">
        <v>4338</v>
      </c>
      <c r="C977" s="4" t="s">
        <v>6364</v>
      </c>
      <c r="D977" s="3" t="s">
        <v>6264</v>
      </c>
      <c r="E977" s="3" t="s">
        <v>65</v>
      </c>
      <c r="F977" s="3" t="s">
        <v>66</v>
      </c>
      <c r="G977" s="3"/>
      <c r="H977" s="3" t="s">
        <v>2309</v>
      </c>
      <c r="I977" s="3"/>
      <c r="J977" s="3" t="s">
        <v>4339</v>
      </c>
      <c r="K977" s="3"/>
      <c r="L977" s="3" t="s">
        <v>4340</v>
      </c>
      <c r="M977" s="3" t="str">
        <f>HYPERLINK("https://ceds.ed.gov/cedselementdetails.aspx?termid=5827")</f>
        <v>https://ceds.ed.gov/cedselementdetails.aspx?termid=5827</v>
      </c>
      <c r="N977" s="3" t="str">
        <f>HYPERLINK("https://ceds.ed.gov/elementComment.aspx?elementName=Organization Identification System &amp;elementID=5827", "Click here to submit comment")</f>
        <v>Click here to submit comment</v>
      </c>
    </row>
    <row r="978" spans="1:14" ht="120">
      <c r="A978" s="3" t="s">
        <v>4341</v>
      </c>
      <c r="B978" s="3" t="s">
        <v>4342</v>
      </c>
      <c r="C978" s="3" t="s">
        <v>13</v>
      </c>
      <c r="D978" s="3" t="s">
        <v>6264</v>
      </c>
      <c r="E978" s="3" t="s">
        <v>65</v>
      </c>
      <c r="F978" s="3" t="s">
        <v>3</v>
      </c>
      <c r="G978" s="3" t="s">
        <v>100</v>
      </c>
      <c r="H978" s="3"/>
      <c r="I978" s="3"/>
      <c r="J978" s="3" t="s">
        <v>4343</v>
      </c>
      <c r="K978" s="3"/>
      <c r="L978" s="3" t="s">
        <v>4344</v>
      </c>
      <c r="M978" s="3" t="str">
        <f>HYPERLINK("https://ceds.ed.gov/cedselementdetails.aspx?termid=5825")</f>
        <v>https://ceds.ed.gov/cedselementdetails.aspx?termid=5825</v>
      </c>
      <c r="N978" s="3" t="str">
        <f>HYPERLINK("https://ceds.ed.gov/elementComment.aspx?elementName=Organization Identifier &amp;elementID=5825", "Click here to submit comment")</f>
        <v>Click here to submit comment</v>
      </c>
    </row>
    <row r="979" spans="1:14" ht="45">
      <c r="A979" s="3" t="s">
        <v>4345</v>
      </c>
      <c r="B979" s="3" t="s">
        <v>4346</v>
      </c>
      <c r="C979" s="3" t="s">
        <v>6265</v>
      </c>
      <c r="D979" s="3" t="s">
        <v>4166</v>
      </c>
      <c r="E979" s="3"/>
      <c r="F979" s="3" t="s">
        <v>54</v>
      </c>
      <c r="G979" s="3"/>
      <c r="H979" s="3"/>
      <c r="I979" s="3"/>
      <c r="J979" s="3" t="s">
        <v>4347</v>
      </c>
      <c r="K979" s="3"/>
      <c r="L979" s="3" t="s">
        <v>4348</v>
      </c>
      <c r="M979" s="3" t="str">
        <f>HYPERLINK("https://ceds.ed.gov/cedselementdetails.aspx?termid=6296")</f>
        <v>https://ceds.ed.gov/cedselementdetails.aspx?termid=6296</v>
      </c>
      <c r="N979" s="3" t="str">
        <f>HYPERLINK("https://ceds.ed.gov/elementComment.aspx?elementName=Organization Monitoring Notifications &amp;elementID=6296", "Click here to submit comment")</f>
        <v>Click here to submit comment</v>
      </c>
    </row>
    <row r="980" spans="1:14" ht="180">
      <c r="A980" s="3" t="s">
        <v>4349</v>
      </c>
      <c r="B980" s="3" t="s">
        <v>4350</v>
      </c>
      <c r="C980" s="3" t="s">
        <v>13</v>
      </c>
      <c r="D980" s="3" t="s">
        <v>6266</v>
      </c>
      <c r="E980" s="3" t="s">
        <v>202</v>
      </c>
      <c r="F980" s="3" t="s">
        <v>3</v>
      </c>
      <c r="G980" s="3" t="s">
        <v>106</v>
      </c>
      <c r="H980" s="3"/>
      <c r="I980" s="3"/>
      <c r="J980" s="3" t="s">
        <v>4351</v>
      </c>
      <c r="K980" s="3"/>
      <c r="L980" s="3" t="s">
        <v>4352</v>
      </c>
      <c r="M980" s="3" t="str">
        <f>HYPERLINK("https://ceds.ed.gov/cedselementdetails.aspx?termid=5204")</f>
        <v>https://ceds.ed.gov/cedselementdetails.aspx?termid=5204</v>
      </c>
      <c r="N980" s="3" t="str">
        <f>HYPERLINK("https://ceds.ed.gov/elementComment.aspx?elementName=Organization Name &amp;elementID=5204", "Click here to submit comment")</f>
        <v>Click here to submit comment</v>
      </c>
    </row>
    <row r="981" spans="1:14" ht="60">
      <c r="A981" s="3" t="s">
        <v>4353</v>
      </c>
      <c r="B981" s="3" t="s">
        <v>4354</v>
      </c>
      <c r="C981" s="3" t="s">
        <v>6267</v>
      </c>
      <c r="D981" s="3" t="s">
        <v>6268</v>
      </c>
      <c r="E981" s="3"/>
      <c r="F981" s="3" t="s">
        <v>54</v>
      </c>
      <c r="G981" s="3"/>
      <c r="H981" s="3"/>
      <c r="I981" s="3"/>
      <c r="J981" s="3" t="s">
        <v>4355</v>
      </c>
      <c r="K981" s="3"/>
      <c r="L981" s="3" t="s">
        <v>4356</v>
      </c>
      <c r="M981" s="3" t="str">
        <f>HYPERLINK("https://ceds.ed.gov/cedselementdetails.aspx?termid=6387")</f>
        <v>https://ceds.ed.gov/cedselementdetails.aspx?termid=6387</v>
      </c>
      <c r="N981" s="3" t="str">
        <f>HYPERLINK("https://ceds.ed.gov/elementComment.aspx?elementName=Organization Operational Status &amp;elementID=6387", "Click here to submit comment")</f>
        <v>Click here to submit comment</v>
      </c>
    </row>
    <row r="982" spans="1:14" ht="45">
      <c r="A982" s="3" t="s">
        <v>4357</v>
      </c>
      <c r="B982" s="3" t="s">
        <v>4358</v>
      </c>
      <c r="C982" s="3" t="s">
        <v>13</v>
      </c>
      <c r="D982" s="3" t="s">
        <v>64</v>
      </c>
      <c r="E982" s="3"/>
      <c r="F982" s="3" t="s">
        <v>54</v>
      </c>
      <c r="G982" s="3" t="s">
        <v>73</v>
      </c>
      <c r="H982" s="3"/>
      <c r="I982" s="3"/>
      <c r="J982" s="3" t="s">
        <v>4359</v>
      </c>
      <c r="K982" s="3"/>
      <c r="L982" s="3" t="s">
        <v>4360</v>
      </c>
      <c r="M982" s="3" t="str">
        <f>HYPERLINK("https://ceds.ed.gov/cedselementdetails.aspx?termid=6388")</f>
        <v>https://ceds.ed.gov/cedselementdetails.aspx?termid=6388</v>
      </c>
      <c r="N982" s="3" t="str">
        <f>HYPERLINK("https://ceds.ed.gov/elementComment.aspx?elementName=Organization Seeking Accreditation Date &amp;elementID=6388", "Click here to submit comment")</f>
        <v>Click here to submit comment</v>
      </c>
    </row>
    <row r="983" spans="1:14" ht="409.5">
      <c r="A983" s="3" t="s">
        <v>4361</v>
      </c>
      <c r="B983" s="3" t="s">
        <v>4362</v>
      </c>
      <c r="C983" s="4" t="s">
        <v>6592</v>
      </c>
      <c r="D983" s="3" t="s">
        <v>6269</v>
      </c>
      <c r="E983" s="3"/>
      <c r="F983" s="3" t="s">
        <v>66</v>
      </c>
      <c r="G983" s="3" t="s">
        <v>149</v>
      </c>
      <c r="H983" s="3" t="s">
        <v>4363</v>
      </c>
      <c r="I983" s="3" t="s">
        <v>4364</v>
      </c>
      <c r="J983" s="3" t="s">
        <v>4365</v>
      </c>
      <c r="K983" s="3"/>
      <c r="L983" s="3" t="s">
        <v>4366</v>
      </c>
      <c r="M983" s="3" t="str">
        <f>HYPERLINK("https://ceds.ed.gov/cedselementdetails.aspx?termid=6165")</f>
        <v>https://ceds.ed.gov/cedselementdetails.aspx?termid=6165</v>
      </c>
      <c r="N983" s="3" t="str">
        <f>HYPERLINK("https://ceds.ed.gov/elementComment.aspx?elementName=Organization Type &amp;elementID=6165", "Click here to submit comment")</f>
        <v>Click here to submit comment</v>
      </c>
    </row>
    <row r="984" spans="1:14" ht="30">
      <c r="A984" s="3" t="s">
        <v>4367</v>
      </c>
      <c r="B984" s="3" t="s">
        <v>4368</v>
      </c>
      <c r="C984" s="3" t="s">
        <v>13</v>
      </c>
      <c r="D984" s="3" t="s">
        <v>4166</v>
      </c>
      <c r="E984" s="3"/>
      <c r="F984" s="3" t="s">
        <v>54</v>
      </c>
      <c r="G984" s="3" t="s">
        <v>93</v>
      </c>
      <c r="H984" s="3"/>
      <c r="I984" s="3"/>
      <c r="J984" s="3" t="s">
        <v>4369</v>
      </c>
      <c r="K984" s="3"/>
      <c r="L984" s="3" t="s">
        <v>4370</v>
      </c>
      <c r="M984" s="3" t="str">
        <f>HYPERLINK("https://ceds.ed.gov/cedselementdetails.aspx?termid=6300")</f>
        <v>https://ceds.ed.gov/cedselementdetails.aspx?termid=6300</v>
      </c>
      <c r="N984" s="3" t="str">
        <f>HYPERLINK("https://ceds.ed.gov/elementComment.aspx?elementName=Organization Type of Monitoring &amp;elementID=6300", "Click here to submit comment")</f>
        <v>Click here to submit comment</v>
      </c>
    </row>
    <row r="985" spans="1:14" ht="75">
      <c r="A985" s="3" t="s">
        <v>4371</v>
      </c>
      <c r="B985" s="3" t="s">
        <v>4372</v>
      </c>
      <c r="C985" s="3" t="s">
        <v>13</v>
      </c>
      <c r="D985" s="3" t="s">
        <v>1831</v>
      </c>
      <c r="E985" s="3"/>
      <c r="F985" s="3" t="s">
        <v>54</v>
      </c>
      <c r="G985" s="3" t="s">
        <v>100</v>
      </c>
      <c r="H985" s="3"/>
      <c r="I985" s="3"/>
      <c r="J985" s="3" t="s">
        <v>4373</v>
      </c>
      <c r="K985" s="3"/>
      <c r="L985" s="3" t="s">
        <v>4374</v>
      </c>
      <c r="M985" s="3" t="str">
        <f>HYPERLINK("https://ceds.ed.gov/cedselementdetails.aspx?termid=6389")</f>
        <v>https://ceds.ed.gov/cedselementdetails.aspx?termid=6389</v>
      </c>
      <c r="N985" s="3" t="str">
        <f>HYPERLINK("https://ceds.ed.gov/elementComment.aspx?elementName=Original Course Identifier &amp;elementID=6389", "Click here to submit comment")</f>
        <v>Click here to submit comment</v>
      </c>
    </row>
    <row r="986" spans="1:14" ht="409.5">
      <c r="A986" s="3" t="s">
        <v>4375</v>
      </c>
      <c r="B986" s="3" t="s">
        <v>4376</v>
      </c>
      <c r="C986" s="3" t="s">
        <v>13</v>
      </c>
      <c r="D986" s="3" t="s">
        <v>6270</v>
      </c>
      <c r="E986" s="3"/>
      <c r="F986" s="3" t="s">
        <v>54</v>
      </c>
      <c r="G986" s="3" t="s">
        <v>1368</v>
      </c>
      <c r="H986" s="3"/>
      <c r="I986" s="3" t="s">
        <v>4377</v>
      </c>
      <c r="J986" s="3" t="s">
        <v>4378</v>
      </c>
      <c r="K986" s="3"/>
      <c r="L986" s="3" t="s">
        <v>4379</v>
      </c>
      <c r="M986" s="3" t="str">
        <f>HYPERLINK("https://ceds.ed.gov/cedselementdetails.aspx?termid=6486")</f>
        <v>https://ceds.ed.gov/cedselementdetails.aspx?termid=6486</v>
      </c>
      <c r="N986" s="3" t="str">
        <f>HYPERLINK("https://ceds.ed.gov/elementComment.aspx?elementName=Other First Name &amp;elementID=6486", "Click here to submit comment")</f>
        <v>Click here to submit comment</v>
      </c>
    </row>
    <row r="987" spans="1:14" ht="409.5">
      <c r="A987" s="3" t="s">
        <v>4380</v>
      </c>
      <c r="B987" s="3" t="s">
        <v>4381</v>
      </c>
      <c r="C987" s="3" t="s">
        <v>13</v>
      </c>
      <c r="D987" s="3" t="s">
        <v>6270</v>
      </c>
      <c r="E987" s="3"/>
      <c r="F987" s="3" t="s">
        <v>54</v>
      </c>
      <c r="G987" s="3" t="s">
        <v>1368</v>
      </c>
      <c r="H987" s="3"/>
      <c r="I987" s="3" t="s">
        <v>4382</v>
      </c>
      <c r="J987" s="3" t="s">
        <v>4383</v>
      </c>
      <c r="K987" s="3"/>
      <c r="L987" s="3" t="s">
        <v>4384</v>
      </c>
      <c r="M987" s="3" t="str">
        <f>HYPERLINK("https://ceds.ed.gov/cedselementdetails.aspx?termid=6485")</f>
        <v>https://ceds.ed.gov/cedselementdetails.aspx?termid=6485</v>
      </c>
      <c r="N987" s="3" t="str">
        <f>HYPERLINK("https://ceds.ed.gov/elementComment.aspx?elementName=Other Last Name &amp;elementID=6485", "Click here to submit comment")</f>
        <v>Click here to submit comment</v>
      </c>
    </row>
    <row r="988" spans="1:14" ht="409.5">
      <c r="A988" s="3" t="s">
        <v>4385</v>
      </c>
      <c r="B988" s="3" t="s">
        <v>4386</v>
      </c>
      <c r="C988" s="3" t="s">
        <v>13</v>
      </c>
      <c r="D988" s="3" t="s">
        <v>6270</v>
      </c>
      <c r="E988" s="3"/>
      <c r="F988" s="3" t="s">
        <v>54</v>
      </c>
      <c r="G988" s="3" t="s">
        <v>1368</v>
      </c>
      <c r="H988" s="3"/>
      <c r="I988" s="3" t="s">
        <v>4387</v>
      </c>
      <c r="J988" s="3" t="s">
        <v>4388</v>
      </c>
      <c r="K988" s="3"/>
      <c r="L988" s="3" t="s">
        <v>4389</v>
      </c>
      <c r="M988" s="3" t="str">
        <f>HYPERLINK("https://ceds.ed.gov/cedselementdetails.aspx?termid=6487")</f>
        <v>https://ceds.ed.gov/cedselementdetails.aspx?termid=6487</v>
      </c>
      <c r="N988" s="3" t="str">
        <f>HYPERLINK("https://ceds.ed.gov/elementComment.aspx?elementName=Other Middle Name &amp;elementID=6487", "Click here to submit comment")</f>
        <v>Click here to submit comment</v>
      </c>
    </row>
    <row r="989" spans="1:14" ht="409.5">
      <c r="A989" s="3" t="s">
        <v>4390</v>
      </c>
      <c r="B989" s="3" t="s">
        <v>4391</v>
      </c>
      <c r="C989" s="3" t="s">
        <v>13</v>
      </c>
      <c r="D989" s="3" t="s">
        <v>6271</v>
      </c>
      <c r="E989" s="3" t="s">
        <v>6179</v>
      </c>
      <c r="F989" s="3" t="s">
        <v>3</v>
      </c>
      <c r="G989" s="3" t="s">
        <v>149</v>
      </c>
      <c r="H989" s="3"/>
      <c r="I989" s="3"/>
      <c r="J989" s="3" t="s">
        <v>4392</v>
      </c>
      <c r="K989" s="3"/>
      <c r="L989" s="3" t="s">
        <v>4393</v>
      </c>
      <c r="M989" s="3" t="str">
        <f>HYPERLINK("https://ceds.ed.gov/cedselementdetails.aspx?termid=5206")</f>
        <v>https://ceds.ed.gov/cedselementdetails.aspx?termid=5206</v>
      </c>
      <c r="N989" s="3" t="str">
        <f>HYPERLINK("https://ceds.ed.gov/elementComment.aspx?elementName=Other Name &amp;elementID=5206", "Click here to submit comment")</f>
        <v>Click here to submit comment</v>
      </c>
    </row>
    <row r="990" spans="1:14" ht="409.5">
      <c r="A990" s="3" t="s">
        <v>4394</v>
      </c>
      <c r="B990" s="3" t="s">
        <v>4395</v>
      </c>
      <c r="C990" s="4" t="s">
        <v>6593</v>
      </c>
      <c r="D990" s="3" t="s">
        <v>6272</v>
      </c>
      <c r="E990" s="3" t="s">
        <v>6273</v>
      </c>
      <c r="F990" s="3" t="s">
        <v>3</v>
      </c>
      <c r="G990" s="3" t="s">
        <v>100</v>
      </c>
      <c r="H990" s="3"/>
      <c r="I990" s="3"/>
      <c r="J990" s="3" t="s">
        <v>4396</v>
      </c>
      <c r="K990" s="3"/>
      <c r="L990" s="3" t="s">
        <v>4397</v>
      </c>
      <c r="M990" s="3" t="str">
        <f>HYPERLINK("https://ceds.ed.gov/cedselementdetails.aspx?termid=5627")</f>
        <v>https://ceds.ed.gov/cedselementdetails.aspx?termid=5627</v>
      </c>
      <c r="N990" s="3" t="str">
        <f>HYPERLINK("https://ceds.ed.gov/elementComment.aspx?elementName=Other Name Type &amp;elementID=5627", "Click here to submit comment")</f>
        <v>Click here to submit comment</v>
      </c>
    </row>
    <row r="991" spans="1:14" ht="45">
      <c r="A991" s="3" t="s">
        <v>4398</v>
      </c>
      <c r="B991" s="3" t="s">
        <v>4399</v>
      </c>
      <c r="C991" s="3" t="s">
        <v>5963</v>
      </c>
      <c r="D991" s="3" t="s">
        <v>2787</v>
      </c>
      <c r="E991" s="3"/>
      <c r="F991" s="3" t="s">
        <v>54</v>
      </c>
      <c r="G991" s="3"/>
      <c r="H991" s="3"/>
      <c r="I991" s="3" t="s">
        <v>4400</v>
      </c>
      <c r="J991" s="3" t="s">
        <v>4401</v>
      </c>
      <c r="K991" s="3"/>
      <c r="L991" s="3" t="s">
        <v>4402</v>
      </c>
      <c r="M991" s="3" t="str">
        <f>HYPERLINK("https://ceds.ed.gov/cedselementdetails.aspx?termid=6390")</f>
        <v>https://ceds.ed.gov/cedselementdetails.aspx?termid=6390</v>
      </c>
      <c r="N991" s="3" t="str">
        <f>HYPERLINK("https://ceds.ed.gov/elementComment.aspx?elementName=Other Race Indicator &amp;elementID=6390", "Click here to submit comment")</f>
        <v>Click here to submit comment</v>
      </c>
    </row>
    <row r="992" spans="1:14" ht="75">
      <c r="A992" s="3" t="s">
        <v>4403</v>
      </c>
      <c r="B992" s="3" t="s">
        <v>4404</v>
      </c>
      <c r="C992" s="3" t="s">
        <v>13</v>
      </c>
      <c r="D992" s="3" t="s">
        <v>1494</v>
      </c>
      <c r="E992" s="3" t="s">
        <v>1495</v>
      </c>
      <c r="F992" s="3"/>
      <c r="G992" s="3" t="s">
        <v>1461</v>
      </c>
      <c r="H992" s="3"/>
      <c r="I992" s="3" t="s">
        <v>358</v>
      </c>
      <c r="J992" s="3" t="s">
        <v>4405</v>
      </c>
      <c r="K992" s="3"/>
      <c r="L992" s="3" t="s">
        <v>4406</v>
      </c>
      <c r="M992" s="3" t="str">
        <f>HYPERLINK("https://ceds.ed.gov/cedselementdetails.aspx?termid=5731")</f>
        <v>https://ceds.ed.gov/cedselementdetails.aspx?termid=5731</v>
      </c>
      <c r="N992" s="3" t="str">
        <f>HYPERLINK("https://ceds.ed.gov/elementComment.aspx?elementName=Other Student Expenses &amp;elementID=5731", "Click here to submit comment")</f>
        <v>Click here to submit comment</v>
      </c>
    </row>
    <row r="993" spans="1:14" ht="45">
      <c r="A993" s="3" t="s">
        <v>4407</v>
      </c>
      <c r="B993" s="3" t="s">
        <v>4408</v>
      </c>
      <c r="C993" s="3" t="s">
        <v>13</v>
      </c>
      <c r="D993" s="3" t="s">
        <v>1831</v>
      </c>
      <c r="E993" s="3"/>
      <c r="F993" s="3" t="s">
        <v>54</v>
      </c>
      <c r="G993" s="3" t="s">
        <v>100</v>
      </c>
      <c r="H993" s="3"/>
      <c r="I993" s="3"/>
      <c r="J993" s="3" t="s">
        <v>4409</v>
      </c>
      <c r="K993" s="3"/>
      <c r="L993" s="3" t="s">
        <v>4410</v>
      </c>
      <c r="M993" s="3" t="str">
        <f>HYPERLINK("https://ceds.ed.gov/cedselementdetails.aspx?termid=6391")</f>
        <v>https://ceds.ed.gov/cedselementdetails.aspx?termid=6391</v>
      </c>
      <c r="N993" s="3" t="str">
        <f>HYPERLINK("https://ceds.ed.gov/elementComment.aspx?elementName=Override School Course Number &amp;elementID=6391", "Click here to submit comment")</f>
        <v>Click here to submit comment</v>
      </c>
    </row>
    <row r="994" spans="1:14" ht="60">
      <c r="A994" s="3" t="s">
        <v>4411</v>
      </c>
      <c r="B994" s="3" t="s">
        <v>4412</v>
      </c>
      <c r="C994" s="4" t="s">
        <v>6594</v>
      </c>
      <c r="D994" s="3" t="s">
        <v>2977</v>
      </c>
      <c r="E994" s="3" t="s">
        <v>218</v>
      </c>
      <c r="F994" s="3"/>
      <c r="G994" s="3"/>
      <c r="H994" s="3"/>
      <c r="I994" s="3"/>
      <c r="J994" s="3" t="s">
        <v>4413</v>
      </c>
      <c r="K994" s="3"/>
      <c r="L994" s="3" t="s">
        <v>4414</v>
      </c>
      <c r="M994" s="3" t="str">
        <f>HYPERLINK("https://ceds.ed.gov/cedselementdetails.aspx?termid=5207")</f>
        <v>https://ceds.ed.gov/cedselementdetails.aspx?termid=5207</v>
      </c>
      <c r="N994" s="3" t="str">
        <f>HYPERLINK("https://ceds.ed.gov/elementComment.aspx?elementName=Paraprofessional Qualification Status &amp;elementID=5207", "Click here to submit comment")</f>
        <v>Click here to submit comment</v>
      </c>
    </row>
    <row r="995" spans="1:14" ht="150">
      <c r="A995" s="3" t="s">
        <v>4415</v>
      </c>
      <c r="B995" s="3" t="s">
        <v>4416</v>
      </c>
      <c r="C995" s="4" t="s">
        <v>6595</v>
      </c>
      <c r="D995" s="3" t="s">
        <v>1287</v>
      </c>
      <c r="E995" s="3" t="s">
        <v>65</v>
      </c>
      <c r="F995" s="3"/>
      <c r="G995" s="3"/>
      <c r="H995" s="3"/>
      <c r="I995" s="3"/>
      <c r="J995" s="3" t="s">
        <v>4417</v>
      </c>
      <c r="K995" s="3"/>
      <c r="L995" s="3" t="s">
        <v>4418</v>
      </c>
      <c r="M995" s="3" t="str">
        <f>HYPERLINK("https://ceds.ed.gov/cedselementdetails.aspx?termid=5857")</f>
        <v>https://ceds.ed.gov/cedselementdetails.aspx?termid=5857</v>
      </c>
      <c r="N995" s="3" t="str">
        <f>HYPERLINK("https://ceds.ed.gov/elementComment.aspx?elementName=Parent Communication Method &amp;elementID=5857", "Click here to submit comment")</f>
        <v>Click here to submit comment</v>
      </c>
    </row>
    <row r="996" spans="1:14" ht="409.5">
      <c r="A996" s="3" t="s">
        <v>4419</v>
      </c>
      <c r="B996" s="3" t="s">
        <v>4420</v>
      </c>
      <c r="C996" s="4" t="s">
        <v>6518</v>
      </c>
      <c r="D996" s="3" t="s">
        <v>2186</v>
      </c>
      <c r="E996" s="3" t="s">
        <v>6145</v>
      </c>
      <c r="F996" s="3"/>
      <c r="G996" s="3"/>
      <c r="H996" s="3"/>
      <c r="I996" s="3"/>
      <c r="J996" s="3" t="s">
        <v>4421</v>
      </c>
      <c r="K996" s="3"/>
      <c r="L996" s="3" t="s">
        <v>4422</v>
      </c>
      <c r="M996" s="3" t="str">
        <f>HYPERLINK("https://ceds.ed.gov/cedselementdetails.aspx?termid=5867")</f>
        <v>https://ceds.ed.gov/cedselementdetails.aspx?termid=5867</v>
      </c>
      <c r="N996" s="3" t="str">
        <f>HYPERLINK("https://ceds.ed.gov/elementComment.aspx?elementName=Part-Time Employee Benefits &amp;elementID=5867", "Click here to submit comment")</f>
        <v>Click here to submit comment</v>
      </c>
    </row>
    <row r="997" spans="1:14" ht="300">
      <c r="A997" s="3" t="s">
        <v>4423</v>
      </c>
      <c r="B997" s="3" t="s">
        <v>4424</v>
      </c>
      <c r="C997" s="4" t="s">
        <v>6596</v>
      </c>
      <c r="D997" s="3" t="s">
        <v>6274</v>
      </c>
      <c r="E997" s="3" t="s">
        <v>5988</v>
      </c>
      <c r="F997" s="3"/>
      <c r="G997" s="3"/>
      <c r="H997" s="3"/>
      <c r="I997" s="3"/>
      <c r="J997" s="3" t="s">
        <v>4425</v>
      </c>
      <c r="K997" s="3"/>
      <c r="L997" s="3" t="s">
        <v>4426</v>
      </c>
      <c r="M997" s="3" t="str">
        <f>HYPERLINK("https://ceds.ed.gov/cedselementdetails.aspx?termid=5325")</f>
        <v>https://ceds.ed.gov/cedselementdetails.aspx?termid=5325</v>
      </c>
      <c r="N997" s="3" t="str">
        <f>HYPERLINK("https://ceds.ed.gov/elementComment.aspx?elementName=Participation in School Food Service Programs &amp;elementID=5325", "Click here to submit comment")</f>
        <v>Click here to submit comment</v>
      </c>
    </row>
    <row r="998" spans="1:14" ht="120">
      <c r="A998" s="3" t="s">
        <v>4427</v>
      </c>
      <c r="B998" s="3" t="s">
        <v>4428</v>
      </c>
      <c r="C998" s="4" t="s">
        <v>6597</v>
      </c>
      <c r="D998" s="3" t="s">
        <v>5979</v>
      </c>
      <c r="E998" s="3" t="s">
        <v>218</v>
      </c>
      <c r="F998" s="3"/>
      <c r="G998" s="3"/>
      <c r="H998" s="3"/>
      <c r="I998" s="3"/>
      <c r="J998" s="3" t="s">
        <v>4429</v>
      </c>
      <c r="K998" s="3"/>
      <c r="L998" s="3" t="s">
        <v>4430</v>
      </c>
      <c r="M998" s="3" t="str">
        <f>HYPERLINK("https://ceds.ed.gov/cedselementdetails.aspx?termid=5208")</f>
        <v>https://ceds.ed.gov/cedselementdetails.aspx?termid=5208</v>
      </c>
      <c r="N998" s="3" t="str">
        <f>HYPERLINK("https://ceds.ed.gov/elementComment.aspx?elementName=Participation Status for Math &amp;elementID=5208", "Click here to submit comment")</f>
        <v>Click here to submit comment</v>
      </c>
    </row>
    <row r="999" spans="1:14" ht="120">
      <c r="A999" s="3" t="s">
        <v>4431</v>
      </c>
      <c r="B999" s="3" t="s">
        <v>4432</v>
      </c>
      <c r="C999" s="4" t="s">
        <v>6597</v>
      </c>
      <c r="D999" s="3" t="s">
        <v>5979</v>
      </c>
      <c r="E999" s="3" t="s">
        <v>218</v>
      </c>
      <c r="F999" s="3"/>
      <c r="G999" s="3"/>
      <c r="H999" s="3"/>
      <c r="I999" s="3"/>
      <c r="J999" s="3" t="s">
        <v>4433</v>
      </c>
      <c r="K999" s="3"/>
      <c r="L999" s="3" t="s">
        <v>4434</v>
      </c>
      <c r="M999" s="3" t="str">
        <f>HYPERLINK("https://ceds.ed.gov/cedselementdetails.aspx?termid=5209")</f>
        <v>https://ceds.ed.gov/cedselementdetails.aspx?termid=5209</v>
      </c>
      <c r="N999" s="3" t="str">
        <f>HYPERLINK("https://ceds.ed.gov/elementComment.aspx?elementName=Participation Status for Reading and Language Arts &amp;elementID=5209", "Click here to submit comment")</f>
        <v>Click here to submit comment</v>
      </c>
    </row>
    <row r="1000" spans="1:14" ht="105">
      <c r="A1000" s="3" t="s">
        <v>4435</v>
      </c>
      <c r="B1000" s="3" t="s">
        <v>4436</v>
      </c>
      <c r="C1000" s="3" t="s">
        <v>13</v>
      </c>
      <c r="D1000" s="3" t="s">
        <v>6275</v>
      </c>
      <c r="E1000" s="3"/>
      <c r="F1000" s="3"/>
      <c r="G1000" s="3" t="s">
        <v>73</v>
      </c>
      <c r="H1000" s="3"/>
      <c r="I1000" s="3"/>
      <c r="J1000" s="3" t="s">
        <v>4437</v>
      </c>
      <c r="K1000" s="3"/>
      <c r="L1000" s="3" t="s">
        <v>4438</v>
      </c>
      <c r="M1000" s="3" t="str">
        <f>HYPERLINK("https://ceds.ed.gov/cedselementdetails.aspx?termid=6171")</f>
        <v>https://ceds.ed.gov/cedselementdetails.aspx?termid=6171</v>
      </c>
      <c r="N1000" s="3" t="str">
        <f>HYPERLINK("https://ceds.ed.gov/elementComment.aspx?elementName=Peer Rating Date &amp;elementID=6171", "Click here to submit comment")</f>
        <v>Click here to submit comment</v>
      </c>
    </row>
    <row r="1001" spans="1:14" ht="120">
      <c r="A1001" s="3" t="s">
        <v>4439</v>
      </c>
      <c r="B1001" s="3" t="s">
        <v>4440</v>
      </c>
      <c r="C1001" s="3" t="s">
        <v>13</v>
      </c>
      <c r="D1001" s="3" t="s">
        <v>6276</v>
      </c>
      <c r="E1001" s="3"/>
      <c r="F1001" s="3"/>
      <c r="G1001" s="3" t="s">
        <v>957</v>
      </c>
      <c r="H1001" s="3"/>
      <c r="I1001" s="3"/>
      <c r="J1001" s="3" t="s">
        <v>4441</v>
      </c>
      <c r="K1001" s="3"/>
      <c r="L1001" s="3" t="s">
        <v>4442</v>
      </c>
      <c r="M1001" s="3" t="str">
        <f>HYPERLINK("https://ceds.ed.gov/cedselementdetails.aspx?termid=6162")</f>
        <v>https://ceds.ed.gov/cedselementdetails.aspx?termid=6162</v>
      </c>
      <c r="N1001" s="3" t="str">
        <f>HYPERLINK("https://ceds.ed.gov/elementComment.aspx?elementName=Peer Rating System Maximum Value &amp;elementID=6162", "Click here to submit comment")</f>
        <v>Click here to submit comment</v>
      </c>
    </row>
    <row r="1002" spans="1:14" ht="120">
      <c r="A1002" s="3" t="s">
        <v>4443</v>
      </c>
      <c r="B1002" s="3" t="s">
        <v>4444</v>
      </c>
      <c r="C1002" s="3" t="s">
        <v>13</v>
      </c>
      <c r="D1002" s="3" t="s">
        <v>6276</v>
      </c>
      <c r="E1002" s="3"/>
      <c r="F1002" s="3"/>
      <c r="G1002" s="3" t="s">
        <v>957</v>
      </c>
      <c r="H1002" s="3"/>
      <c r="I1002" s="3"/>
      <c r="J1002" s="3" t="s">
        <v>4445</v>
      </c>
      <c r="K1002" s="3"/>
      <c r="L1002" s="3" t="s">
        <v>4446</v>
      </c>
      <c r="M1002" s="3" t="str">
        <f>HYPERLINK("https://ceds.ed.gov/cedselementdetails.aspx?termid=6163")</f>
        <v>https://ceds.ed.gov/cedselementdetails.aspx?termid=6163</v>
      </c>
      <c r="N1002" s="3" t="str">
        <f>HYPERLINK("https://ceds.ed.gov/elementComment.aspx?elementName=Peer Rating System Minimum Value &amp;elementID=6163", "Click here to submit comment")</f>
        <v>Click here to submit comment</v>
      </c>
    </row>
    <row r="1003" spans="1:14" ht="120">
      <c r="A1003" s="3" t="s">
        <v>4447</v>
      </c>
      <c r="B1003" s="3" t="s">
        <v>4448</v>
      </c>
      <c r="C1003" s="3" t="s">
        <v>13</v>
      </c>
      <c r="D1003" s="3" t="s">
        <v>6276</v>
      </c>
      <c r="E1003" s="3"/>
      <c r="F1003" s="3"/>
      <c r="G1003" s="3" t="s">
        <v>106</v>
      </c>
      <c r="H1003" s="3"/>
      <c r="I1003" s="3"/>
      <c r="J1003" s="3" t="s">
        <v>4449</v>
      </c>
      <c r="K1003" s="3"/>
      <c r="L1003" s="3" t="s">
        <v>4450</v>
      </c>
      <c r="M1003" s="3" t="str">
        <f>HYPERLINK("https://ceds.ed.gov/cedselementdetails.aspx?termid=6160")</f>
        <v>https://ceds.ed.gov/cedselementdetails.aspx?termid=6160</v>
      </c>
      <c r="N1003" s="3" t="str">
        <f>HYPERLINK("https://ceds.ed.gov/elementComment.aspx?elementName=Peer Rating System Name &amp;elementID=6160", "Click here to submit comment")</f>
        <v>Click here to submit comment</v>
      </c>
    </row>
    <row r="1004" spans="1:14" ht="120">
      <c r="A1004" s="3" t="s">
        <v>4451</v>
      </c>
      <c r="B1004" s="3" t="s">
        <v>4452</v>
      </c>
      <c r="C1004" s="3" t="s">
        <v>13</v>
      </c>
      <c r="D1004" s="3" t="s">
        <v>6276</v>
      </c>
      <c r="E1004" s="3"/>
      <c r="F1004" s="3"/>
      <c r="G1004" s="3" t="s">
        <v>957</v>
      </c>
      <c r="H1004" s="3"/>
      <c r="I1004" s="3"/>
      <c r="J1004" s="3" t="s">
        <v>4453</v>
      </c>
      <c r="K1004" s="3"/>
      <c r="L1004" s="3" t="s">
        <v>4454</v>
      </c>
      <c r="M1004" s="3" t="str">
        <f>HYPERLINK("https://ceds.ed.gov/cedselementdetails.aspx?termid=6164")</f>
        <v>https://ceds.ed.gov/cedselementdetails.aspx?termid=6164</v>
      </c>
      <c r="N1004" s="3" t="str">
        <f>HYPERLINK("https://ceds.ed.gov/elementComment.aspx?elementName=Peer Rating System Optimum Value &amp;elementID=6164", "Click here to submit comment")</f>
        <v>Click here to submit comment</v>
      </c>
    </row>
    <row r="1005" spans="1:14" ht="210">
      <c r="A1005" s="3" t="s">
        <v>4459</v>
      </c>
      <c r="B1005" s="3" t="s">
        <v>4460</v>
      </c>
      <c r="C1005" s="3" t="s">
        <v>5963</v>
      </c>
      <c r="D1005" s="3" t="s">
        <v>3982</v>
      </c>
      <c r="E1005" s="3" t="s">
        <v>218</v>
      </c>
      <c r="F1005" s="3"/>
      <c r="G1005" s="3"/>
      <c r="H1005" s="3"/>
      <c r="I1005" s="3"/>
      <c r="J1005" s="3" t="s">
        <v>4461</v>
      </c>
      <c r="K1005" s="3" t="s">
        <v>4462</v>
      </c>
      <c r="L1005" s="3" t="s">
        <v>4463</v>
      </c>
      <c r="M1005" s="3" t="str">
        <f>HYPERLINK("https://ceds.ed.gov/cedselementdetails.aspx?termid=5574")</f>
        <v>https://ceds.ed.gov/cedselementdetails.aspx?termid=5574</v>
      </c>
      <c r="N1005" s="3" t="str">
        <f>HYPERLINK("https://ceds.ed.gov/elementComment.aspx?elementName=Perkins Limited English Proficiency Status &amp;elementID=5574", "Click here to submit comment")</f>
        <v>Click here to submit comment</v>
      </c>
    </row>
    <row r="1006" spans="1:14" ht="45">
      <c r="A1006" s="3" t="s">
        <v>4464</v>
      </c>
      <c r="B1006" s="3" t="s">
        <v>4465</v>
      </c>
      <c r="C1006" s="3" t="s">
        <v>5963</v>
      </c>
      <c r="D1006" s="3" t="s">
        <v>1806</v>
      </c>
      <c r="E1006" s="3" t="s">
        <v>218</v>
      </c>
      <c r="F1006" s="3"/>
      <c r="G1006" s="3"/>
      <c r="H1006" s="3"/>
      <c r="I1006" s="3"/>
      <c r="J1006" s="3" t="s">
        <v>4466</v>
      </c>
      <c r="K1006" s="3"/>
      <c r="L1006" s="3" t="s">
        <v>4467</v>
      </c>
      <c r="M1006" s="3" t="str">
        <f>HYPERLINK("https://ceds.ed.gov/cedselementdetails.aspx?termid=5210")</f>
        <v>https://ceds.ed.gov/cedselementdetails.aspx?termid=5210</v>
      </c>
      <c r="N1006" s="3" t="str">
        <f>HYPERLINK("https://ceds.ed.gov/elementComment.aspx?elementName=Persistently Dangerous Status &amp;elementID=5210", "Click here to submit comment")</f>
        <v>Click here to submit comment</v>
      </c>
    </row>
    <row r="1007" spans="1:14" ht="45">
      <c r="A1007" s="3" t="s">
        <v>4468</v>
      </c>
      <c r="B1007" s="3" t="s">
        <v>4469</v>
      </c>
      <c r="C1007" s="3" t="s">
        <v>5963</v>
      </c>
      <c r="D1007" s="3" t="s">
        <v>1806</v>
      </c>
      <c r="E1007" s="3" t="s">
        <v>218</v>
      </c>
      <c r="F1007" s="3"/>
      <c r="G1007" s="3"/>
      <c r="H1007" s="3"/>
      <c r="I1007" s="3"/>
      <c r="J1007" s="3" t="s">
        <v>4470</v>
      </c>
      <c r="K1007" s="3"/>
      <c r="L1007" s="3" t="s">
        <v>4471</v>
      </c>
      <c r="M1007" s="3" t="str">
        <f>HYPERLINK("https://ceds.ed.gov/cedselementdetails.aspx?termid=5211")</f>
        <v>https://ceds.ed.gov/cedselementdetails.aspx?termid=5211</v>
      </c>
      <c r="N1007" s="3" t="str">
        <f>HYPERLINK("https://ceds.ed.gov/elementComment.aspx?elementName=Persistently Lowest Achieving School Status &amp;elementID=5211", "Click here to submit comment")</f>
        <v>Click here to submit comment</v>
      </c>
    </row>
    <row r="1008" spans="1:14" ht="225">
      <c r="A1008" s="3" t="s">
        <v>4472</v>
      </c>
      <c r="B1008" s="3" t="s">
        <v>4473</v>
      </c>
      <c r="C1008" s="3" t="s">
        <v>13</v>
      </c>
      <c r="D1008" s="3" t="s">
        <v>2483</v>
      </c>
      <c r="E1008" s="3"/>
      <c r="F1008" s="3" t="s">
        <v>66</v>
      </c>
      <c r="G1008" s="3" t="s">
        <v>575</v>
      </c>
      <c r="H1008" s="3" t="s">
        <v>4474</v>
      </c>
      <c r="I1008" s="3" t="s">
        <v>4475</v>
      </c>
      <c r="J1008" s="3" t="s">
        <v>4476</v>
      </c>
      <c r="K1008" s="3"/>
      <c r="L1008" s="3" t="s">
        <v>4477</v>
      </c>
      <c r="M1008" s="3" t="str">
        <f>HYPERLINK("https://ceds.ed.gov/cedselementdetails.aspx?termid=5993")</f>
        <v>https://ceds.ed.gov/cedselementdetails.aspx?termid=5993</v>
      </c>
      <c r="N1008" s="3" t="str">
        <f>HYPERLINK("https://ceds.ed.gov/elementComment.aspx?elementName=Person Employed in Multiple Jobs Count &amp;elementID=5993", "Click here to submit comment")</f>
        <v>Click here to submit comment</v>
      </c>
    </row>
    <row r="1009" spans="1:14" ht="45">
      <c r="A1009" s="3" t="s">
        <v>4478</v>
      </c>
      <c r="B1009" s="3" t="s">
        <v>4479</v>
      </c>
      <c r="C1009" s="3" t="s">
        <v>13</v>
      </c>
      <c r="D1009" s="3" t="s">
        <v>6149</v>
      </c>
      <c r="E1009" s="3"/>
      <c r="F1009" s="3" t="s">
        <v>54</v>
      </c>
      <c r="G1009" s="3" t="s">
        <v>575</v>
      </c>
      <c r="H1009" s="3"/>
      <c r="I1009" s="3"/>
      <c r="J1009" s="3" t="s">
        <v>4480</v>
      </c>
      <c r="K1009" s="3"/>
      <c r="L1009" s="3" t="s">
        <v>4481</v>
      </c>
      <c r="M1009" s="3" t="str">
        <f>HYPERLINK("https://ceds.ed.gov/cedselementdetails.aspx?termid=6392")</f>
        <v>https://ceds.ed.gov/cedselementdetails.aspx?termid=6392</v>
      </c>
      <c r="N1009" s="3" t="str">
        <f>HYPERLINK("https://ceds.ed.gov/elementComment.aspx?elementName=Person Relationship to Learner Contact Priority Number &amp;elementID=6392", "Click here to submit comment")</f>
        <v>Click here to submit comment</v>
      </c>
    </row>
    <row r="1010" spans="1:14" ht="60">
      <c r="A1010" s="3" t="s">
        <v>4482</v>
      </c>
      <c r="B1010" s="3" t="s">
        <v>4483</v>
      </c>
      <c r="C1010" s="3" t="s">
        <v>13</v>
      </c>
      <c r="D1010" s="3" t="s">
        <v>6149</v>
      </c>
      <c r="E1010" s="3"/>
      <c r="F1010" s="3" t="s">
        <v>54</v>
      </c>
      <c r="G1010" s="3" t="s">
        <v>319</v>
      </c>
      <c r="H1010" s="3"/>
      <c r="I1010" s="3"/>
      <c r="J1010" s="3" t="s">
        <v>4484</v>
      </c>
      <c r="K1010" s="3"/>
      <c r="L1010" s="3" t="s">
        <v>4485</v>
      </c>
      <c r="M1010" s="3" t="str">
        <f>HYPERLINK("https://ceds.ed.gov/cedselementdetails.aspx?termid=6393")</f>
        <v>https://ceds.ed.gov/cedselementdetails.aspx?termid=6393</v>
      </c>
      <c r="N1010" s="3" t="str">
        <f>HYPERLINK("https://ceds.ed.gov/elementComment.aspx?elementName=Person Relationship to Learner Contact Restrictions Description &amp;elementID=6393", "Click here to submit comment")</f>
        <v>Click here to submit comment</v>
      </c>
    </row>
    <row r="1011" spans="1:14" ht="45">
      <c r="A1011" s="3" t="s">
        <v>4486</v>
      </c>
      <c r="B1011" s="3" t="s">
        <v>4487</v>
      </c>
      <c r="C1011" s="3" t="s">
        <v>5963</v>
      </c>
      <c r="D1011" s="3" t="s">
        <v>6149</v>
      </c>
      <c r="E1011" s="3"/>
      <c r="F1011" s="3" t="s">
        <v>54</v>
      </c>
      <c r="G1011" s="3"/>
      <c r="H1011" s="3"/>
      <c r="I1011" s="3"/>
      <c r="J1011" s="3" t="s">
        <v>4488</v>
      </c>
      <c r="K1011" s="3"/>
      <c r="L1011" s="3" t="s">
        <v>4489</v>
      </c>
      <c r="M1011" s="3" t="str">
        <f>HYPERLINK("https://ceds.ed.gov/cedselementdetails.aspx?termid=6394")</f>
        <v>https://ceds.ed.gov/cedselementdetails.aspx?termid=6394</v>
      </c>
      <c r="N1011" s="3" t="str">
        <f>HYPERLINK("https://ceds.ed.gov/elementComment.aspx?elementName=Person Relationship to Learner Lives With Indicator &amp;elementID=6394", "Click here to submit comment")</f>
        <v>Click here to submit comment</v>
      </c>
    </row>
    <row r="1012" spans="1:14" ht="409.5">
      <c r="A1012" s="3" t="s">
        <v>4490</v>
      </c>
      <c r="B1012" s="3" t="s">
        <v>4491</v>
      </c>
      <c r="C1012" s="4" t="s">
        <v>6598</v>
      </c>
      <c r="D1012" s="3" t="s">
        <v>6277</v>
      </c>
      <c r="E1012" s="3" t="s">
        <v>1480</v>
      </c>
      <c r="F1012" s="3" t="s">
        <v>3</v>
      </c>
      <c r="G1012" s="3"/>
      <c r="H1012" s="3"/>
      <c r="I1012" s="3"/>
      <c r="J1012" s="3" t="s">
        <v>4492</v>
      </c>
      <c r="K1012" s="3"/>
      <c r="L1012" s="3" t="s">
        <v>4493</v>
      </c>
      <c r="M1012" s="3" t="str">
        <f>HYPERLINK("https://ceds.ed.gov/cedselementdetails.aspx?termid=5415")</f>
        <v>https://ceds.ed.gov/cedselementdetails.aspx?termid=5415</v>
      </c>
      <c r="N1012" s="3" t="str">
        <f>HYPERLINK("https://ceds.ed.gov/elementComment.aspx?elementName=Person Relationship to Learner Type &amp;elementID=5415", "Click here to submit comment")</f>
        <v>Click here to submit comment</v>
      </c>
    </row>
    <row r="1013" spans="1:14" ht="409.5">
      <c r="A1013" s="3" t="s">
        <v>4494</v>
      </c>
      <c r="B1013" s="3" t="s">
        <v>4495</v>
      </c>
      <c r="C1013" s="4" t="s">
        <v>6599</v>
      </c>
      <c r="D1013" s="3" t="s">
        <v>6278</v>
      </c>
      <c r="E1013" s="3"/>
      <c r="F1013" s="3" t="s">
        <v>3</v>
      </c>
      <c r="G1013" s="3"/>
      <c r="H1013" s="3"/>
      <c r="I1013" s="3"/>
      <c r="J1013" s="3" t="s">
        <v>4496</v>
      </c>
      <c r="K1013" s="3"/>
      <c r="L1013" s="3" t="s">
        <v>4497</v>
      </c>
      <c r="M1013" s="3" t="str">
        <f>HYPERLINK("https://ceds.ed.gov/cedselementdetails.aspx?termid=5611")</f>
        <v>https://ceds.ed.gov/cedselementdetails.aspx?termid=5611</v>
      </c>
      <c r="N1013" s="3" t="str">
        <f>HYPERLINK("https://ceds.ed.gov/elementComment.aspx?elementName=Personal Information Verification &amp;elementID=5611", "Click here to submit comment")</f>
        <v>Click here to submit comment</v>
      </c>
    </row>
    <row r="1014" spans="1:14" ht="409.5">
      <c r="A1014" s="3" t="s">
        <v>4498</v>
      </c>
      <c r="B1014" s="3" t="s">
        <v>4499</v>
      </c>
      <c r="C1014" s="3" t="s">
        <v>13</v>
      </c>
      <c r="D1014" s="3" t="s">
        <v>6279</v>
      </c>
      <c r="E1014" s="3" t="s">
        <v>6280</v>
      </c>
      <c r="F1014" s="3" t="s">
        <v>3</v>
      </c>
      <c r="G1014" s="3" t="s">
        <v>100</v>
      </c>
      <c r="H1014" s="3"/>
      <c r="I1014" s="3"/>
      <c r="J1014" s="3" t="s">
        <v>4500</v>
      </c>
      <c r="K1014" s="3" t="s">
        <v>4501</v>
      </c>
      <c r="L1014" s="3" t="s">
        <v>4502</v>
      </c>
      <c r="M1014" s="3" t="str">
        <f>HYPERLINK("https://ceds.ed.gov/cedselementdetails.aspx?termid=5212")</f>
        <v>https://ceds.ed.gov/cedselementdetails.aspx?termid=5212</v>
      </c>
      <c r="N1014" s="3" t="str">
        <f>HYPERLINK("https://ceds.ed.gov/elementComment.aspx?elementName=Personal Title or Prefix &amp;elementID=5212", "Click here to submit comment")</f>
        <v>Click here to submit comment</v>
      </c>
    </row>
    <row r="1015" spans="1:14" ht="90">
      <c r="A1015" s="3" t="s">
        <v>4503</v>
      </c>
      <c r="B1015" s="3" t="s">
        <v>4504</v>
      </c>
      <c r="C1015" s="4" t="s">
        <v>6600</v>
      </c>
      <c r="D1015" s="3" t="s">
        <v>229</v>
      </c>
      <c r="E1015" s="3" t="s">
        <v>65</v>
      </c>
      <c r="F1015" s="3"/>
      <c r="G1015" s="3"/>
      <c r="H1015" s="3"/>
      <c r="I1015" s="3"/>
      <c r="J1015" s="3" t="s">
        <v>4505</v>
      </c>
      <c r="K1015" s="3"/>
      <c r="L1015" s="3" t="s">
        <v>4506</v>
      </c>
      <c r="M1015" s="3" t="str">
        <f>HYPERLINK("https://ceds.ed.gov/cedselementdetails.aspx?termid=5842")</f>
        <v>https://ceds.ed.gov/cedselementdetails.aspx?termid=5842</v>
      </c>
      <c r="N1015" s="3" t="str">
        <f>HYPERLINK("https://ceds.ed.gov/elementComment.aspx?elementName=Personnel Policy Type &amp;elementID=5842", "Click here to submit comment")</f>
        <v>Click here to submit comment</v>
      </c>
    </row>
    <row r="1016" spans="1:14" ht="105">
      <c r="A1016" s="3" t="s">
        <v>4507</v>
      </c>
      <c r="B1016" s="3" t="s">
        <v>4508</v>
      </c>
      <c r="C1016" s="3" t="s">
        <v>13</v>
      </c>
      <c r="D1016" s="3" t="s">
        <v>6281</v>
      </c>
      <c r="E1016" s="3" t="s">
        <v>5968</v>
      </c>
      <c r="F1016" s="3" t="s">
        <v>3</v>
      </c>
      <c r="G1016" s="3" t="s">
        <v>1249</v>
      </c>
      <c r="H1016" s="3"/>
      <c r="I1016" s="3"/>
      <c r="J1016" s="3" t="s">
        <v>4509</v>
      </c>
      <c r="K1016" s="3"/>
      <c r="L1016" s="3" t="s">
        <v>4510</v>
      </c>
      <c r="M1016" s="3" t="str">
        <f>HYPERLINK("https://ceds.ed.gov/cedselementdetails.aspx?termid=5213")</f>
        <v>https://ceds.ed.gov/cedselementdetails.aspx?termid=5213</v>
      </c>
      <c r="N1016" s="3" t="str">
        <f>HYPERLINK("https://ceds.ed.gov/elementComment.aspx?elementName=Position Title &amp;elementID=5213", "Click here to submit comment")</f>
        <v>Click here to submit comment</v>
      </c>
    </row>
    <row r="1017" spans="1:14" ht="180">
      <c r="A1017" s="3" t="s">
        <v>4511</v>
      </c>
      <c r="B1017" s="3" t="s">
        <v>4512</v>
      </c>
      <c r="C1017" s="3" t="s">
        <v>5963</v>
      </c>
      <c r="D1017" s="3" t="s">
        <v>236</v>
      </c>
      <c r="E1017" s="3" t="s">
        <v>237</v>
      </c>
      <c r="F1017" s="3"/>
      <c r="G1017" s="3"/>
      <c r="H1017" s="3"/>
      <c r="I1017" s="3" t="s">
        <v>4513</v>
      </c>
      <c r="J1017" s="3" t="s">
        <v>4514</v>
      </c>
      <c r="K1017" s="3"/>
      <c r="L1017" s="3" t="s">
        <v>4515</v>
      </c>
      <c r="M1017" s="3" t="str">
        <f>HYPERLINK("https://ceds.ed.gov/cedselementdetails.aspx?termid=5735")</f>
        <v>https://ceds.ed.gov/cedselementdetails.aspx?termid=5735</v>
      </c>
      <c r="N1017" s="3" t="str">
        <f>HYPERLINK("https://ceds.ed.gov/elementComment.aspx?elementName=Postsecondary Applicant &amp;elementID=5735", "Click here to submit comment")</f>
        <v>Click here to submit comment</v>
      </c>
    </row>
    <row r="1018" spans="1:14" ht="30">
      <c r="A1018" s="3" t="s">
        <v>4520</v>
      </c>
      <c r="B1018" s="3" t="s">
        <v>4521</v>
      </c>
      <c r="C1018" s="3" t="s">
        <v>13</v>
      </c>
      <c r="D1018" s="3" t="s">
        <v>314</v>
      </c>
      <c r="E1018" s="3" t="s">
        <v>24</v>
      </c>
      <c r="F1018" s="3"/>
      <c r="G1018" s="3" t="s">
        <v>106</v>
      </c>
      <c r="H1018" s="3"/>
      <c r="I1018" s="3"/>
      <c r="J1018" s="3" t="s">
        <v>4522</v>
      </c>
      <c r="K1018" s="3"/>
      <c r="L1018" s="3" t="s">
        <v>4523</v>
      </c>
      <c r="M1018" s="3" t="str">
        <f>HYPERLINK("https://ceds.ed.gov/cedselementdetails.aspx?termid=5068")</f>
        <v>https://ceds.ed.gov/cedselementdetails.aspx?termid=5068</v>
      </c>
      <c r="N1018" s="3" t="str">
        <f>HYPERLINK("https://ceds.ed.gov/elementComment.aspx?elementName=Postsecondary Course Title &amp;elementID=5068", "Click here to submit comment")</f>
        <v>Click here to submit comment</v>
      </c>
    </row>
    <row r="1019" spans="1:14" ht="75">
      <c r="A1019" s="3" t="s">
        <v>4524</v>
      </c>
      <c r="B1019" s="3" t="s">
        <v>4525</v>
      </c>
      <c r="C1019" s="4" t="s">
        <v>6362</v>
      </c>
      <c r="D1019" s="3" t="s">
        <v>30</v>
      </c>
      <c r="E1019" s="3" t="s">
        <v>218</v>
      </c>
      <c r="F1019" s="3"/>
      <c r="G1019" s="3"/>
      <c r="H1019" s="3"/>
      <c r="I1019" s="3"/>
      <c r="J1019" s="3" t="s">
        <v>4526</v>
      </c>
      <c r="K1019" s="3"/>
      <c r="L1019" s="3" t="s">
        <v>4527</v>
      </c>
      <c r="M1019" s="3" t="str">
        <f>HYPERLINK("https://ceds.ed.gov/cedselementdetails.aspx?termid=5579")</f>
        <v>https://ceds.ed.gov/cedselementdetails.aspx?termid=5579</v>
      </c>
      <c r="N1019" s="3" t="str">
        <f>HYPERLINK("https://ceds.ed.gov/elementComment.aspx?elementName=Postsecondary Enrollment Action &amp;elementID=5579", "Click here to submit comment")</f>
        <v>Click here to submit comment</v>
      </c>
    </row>
    <row r="1020" spans="1:14" ht="75">
      <c r="A1020" s="3" t="s">
        <v>4528</v>
      </c>
      <c r="B1020" s="3" t="s">
        <v>4529</v>
      </c>
      <c r="C1020" s="4" t="s">
        <v>6497</v>
      </c>
      <c r="D1020" s="3" t="s">
        <v>1708</v>
      </c>
      <c r="E1020" s="3" t="s">
        <v>2476</v>
      </c>
      <c r="F1020" s="3"/>
      <c r="G1020" s="3"/>
      <c r="H1020" s="3"/>
      <c r="I1020" s="3"/>
      <c r="J1020" s="3" t="s">
        <v>4530</v>
      </c>
      <c r="K1020" s="3"/>
      <c r="L1020" s="3" t="s">
        <v>4531</v>
      </c>
      <c r="M1020" s="3" t="str">
        <f>HYPERLINK("https://ceds.ed.gov/cedselementdetails.aspx?termid=5096")</f>
        <v>https://ceds.ed.gov/cedselementdetails.aspx?termid=5096</v>
      </c>
      <c r="N1020" s="3" t="str">
        <f>HYPERLINK("https://ceds.ed.gov/elementComment.aspx?elementName=Postsecondary Enrollment Status &amp;elementID=5096", "Click here to submit comment")</f>
        <v>Click here to submit comment</v>
      </c>
    </row>
    <row r="1021" spans="1:14" ht="90">
      <c r="A1021" s="3" t="s">
        <v>4532</v>
      </c>
      <c r="B1021" s="3" t="s">
        <v>4533</v>
      </c>
      <c r="C1021" s="4" t="s">
        <v>6601</v>
      </c>
      <c r="D1021" s="3" t="s">
        <v>1708</v>
      </c>
      <c r="E1021" s="3" t="s">
        <v>5976</v>
      </c>
      <c r="F1021" s="3"/>
      <c r="G1021" s="3"/>
      <c r="H1021" s="3"/>
      <c r="I1021" s="3"/>
      <c r="J1021" s="3" t="s">
        <v>4534</v>
      </c>
      <c r="K1021" s="3"/>
      <c r="L1021" s="3" t="s">
        <v>4535</v>
      </c>
      <c r="M1021" s="3" t="str">
        <f>HYPERLINK("https://ceds.ed.gov/cedselementdetails.aspx?termid=5095")</f>
        <v>https://ceds.ed.gov/cedselementdetails.aspx?termid=5095</v>
      </c>
      <c r="N1021" s="3" t="str">
        <f>HYPERLINK("https://ceds.ed.gov/elementComment.aspx?elementName=Postsecondary Enrollment Type &amp;elementID=5095", "Click here to submit comment")</f>
        <v>Click here to submit comment</v>
      </c>
    </row>
    <row r="1022" spans="1:14" ht="105">
      <c r="A1022" s="3" t="s">
        <v>4536</v>
      </c>
      <c r="B1022" s="3" t="s">
        <v>4537</v>
      </c>
      <c r="C1022" s="3" t="s">
        <v>5963</v>
      </c>
      <c r="D1022" s="3" t="s">
        <v>53</v>
      </c>
      <c r="E1022" s="3"/>
      <c r="F1022" s="3" t="s">
        <v>54</v>
      </c>
      <c r="G1022" s="3"/>
      <c r="H1022" s="3"/>
      <c r="I1022" s="3" t="s">
        <v>4538</v>
      </c>
      <c r="J1022" s="3" t="s">
        <v>4539</v>
      </c>
      <c r="K1022" s="3"/>
      <c r="L1022" s="3" t="s">
        <v>4540</v>
      </c>
      <c r="M1022" s="3" t="str">
        <f>HYPERLINK("https://ceds.ed.gov/cedselementdetails.aspx?termid=6395")</f>
        <v>https://ceds.ed.gov/cedselementdetails.aspx?termid=6395</v>
      </c>
      <c r="N1022" s="3" t="str">
        <f>HYPERLINK("https://ceds.ed.gov/elementComment.aspx?elementName=Postsecondary Entering Student Indicator &amp;elementID=6395", "Click here to submit comment")</f>
        <v>Click here to submit comment</v>
      </c>
    </row>
    <row r="1023" spans="1:14" ht="120">
      <c r="A1023" s="3" t="s">
        <v>4541</v>
      </c>
      <c r="B1023" s="3" t="s">
        <v>4542</v>
      </c>
      <c r="C1023" s="3" t="s">
        <v>13</v>
      </c>
      <c r="D1023" s="3" t="s">
        <v>53</v>
      </c>
      <c r="E1023" s="3"/>
      <c r="F1023" s="3" t="s">
        <v>54</v>
      </c>
      <c r="G1023" s="3" t="s">
        <v>100</v>
      </c>
      <c r="H1023" s="3"/>
      <c r="I1023" s="3" t="s">
        <v>4538</v>
      </c>
      <c r="J1023" s="3" t="s">
        <v>4543</v>
      </c>
      <c r="K1023" s="3"/>
      <c r="L1023" s="3" t="s">
        <v>4544</v>
      </c>
      <c r="M1023" s="3" t="str">
        <f>HYPERLINK("https://ceds.ed.gov/cedselementdetails.aspx?termid=6396")</f>
        <v>https://ceds.ed.gov/cedselementdetails.aspx?termid=6396</v>
      </c>
      <c r="N1023" s="3" t="str">
        <f>HYPERLINK("https://ceds.ed.gov/elementComment.aspx?elementName=Postsecondary Student Entering Term &amp;elementID=6396", "Click here to submit comment")</f>
        <v>Click here to submit comment</v>
      </c>
    </row>
    <row r="1024" spans="1:14" ht="105">
      <c r="A1024" s="3" t="s">
        <v>4545</v>
      </c>
      <c r="B1024" s="3" t="s">
        <v>4546</v>
      </c>
      <c r="C1024" s="3" t="s">
        <v>5963</v>
      </c>
      <c r="D1024" s="3" t="s">
        <v>1708</v>
      </c>
      <c r="E1024" s="3" t="s">
        <v>237</v>
      </c>
      <c r="F1024" s="3"/>
      <c r="G1024" s="3"/>
      <c r="H1024" s="3"/>
      <c r="I1024" s="3" t="s">
        <v>4547</v>
      </c>
      <c r="J1024" s="3" t="s">
        <v>4548</v>
      </c>
      <c r="K1024" s="3"/>
      <c r="L1024" s="3" t="s">
        <v>4549</v>
      </c>
      <c r="M1024" s="3" t="str">
        <f>HYPERLINK("https://ceds.ed.gov/cedselementdetails.aspx?termid=5741")</f>
        <v>https://ceds.ed.gov/cedselementdetails.aspx?termid=5741</v>
      </c>
      <c r="N1024" s="3" t="str">
        <f>HYPERLINK("https://ceds.ed.gov/elementComment.aspx?elementName=Postsecondary Student Housing On-Campus &amp;elementID=5741", "Click here to submit comment")</f>
        <v>Click here to submit comment</v>
      </c>
    </row>
    <row r="1025" spans="1:14" ht="75">
      <c r="A1025" s="3" t="s">
        <v>4550</v>
      </c>
      <c r="B1025" s="3" t="s">
        <v>4551</v>
      </c>
      <c r="C1025" s="4" t="s">
        <v>6602</v>
      </c>
      <c r="D1025" s="3" t="s">
        <v>30</v>
      </c>
      <c r="E1025" s="3" t="s">
        <v>6069</v>
      </c>
      <c r="F1025" s="3"/>
      <c r="G1025" s="3"/>
      <c r="H1025" s="3"/>
      <c r="I1025" s="3"/>
      <c r="J1025" s="3" t="s">
        <v>4552</v>
      </c>
      <c r="K1025" s="3"/>
      <c r="L1025" s="3" t="s">
        <v>4553</v>
      </c>
      <c r="M1025" s="3" t="str">
        <f>HYPERLINK("https://ceds.ed.gov/cedselementdetails.aspx?termid=5563")</f>
        <v>https://ceds.ed.gov/cedselementdetails.aspx?termid=5563</v>
      </c>
      <c r="N1025" s="3" t="str">
        <f>HYPERLINK("https://ceds.ed.gov/elementComment.aspx?elementName=Pre and Post Test Indicator &amp;elementID=5563", "Click here to submit comment")</f>
        <v>Click here to submit comment</v>
      </c>
    </row>
    <row r="1026" spans="1:14" ht="120">
      <c r="A1026" s="3" t="s">
        <v>4554</v>
      </c>
      <c r="B1026" s="3" t="s">
        <v>4555</v>
      </c>
      <c r="C1026" s="4" t="s">
        <v>6603</v>
      </c>
      <c r="D1026" s="3" t="s">
        <v>1606</v>
      </c>
      <c r="E1026" s="3" t="s">
        <v>6283</v>
      </c>
      <c r="F1026" s="3"/>
      <c r="G1026" s="3"/>
      <c r="H1026" s="3"/>
      <c r="I1026" s="3" t="s">
        <v>4556</v>
      </c>
      <c r="J1026" s="3" t="s">
        <v>4557</v>
      </c>
      <c r="K1026" s="3"/>
      <c r="L1026" s="3" t="s">
        <v>4558</v>
      </c>
      <c r="M1026" s="3" t="str">
        <f>HYPERLINK("https://ceds.ed.gov/cedselementdetails.aspx?termid=5705")</f>
        <v>https://ceds.ed.gov/cedselementdetails.aspx?termid=5705</v>
      </c>
      <c r="N1026" s="3" t="str">
        <f>HYPERLINK("https://ceds.ed.gov/elementComment.aspx?elementName=Predominant Calendar System &amp;elementID=5705", "Click here to submit comment")</f>
        <v>Click here to submit comment</v>
      </c>
    </row>
    <row r="1027" spans="1:14" ht="60">
      <c r="A1027" s="3" t="s">
        <v>4559</v>
      </c>
      <c r="B1027" s="3" t="s">
        <v>4560</v>
      </c>
      <c r="C1027" s="4" t="s">
        <v>6561</v>
      </c>
      <c r="D1027" s="3" t="s">
        <v>3399</v>
      </c>
      <c r="E1027" s="3" t="s">
        <v>2</v>
      </c>
      <c r="F1027" s="3"/>
      <c r="G1027" s="3"/>
      <c r="H1027" s="3"/>
      <c r="I1027" s="3"/>
      <c r="J1027" s="3" t="s">
        <v>4561</v>
      </c>
      <c r="K1027" s="3"/>
      <c r="L1027" s="3" t="s">
        <v>4562</v>
      </c>
      <c r="M1027" s="3" t="str">
        <f>HYPERLINK("https://ceds.ed.gov/cedselementdetails.aspx?termid=5481")</f>
        <v>https://ceds.ed.gov/cedselementdetails.aspx?termid=5481</v>
      </c>
      <c r="N1027" s="3" t="str">
        <f>HYPERLINK("https://ceds.ed.gov/elementComment.aspx?elementName=Prekindergarten Daily Length &amp;elementID=5481", "Click here to submit comment")</f>
        <v>Click here to submit comment</v>
      </c>
    </row>
    <row r="1028" spans="1:14" ht="105">
      <c r="A1028" s="3" t="s">
        <v>4563</v>
      </c>
      <c r="B1028" s="3" t="s">
        <v>4564</v>
      </c>
      <c r="C1028" s="4" t="s">
        <v>6604</v>
      </c>
      <c r="D1028" s="3" t="s">
        <v>3399</v>
      </c>
      <c r="E1028" s="3" t="s">
        <v>2</v>
      </c>
      <c r="F1028" s="3"/>
      <c r="G1028" s="3"/>
      <c r="H1028" s="3"/>
      <c r="I1028" s="3"/>
      <c r="J1028" s="3" t="s">
        <v>4565</v>
      </c>
      <c r="K1028" s="3"/>
      <c r="L1028" s="3" t="s">
        <v>4566</v>
      </c>
      <c r="M1028" s="3" t="str">
        <f>HYPERLINK("https://ceds.ed.gov/cedselementdetails.aspx?termid=5216")</f>
        <v>https://ceds.ed.gov/cedselementdetails.aspx?termid=5216</v>
      </c>
      <c r="N1028" s="3" t="str">
        <f>HYPERLINK("https://ceds.ed.gov/elementComment.aspx?elementName=Prekindergarten Eligibility &amp;elementID=5216", "Click here to submit comment")</f>
        <v>Click here to submit comment</v>
      </c>
    </row>
    <row r="1029" spans="1:14" ht="90">
      <c r="A1029" s="3" t="s">
        <v>4567</v>
      </c>
      <c r="B1029" s="3" t="s">
        <v>4568</v>
      </c>
      <c r="C1029" s="4" t="s">
        <v>6605</v>
      </c>
      <c r="D1029" s="3" t="s">
        <v>3399</v>
      </c>
      <c r="E1029" s="3" t="s">
        <v>2</v>
      </c>
      <c r="F1029" s="3"/>
      <c r="G1029" s="3"/>
      <c r="H1029" s="3"/>
      <c r="I1029" s="3"/>
      <c r="J1029" s="3" t="s">
        <v>4569</v>
      </c>
      <c r="K1029" s="3"/>
      <c r="L1029" s="3" t="s">
        <v>4570</v>
      </c>
      <c r="M1029" s="3" t="str">
        <f>HYPERLINK("https://ceds.ed.gov/cedselementdetails.aspx?termid=5217")</f>
        <v>https://ceds.ed.gov/cedselementdetails.aspx?termid=5217</v>
      </c>
      <c r="N1029" s="3" t="str">
        <f>HYPERLINK("https://ceds.ed.gov/elementComment.aspx?elementName=Prekindergarten Eligible Ages for Non-IDEA Students &amp;elementID=5217", "Click here to submit comment")</f>
        <v>Click here to submit comment</v>
      </c>
    </row>
    <row r="1030" spans="1:14" ht="180">
      <c r="A1030" s="3" t="s">
        <v>4571</v>
      </c>
      <c r="B1030" s="3" t="s">
        <v>4572</v>
      </c>
      <c r="C1030" s="4" t="s">
        <v>6606</v>
      </c>
      <c r="D1030" s="3" t="s">
        <v>8</v>
      </c>
      <c r="E1030" s="3"/>
      <c r="F1030" s="3"/>
      <c r="G1030" s="3"/>
      <c r="H1030" s="3"/>
      <c r="I1030" s="3"/>
      <c r="J1030" s="3" t="s">
        <v>4573</v>
      </c>
      <c r="K1030" s="3"/>
      <c r="L1030" s="3" t="s">
        <v>4574</v>
      </c>
      <c r="M1030" s="3" t="str">
        <f>HYPERLINK("https://ceds.ed.gov/cedselementdetails.aspx?termid=5593")</f>
        <v>https://ceds.ed.gov/cedselementdetails.aspx?termid=5593</v>
      </c>
      <c r="N1030" s="3" t="str">
        <f>HYPERLINK("https://ceds.ed.gov/elementComment.aspx?elementName=Present Attendance Category &amp;elementID=5593", "Click here to submit comment")</f>
        <v>Click here to submit comment</v>
      </c>
    </row>
    <row r="1031" spans="1:14" ht="180">
      <c r="A1031" s="3" t="s">
        <v>4575</v>
      </c>
      <c r="B1031" s="3" t="s">
        <v>4576</v>
      </c>
      <c r="C1031" s="3" t="s">
        <v>13</v>
      </c>
      <c r="D1031" s="3" t="s">
        <v>1494</v>
      </c>
      <c r="E1031" s="3" t="s">
        <v>1495</v>
      </c>
      <c r="F1031" s="3"/>
      <c r="G1031" s="3" t="s">
        <v>1461</v>
      </c>
      <c r="H1031" s="3"/>
      <c r="I1031" s="3" t="s">
        <v>358</v>
      </c>
      <c r="J1031" s="3" t="s">
        <v>4577</v>
      </c>
      <c r="K1031" s="3"/>
      <c r="L1031" s="3" t="s">
        <v>4578</v>
      </c>
      <c r="M1031" s="3" t="str">
        <f>HYPERLINK("https://ceds.ed.gov/cedselementdetails.aspx?termid=5732")</f>
        <v>https://ceds.ed.gov/cedselementdetails.aspx?termid=5732</v>
      </c>
      <c r="N1031" s="3" t="str">
        <f>HYPERLINK("https://ceds.ed.gov/elementComment.aspx?elementName=Price of Attendance &amp;elementID=5732", "Click here to submit comment")</f>
        <v>Click here to submit comment</v>
      </c>
    </row>
    <row r="1032" spans="1:14" ht="45">
      <c r="A1032" s="3" t="s">
        <v>4579</v>
      </c>
      <c r="B1032" s="3" t="s">
        <v>4580</v>
      </c>
      <c r="C1032" s="3" t="s">
        <v>5963</v>
      </c>
      <c r="D1032" s="3" t="s">
        <v>1723</v>
      </c>
      <c r="E1032" s="3"/>
      <c r="F1032" s="3"/>
      <c r="G1032" s="3"/>
      <c r="H1032" s="3"/>
      <c r="I1032" s="3"/>
      <c r="J1032" s="3" t="s">
        <v>4581</v>
      </c>
      <c r="K1032" s="3"/>
      <c r="L1032" s="3" t="s">
        <v>4582</v>
      </c>
      <c r="M1032" s="3" t="str">
        <f>HYPERLINK("https://ceds.ed.gov/cedselementdetails.aspx?termid=5516")</f>
        <v>https://ceds.ed.gov/cedselementdetails.aspx?termid=5516</v>
      </c>
      <c r="N1032" s="3" t="str">
        <f>HYPERLINK("https://ceds.ed.gov/elementComment.aspx?elementName=Primary Assignment Indicator &amp;elementID=5516", "Click here to submit comment")</f>
        <v>Click here to submit comment</v>
      </c>
    </row>
    <row r="1033" spans="1:14" ht="90">
      <c r="A1033" s="3" t="s">
        <v>4583</v>
      </c>
      <c r="B1033" s="3" t="s">
        <v>4584</v>
      </c>
      <c r="C1033" s="3" t="s">
        <v>5963</v>
      </c>
      <c r="D1033" s="3" t="s">
        <v>6284</v>
      </c>
      <c r="E1033" s="3"/>
      <c r="F1033" s="3" t="s">
        <v>54</v>
      </c>
      <c r="G1033" s="3"/>
      <c r="H1033" s="3"/>
      <c r="I1033" s="3"/>
      <c r="J1033" s="3" t="s">
        <v>4585</v>
      </c>
      <c r="K1033" s="3"/>
      <c r="L1033" s="3" t="s">
        <v>4586</v>
      </c>
      <c r="M1033" s="3" t="str">
        <f>HYPERLINK("https://ceds.ed.gov/cedselementdetails.aspx?termid=6397")</f>
        <v>https://ceds.ed.gov/cedselementdetails.aspx?termid=6397</v>
      </c>
      <c r="N1033" s="3" t="str">
        <f>HYPERLINK("https://ceds.ed.gov/elementComment.aspx?elementName=Primary Contact Indicator &amp;elementID=6397", "Click here to submit comment")</f>
        <v>Click here to submit comment</v>
      </c>
    </row>
    <row r="1034" spans="1:14" ht="210">
      <c r="A1034" s="3" t="s">
        <v>4587</v>
      </c>
      <c r="B1034" s="3" t="s">
        <v>4588</v>
      </c>
      <c r="C1034" s="4" t="s">
        <v>6607</v>
      </c>
      <c r="D1034" s="3" t="s">
        <v>6285</v>
      </c>
      <c r="E1034" s="3" t="s">
        <v>6286</v>
      </c>
      <c r="F1034" s="3" t="s">
        <v>3</v>
      </c>
      <c r="G1034" s="3"/>
      <c r="H1034" s="3"/>
      <c r="I1034" s="3"/>
      <c r="J1034" s="3" t="s">
        <v>4589</v>
      </c>
      <c r="K1034" s="3"/>
      <c r="L1034" s="3" t="s">
        <v>4590</v>
      </c>
      <c r="M1034" s="3" t="str">
        <f>HYPERLINK("https://ceds.ed.gov/cedselementdetails.aspx?termid=5218")</f>
        <v>https://ceds.ed.gov/cedselementdetails.aspx?termid=5218</v>
      </c>
      <c r="N1034" s="3" t="str">
        <f>HYPERLINK("https://ceds.ed.gov/elementComment.aspx?elementName=Primary Disability Type &amp;elementID=5218", "Click here to submit comment")</f>
        <v>Click here to submit comment</v>
      </c>
    </row>
    <row r="1035" spans="1:14" ht="409.5">
      <c r="A1035" s="3" t="s">
        <v>4591</v>
      </c>
      <c r="B1035" s="3" t="s">
        <v>4592</v>
      </c>
      <c r="C1035" s="3" t="s">
        <v>5963</v>
      </c>
      <c r="D1035" s="3" t="s">
        <v>6287</v>
      </c>
      <c r="E1035" s="3" t="s">
        <v>5968</v>
      </c>
      <c r="F1035" s="3" t="s">
        <v>3</v>
      </c>
      <c r="G1035" s="3"/>
      <c r="H1035" s="3"/>
      <c r="I1035" s="3"/>
      <c r="J1035" s="3" t="s">
        <v>4593</v>
      </c>
      <c r="K1035" s="3"/>
      <c r="L1035" s="3" t="s">
        <v>4594</v>
      </c>
      <c r="M1035" s="3" t="str">
        <f>HYPERLINK("https://ceds.ed.gov/cedselementdetails.aspx?termid=5219")</f>
        <v>https://ceds.ed.gov/cedselementdetails.aspx?termid=5219</v>
      </c>
      <c r="N1035" s="3" t="str">
        <f>HYPERLINK("https://ceds.ed.gov/elementComment.aspx?elementName=Primary Telephone Number Indicator &amp;elementID=5219", "Click here to submit comment")</f>
        <v>Click here to submit comment</v>
      </c>
    </row>
    <row r="1036" spans="1:14" ht="240">
      <c r="A1036" s="3" t="s">
        <v>4595</v>
      </c>
      <c r="B1036" s="3" t="s">
        <v>4596</v>
      </c>
      <c r="C1036" s="4" t="s">
        <v>6608</v>
      </c>
      <c r="D1036" s="3" t="s">
        <v>383</v>
      </c>
      <c r="E1036" s="3" t="s">
        <v>2147</v>
      </c>
      <c r="F1036" s="3"/>
      <c r="G1036" s="3"/>
      <c r="H1036" s="3"/>
      <c r="I1036" s="3"/>
      <c r="J1036" s="3" t="s">
        <v>4597</v>
      </c>
      <c r="K1036" s="3"/>
      <c r="L1036" s="3" t="s">
        <v>4598</v>
      </c>
      <c r="M1036" s="3" t="str">
        <f>HYPERLINK("https://ceds.ed.gov/cedselementdetails.aspx?termid=5319")</f>
        <v>https://ceds.ed.gov/cedselementdetails.aspx?termid=5319</v>
      </c>
      <c r="N1036" s="3" t="str">
        <f>HYPERLINK("https://ceds.ed.gov/elementComment.aspx?elementName=Prior Early Childhood Experience &amp;elementID=5319", "Click here to submit comment")</f>
        <v>Click here to submit comment</v>
      </c>
    </row>
    <row r="1037" spans="1:14" ht="45">
      <c r="A1037" s="3" t="s">
        <v>4607</v>
      </c>
      <c r="B1037" s="3" t="s">
        <v>4608</v>
      </c>
      <c r="C1037" s="3" t="s">
        <v>5963</v>
      </c>
      <c r="D1037" s="3" t="s">
        <v>1542</v>
      </c>
      <c r="E1037" s="3" t="s">
        <v>202</v>
      </c>
      <c r="F1037" s="3"/>
      <c r="G1037" s="3"/>
      <c r="H1037" s="3"/>
      <c r="I1037" s="3"/>
      <c r="J1037" s="3" t="s">
        <v>4609</v>
      </c>
      <c r="K1037" s="3"/>
      <c r="L1037" s="3" t="s">
        <v>4610</v>
      </c>
      <c r="M1037" s="3" t="str">
        <f>HYPERLINK("https://ceds.ed.gov/cedselementdetails.aspx?termid=5806")</f>
        <v>https://ceds.ed.gov/cedselementdetails.aspx?termid=5806</v>
      </c>
      <c r="N1037" s="3" t="str">
        <f>HYPERLINK("https://ceds.ed.gov/elementComment.aspx?elementName=Professional Association Membership Status &amp;elementID=5806", "Click here to submit comment")</f>
        <v>Click here to submit comment</v>
      </c>
    </row>
    <row r="1038" spans="1:14" ht="30">
      <c r="A1038" s="3" t="s">
        <v>4611</v>
      </c>
      <c r="B1038" s="3" t="s">
        <v>4612</v>
      </c>
      <c r="C1038" s="3" t="s">
        <v>13</v>
      </c>
      <c r="D1038" s="3" t="s">
        <v>1542</v>
      </c>
      <c r="E1038" s="3" t="s">
        <v>202</v>
      </c>
      <c r="F1038" s="3"/>
      <c r="G1038" s="3" t="s">
        <v>106</v>
      </c>
      <c r="H1038" s="3"/>
      <c r="I1038" s="3"/>
      <c r="J1038" s="3" t="s">
        <v>4613</v>
      </c>
      <c r="K1038" s="3"/>
      <c r="L1038" s="3" t="s">
        <v>4614</v>
      </c>
      <c r="M1038" s="3" t="str">
        <f>HYPERLINK("https://ceds.ed.gov/cedselementdetails.aspx?termid=5807")</f>
        <v>https://ceds.ed.gov/cedselementdetails.aspx?termid=5807</v>
      </c>
      <c r="N1038" s="3" t="str">
        <f>HYPERLINK("https://ceds.ed.gov/elementComment.aspx?elementName=Professional Association Name &amp;elementID=5807", "Click here to submit comment")</f>
        <v>Click here to submit comment</v>
      </c>
    </row>
    <row r="1039" spans="1:14" ht="30">
      <c r="A1039" s="3" t="s">
        <v>4615</v>
      </c>
      <c r="B1039" s="3" t="s">
        <v>4616</v>
      </c>
      <c r="C1039" s="3" t="s">
        <v>13</v>
      </c>
      <c r="D1039" s="3" t="s">
        <v>4617</v>
      </c>
      <c r="E1039" s="3"/>
      <c r="F1039" s="3" t="s">
        <v>54</v>
      </c>
      <c r="G1039" s="3" t="s">
        <v>100</v>
      </c>
      <c r="H1039" s="3"/>
      <c r="I1039" s="3"/>
      <c r="J1039" s="3" t="s">
        <v>4618</v>
      </c>
      <c r="K1039" s="3"/>
      <c r="L1039" s="3" t="s">
        <v>4619</v>
      </c>
      <c r="M1039" s="3" t="str">
        <f>HYPERLINK("https://ceds.ed.gov/cedselementdetails.aspx?termid=6398")</f>
        <v>https://ceds.ed.gov/cedselementdetails.aspx?termid=6398</v>
      </c>
      <c r="N1039" s="3" t="str">
        <f>HYPERLINK("https://ceds.ed.gov/elementComment.aspx?elementName=Professional Certificate or License Number &amp;elementID=6398", "Click here to submit comment")</f>
        <v>Click here to submit comment</v>
      </c>
    </row>
    <row r="1040" spans="1:14" ht="75">
      <c r="A1040" s="3" t="s">
        <v>4620</v>
      </c>
      <c r="B1040" s="3" t="s">
        <v>4621</v>
      </c>
      <c r="C1040" s="3" t="s">
        <v>13</v>
      </c>
      <c r="D1040" s="3" t="s">
        <v>6288</v>
      </c>
      <c r="E1040" s="3"/>
      <c r="F1040" s="3" t="s">
        <v>54</v>
      </c>
      <c r="G1040" s="3" t="s">
        <v>100</v>
      </c>
      <c r="H1040" s="3"/>
      <c r="I1040" s="3"/>
      <c r="J1040" s="3" t="s">
        <v>4622</v>
      </c>
      <c r="K1040" s="3"/>
      <c r="L1040" s="3" t="s">
        <v>4623</v>
      </c>
      <c r="M1040" s="3" t="str">
        <f>HYPERLINK("https://ceds.ed.gov/cedselementdetails.aspx?termid=6402")</f>
        <v>https://ceds.ed.gov/cedselementdetails.aspx?termid=6402</v>
      </c>
      <c r="N1040" s="3" t="str">
        <f>HYPERLINK("https://ceds.ed.gov/elementComment.aspx?elementName=Professional Development Activity Approval Code &amp;elementID=6402", "Click here to submit comment")</f>
        <v>Click here to submit comment</v>
      </c>
    </row>
    <row r="1041" spans="1:14" ht="90">
      <c r="A1041" s="3" t="s">
        <v>4624</v>
      </c>
      <c r="B1041" s="3" t="s">
        <v>4625</v>
      </c>
      <c r="C1041" s="4" t="s">
        <v>6611</v>
      </c>
      <c r="D1041" s="3" t="s">
        <v>6288</v>
      </c>
      <c r="E1041" s="3"/>
      <c r="F1041" s="3" t="s">
        <v>54</v>
      </c>
      <c r="G1041" s="3"/>
      <c r="H1041" s="3"/>
      <c r="I1041" s="3"/>
      <c r="J1041" s="3" t="s">
        <v>4626</v>
      </c>
      <c r="K1041" s="3"/>
      <c r="L1041" s="3" t="s">
        <v>4627</v>
      </c>
      <c r="M1041" s="3" t="str">
        <f>HYPERLINK("https://ceds.ed.gov/cedselementdetails.aspx?termid=6403")</f>
        <v>https://ceds.ed.gov/cedselementdetails.aspx?termid=6403</v>
      </c>
      <c r="N1041" s="3" t="str">
        <f>HYPERLINK("https://ceds.ed.gov/elementComment.aspx?elementName=Professional Development Activity Approved For &amp;elementID=6403", "Click here to submit comment")</f>
        <v>Click here to submit comment</v>
      </c>
    </row>
    <row r="1042" spans="1:14" ht="75">
      <c r="A1042" s="3" t="s">
        <v>4628</v>
      </c>
      <c r="B1042" s="3" t="s">
        <v>4629</v>
      </c>
      <c r="C1042" s="3" t="s">
        <v>13</v>
      </c>
      <c r="D1042" s="3" t="s">
        <v>6288</v>
      </c>
      <c r="E1042" s="3"/>
      <c r="F1042" s="3" t="s">
        <v>54</v>
      </c>
      <c r="G1042" s="3" t="s">
        <v>100</v>
      </c>
      <c r="H1042" s="3"/>
      <c r="I1042" s="3"/>
      <c r="J1042" s="3" t="s">
        <v>4630</v>
      </c>
      <c r="K1042" s="3"/>
      <c r="L1042" s="3" t="s">
        <v>4631</v>
      </c>
      <c r="M1042" s="3" t="str">
        <f>HYPERLINK("https://ceds.ed.gov/cedselementdetails.aspx?termid=6404")</f>
        <v>https://ceds.ed.gov/cedselementdetails.aspx?termid=6404</v>
      </c>
      <c r="N1042" s="3" t="str">
        <f>HYPERLINK("https://ceds.ed.gov/elementComment.aspx?elementName=Professional Development Activity Code &amp;elementID=6404", "Click here to submit comment")</f>
        <v>Click here to submit comment</v>
      </c>
    </row>
    <row r="1043" spans="1:14" ht="75">
      <c r="A1043" s="3" t="s">
        <v>4632</v>
      </c>
      <c r="B1043" s="3" t="s">
        <v>4633</v>
      </c>
      <c r="C1043" s="3" t="s">
        <v>13</v>
      </c>
      <c r="D1043" s="3" t="s">
        <v>6288</v>
      </c>
      <c r="E1043" s="3"/>
      <c r="F1043" s="3" t="s">
        <v>54</v>
      </c>
      <c r="G1043" s="3" t="s">
        <v>1461</v>
      </c>
      <c r="H1043" s="3"/>
      <c r="I1043" s="3"/>
      <c r="J1043" s="3" t="s">
        <v>4634</v>
      </c>
      <c r="K1043" s="3"/>
      <c r="L1043" s="3" t="s">
        <v>4635</v>
      </c>
      <c r="M1043" s="3" t="str">
        <f>HYPERLINK("https://ceds.ed.gov/cedselementdetails.aspx?termid=6405")</f>
        <v>https://ceds.ed.gov/cedselementdetails.aspx?termid=6405</v>
      </c>
      <c r="N1043" s="3" t="str">
        <f>HYPERLINK("https://ceds.ed.gov/elementComment.aspx?elementName=Professional Development Activity Cost &amp;elementID=6405", "Click here to submit comment")</f>
        <v>Click here to submit comment</v>
      </c>
    </row>
    <row r="1044" spans="1:14" ht="75">
      <c r="A1044" s="3" t="s">
        <v>4636</v>
      </c>
      <c r="B1044" s="3" t="s">
        <v>4637</v>
      </c>
      <c r="C1044" s="4" t="s">
        <v>6612</v>
      </c>
      <c r="D1044" s="3" t="s">
        <v>6288</v>
      </c>
      <c r="E1044" s="3"/>
      <c r="F1044" s="3" t="s">
        <v>54</v>
      </c>
      <c r="G1044" s="3"/>
      <c r="H1044" s="3"/>
      <c r="I1044" s="3"/>
      <c r="J1044" s="3" t="s">
        <v>4638</v>
      </c>
      <c r="K1044" s="3"/>
      <c r="L1044" s="3" t="s">
        <v>4639</v>
      </c>
      <c r="M1044" s="3" t="str">
        <f>HYPERLINK("https://ceds.ed.gov/cedselementdetails.aspx?termid=6406")</f>
        <v>https://ceds.ed.gov/cedselementdetails.aspx?termid=6406</v>
      </c>
      <c r="N1044" s="3" t="str">
        <f>HYPERLINK("https://ceds.ed.gov/elementComment.aspx?elementName=Professional Development Activity Credit Type &amp;elementID=6406", "Click here to submit comment")</f>
        <v>Click here to submit comment</v>
      </c>
    </row>
    <row r="1045" spans="1:14" ht="75">
      <c r="A1045" s="3" t="s">
        <v>4640</v>
      </c>
      <c r="B1045" s="3" t="s">
        <v>4641</v>
      </c>
      <c r="C1045" s="3" t="s">
        <v>13</v>
      </c>
      <c r="D1045" s="3" t="s">
        <v>6288</v>
      </c>
      <c r="E1045" s="3"/>
      <c r="F1045" s="3" t="s">
        <v>54</v>
      </c>
      <c r="G1045" s="3" t="s">
        <v>1461</v>
      </c>
      <c r="H1045" s="3"/>
      <c r="I1045" s="3"/>
      <c r="J1045" s="3" t="s">
        <v>4642</v>
      </c>
      <c r="K1045" s="3"/>
      <c r="L1045" s="3" t="s">
        <v>4643</v>
      </c>
      <c r="M1045" s="3" t="str">
        <f>HYPERLINK("https://ceds.ed.gov/cedselementdetails.aspx?termid=6407")</f>
        <v>https://ceds.ed.gov/cedselementdetails.aspx?termid=6407</v>
      </c>
      <c r="N1045" s="3" t="str">
        <f>HYPERLINK("https://ceds.ed.gov/elementComment.aspx?elementName=Professional Development Activity Credits &amp;elementID=6407", "Click here to submit comment")</f>
        <v>Click here to submit comment</v>
      </c>
    </row>
    <row r="1046" spans="1:14" ht="75">
      <c r="A1046" s="3" t="s">
        <v>4644</v>
      </c>
      <c r="B1046" s="3" t="s">
        <v>4645</v>
      </c>
      <c r="C1046" s="3" t="s">
        <v>13</v>
      </c>
      <c r="D1046" s="3" t="s">
        <v>6288</v>
      </c>
      <c r="E1046" s="3"/>
      <c r="F1046" s="3" t="s">
        <v>54</v>
      </c>
      <c r="G1046" s="3" t="s">
        <v>319</v>
      </c>
      <c r="H1046" s="3"/>
      <c r="I1046" s="3"/>
      <c r="J1046" s="3" t="s">
        <v>4646</v>
      </c>
      <c r="K1046" s="3"/>
      <c r="L1046" s="3" t="s">
        <v>4647</v>
      </c>
      <c r="M1046" s="3" t="str">
        <f>HYPERLINK("https://ceds.ed.gov/cedselementdetails.aspx?termid=6408")</f>
        <v>https://ceds.ed.gov/cedselementdetails.aspx?termid=6408</v>
      </c>
      <c r="N1046" s="3" t="str">
        <f>HYPERLINK("https://ceds.ed.gov/elementComment.aspx?elementName=Professional Development Activity Description &amp;elementID=6408", "Click here to submit comment")</f>
        <v>Click here to submit comment</v>
      </c>
    </row>
    <row r="1047" spans="1:14" ht="409.5">
      <c r="A1047" s="3" t="s">
        <v>4648</v>
      </c>
      <c r="B1047" s="3" t="s">
        <v>4649</v>
      </c>
      <c r="C1047" s="4" t="s">
        <v>6613</v>
      </c>
      <c r="D1047" s="3" t="s">
        <v>4650</v>
      </c>
      <c r="E1047" s="3"/>
      <c r="F1047" s="3" t="s">
        <v>54</v>
      </c>
      <c r="G1047" s="3"/>
      <c r="H1047" s="3"/>
      <c r="I1047" s="3" t="s">
        <v>4651</v>
      </c>
      <c r="J1047" s="3" t="s">
        <v>4652</v>
      </c>
      <c r="K1047" s="3"/>
      <c r="L1047" s="3" t="s">
        <v>4653</v>
      </c>
      <c r="M1047" s="3" t="str">
        <f>HYPERLINK("https://ceds.ed.gov/cedselementdetails.aspx?termid=6245")</f>
        <v>https://ceds.ed.gov/cedselementdetails.aspx?termid=6245</v>
      </c>
      <c r="N1047" s="3" t="str">
        <f>HYPERLINK("https://ceds.ed.gov/elementComment.aspx?elementName=Professional Development Activity Education Levels Addressed &amp;elementID=6245", "Click here to submit comment")</f>
        <v>Click here to submit comment</v>
      </c>
    </row>
    <row r="1048" spans="1:14" ht="75">
      <c r="A1048" s="3" t="s">
        <v>4654</v>
      </c>
      <c r="B1048" s="3" t="s">
        <v>4655</v>
      </c>
      <c r="C1048" s="3" t="s">
        <v>13</v>
      </c>
      <c r="D1048" s="3" t="s">
        <v>6288</v>
      </c>
      <c r="E1048" s="3"/>
      <c r="F1048" s="3" t="s">
        <v>54</v>
      </c>
      <c r="G1048" s="3" t="s">
        <v>73</v>
      </c>
      <c r="H1048" s="3"/>
      <c r="I1048" s="3"/>
      <c r="J1048" s="3" t="s">
        <v>4656</v>
      </c>
      <c r="K1048" s="3"/>
      <c r="L1048" s="3" t="s">
        <v>4657</v>
      </c>
      <c r="M1048" s="3" t="str">
        <f>HYPERLINK("https://ceds.ed.gov/cedselementdetails.aspx?termid=6421")</f>
        <v>https://ceds.ed.gov/cedselementdetails.aspx?termid=6421</v>
      </c>
      <c r="N1048" s="3" t="str">
        <f>HYPERLINK("https://ceds.ed.gov/elementComment.aspx?elementName=Professional Development Activity Expiration Date &amp;elementID=6421", "Click here to submit comment")</f>
        <v>Click here to submit comment</v>
      </c>
    </row>
    <row r="1049" spans="1:14" ht="60">
      <c r="A1049" s="3" t="s">
        <v>4658</v>
      </c>
      <c r="B1049" s="3" t="s">
        <v>4659</v>
      </c>
      <c r="C1049" s="3" t="s">
        <v>13</v>
      </c>
      <c r="D1049" s="3" t="s">
        <v>4660</v>
      </c>
      <c r="E1049" s="3" t="s">
        <v>202</v>
      </c>
      <c r="F1049" s="3"/>
      <c r="G1049" s="3" t="s">
        <v>100</v>
      </c>
      <c r="H1049" s="3" t="s">
        <v>4661</v>
      </c>
      <c r="I1049" s="3"/>
      <c r="J1049" s="3" t="s">
        <v>4662</v>
      </c>
      <c r="K1049" s="3"/>
      <c r="L1049" s="3" t="s">
        <v>4663</v>
      </c>
      <c r="M1049" s="3" t="str">
        <f>HYPERLINK("https://ceds.ed.gov/cedselementdetails.aspx?termid=5808")</f>
        <v>https://ceds.ed.gov/cedselementdetails.aspx?termid=5808</v>
      </c>
      <c r="N1049" s="3" t="str">
        <f>HYPERLINK("https://ceds.ed.gov/elementComment.aspx?elementName=Professional Development Activity Identifier &amp;elementID=5808", "Click here to submit comment")</f>
        <v>Click here to submit comment</v>
      </c>
    </row>
    <row r="1050" spans="1:14" ht="75">
      <c r="A1050" s="3" t="s">
        <v>4664</v>
      </c>
      <c r="B1050" s="3" t="s">
        <v>4665</v>
      </c>
      <c r="C1050" s="3" t="s">
        <v>6289</v>
      </c>
      <c r="D1050" s="3" t="s">
        <v>6288</v>
      </c>
      <c r="E1050" s="3"/>
      <c r="F1050" s="3" t="s">
        <v>54</v>
      </c>
      <c r="G1050" s="3"/>
      <c r="H1050" s="3"/>
      <c r="I1050" s="3"/>
      <c r="J1050" s="3" t="s">
        <v>4666</v>
      </c>
      <c r="K1050" s="3"/>
      <c r="L1050" s="3" t="s">
        <v>4667</v>
      </c>
      <c r="M1050" s="3" t="str">
        <f>HYPERLINK("https://ceds.ed.gov/cedselementdetails.aspx?termid=6409")</f>
        <v>https://ceds.ed.gov/cedselementdetails.aspx?termid=6409</v>
      </c>
      <c r="N1050" s="3" t="str">
        <f>HYPERLINK("https://ceds.ed.gov/elementComment.aspx?elementName=Professional Development Activity Level &amp;elementID=6409", "Click here to submit comment")</f>
        <v>Click here to submit comment</v>
      </c>
    </row>
    <row r="1051" spans="1:14" ht="75">
      <c r="A1051" s="3" t="s">
        <v>4668</v>
      </c>
      <c r="B1051" s="3" t="s">
        <v>4669</v>
      </c>
      <c r="C1051" s="3" t="s">
        <v>13</v>
      </c>
      <c r="D1051" s="3" t="s">
        <v>6288</v>
      </c>
      <c r="E1051" s="3"/>
      <c r="F1051" s="3" t="s">
        <v>54</v>
      </c>
      <c r="G1051" s="3" t="s">
        <v>319</v>
      </c>
      <c r="H1051" s="3"/>
      <c r="I1051" s="3"/>
      <c r="J1051" s="3" t="s">
        <v>4670</v>
      </c>
      <c r="K1051" s="3"/>
      <c r="L1051" s="3" t="s">
        <v>4671</v>
      </c>
      <c r="M1051" s="3" t="str">
        <f>HYPERLINK("https://ceds.ed.gov/cedselementdetails.aspx?termid=6410")</f>
        <v>https://ceds.ed.gov/cedselementdetails.aspx?termid=6410</v>
      </c>
      <c r="N1051" s="3" t="str">
        <f>HYPERLINK("https://ceds.ed.gov/elementComment.aspx?elementName=Professional Development Activity Objective &amp;elementID=6410", "Click here to submit comment")</f>
        <v>Click here to submit comment</v>
      </c>
    </row>
    <row r="1052" spans="1:14" ht="409.5">
      <c r="A1052" s="3" t="s">
        <v>4672</v>
      </c>
      <c r="B1052" s="3" t="s">
        <v>4673</v>
      </c>
      <c r="C1052" s="4" t="s">
        <v>6614</v>
      </c>
      <c r="D1052" s="3" t="s">
        <v>6288</v>
      </c>
      <c r="E1052" s="3"/>
      <c r="F1052" s="3" t="s">
        <v>54</v>
      </c>
      <c r="G1052" s="3"/>
      <c r="H1052" s="3"/>
      <c r="I1052" s="3"/>
      <c r="J1052" s="3" t="s">
        <v>4674</v>
      </c>
      <c r="K1052" s="3"/>
      <c r="L1052" s="3" t="s">
        <v>4675</v>
      </c>
      <c r="M1052" s="3" t="str">
        <f>HYPERLINK("https://ceds.ed.gov/cedselementdetails.aspx?termid=6464")</f>
        <v>https://ceds.ed.gov/cedselementdetails.aspx?termid=6464</v>
      </c>
      <c r="N1052" s="3" t="str">
        <f>HYPERLINK("https://ceds.ed.gov/elementComment.aspx?elementName=Professional Development Activity Target Audience &amp;elementID=6464", "Click here to submit comment")</f>
        <v>Click here to submit comment</v>
      </c>
    </row>
    <row r="1053" spans="1:14" ht="75">
      <c r="A1053" s="3" t="s">
        <v>4676</v>
      </c>
      <c r="B1053" s="3" t="s">
        <v>4677</v>
      </c>
      <c r="C1053" s="3" t="s">
        <v>13</v>
      </c>
      <c r="D1053" s="3" t="s">
        <v>6288</v>
      </c>
      <c r="E1053" s="3" t="s">
        <v>202</v>
      </c>
      <c r="F1053" s="3" t="s">
        <v>66</v>
      </c>
      <c r="G1053" s="3" t="s">
        <v>106</v>
      </c>
      <c r="H1053" s="3" t="s">
        <v>4678</v>
      </c>
      <c r="I1053" s="3"/>
      <c r="J1053" s="3" t="s">
        <v>4679</v>
      </c>
      <c r="K1053" s="3"/>
      <c r="L1053" s="3" t="s">
        <v>4680</v>
      </c>
      <c r="M1053" s="3" t="str">
        <f>HYPERLINK("https://ceds.ed.gov/cedselementdetails.aspx?termid=5809")</f>
        <v>https://ceds.ed.gov/cedselementdetails.aspx?termid=5809</v>
      </c>
      <c r="N1053" s="3" t="str">
        <f>HYPERLINK("https://ceds.ed.gov/elementComment.aspx?elementName=Professional Development Activity Title &amp;elementID=5809", "Click here to submit comment")</f>
        <v>Click here to submit comment</v>
      </c>
    </row>
    <row r="1054" spans="1:14" ht="165">
      <c r="A1054" s="3" t="s">
        <v>4681</v>
      </c>
      <c r="B1054" s="3" t="s">
        <v>4682</v>
      </c>
      <c r="C1054" s="4" t="s">
        <v>6615</v>
      </c>
      <c r="D1054" s="3" t="s">
        <v>6288</v>
      </c>
      <c r="E1054" s="3"/>
      <c r="F1054" s="3" t="s">
        <v>54</v>
      </c>
      <c r="G1054" s="3"/>
      <c r="H1054" s="3"/>
      <c r="I1054" s="3" t="s">
        <v>4683</v>
      </c>
      <c r="J1054" s="3" t="s">
        <v>4684</v>
      </c>
      <c r="K1054" s="3"/>
      <c r="L1054" s="3" t="s">
        <v>4685</v>
      </c>
      <c r="M1054" s="3" t="str">
        <f>HYPERLINK("https://ceds.ed.gov/cedselementdetails.aspx?termid=6412")</f>
        <v>https://ceds.ed.gov/cedselementdetails.aspx?termid=6412</v>
      </c>
      <c r="N1054" s="3" t="str">
        <f>HYPERLINK("https://ceds.ed.gov/elementComment.aspx?elementName=Professional Development Activity Type &amp;elementID=6412", "Click here to submit comment")</f>
        <v>Click here to submit comment</v>
      </c>
    </row>
    <row r="1055" spans="1:14" ht="45">
      <c r="A1055" s="3" t="s">
        <v>4686</v>
      </c>
      <c r="B1055" s="3" t="s">
        <v>4687</v>
      </c>
      <c r="C1055" s="3" t="s">
        <v>6254</v>
      </c>
      <c r="D1055" s="3" t="s">
        <v>1542</v>
      </c>
      <c r="E1055" s="3"/>
      <c r="F1055" s="3" t="s">
        <v>54</v>
      </c>
      <c r="G1055" s="3"/>
      <c r="H1055" s="3"/>
      <c r="I1055" s="3"/>
      <c r="J1055" s="3" t="s">
        <v>4688</v>
      </c>
      <c r="K1055" s="3"/>
      <c r="L1055" s="3" t="s">
        <v>4689</v>
      </c>
      <c r="M1055" s="3" t="str">
        <f>HYPERLINK("https://ceds.ed.gov/cedselementdetails.aspx?termid=6399")</f>
        <v>https://ceds.ed.gov/cedselementdetails.aspx?termid=6399</v>
      </c>
      <c r="N1055" s="3" t="str">
        <f>HYPERLINK("https://ceds.ed.gov/elementComment.aspx?elementName=Professional Development Audience Type &amp;elementID=6399", "Click here to submit comment")</f>
        <v>Click here to submit comment</v>
      </c>
    </row>
    <row r="1056" spans="1:14" ht="90">
      <c r="A1056" s="3" t="s">
        <v>4690</v>
      </c>
      <c r="B1056" s="3" t="s">
        <v>4691</v>
      </c>
      <c r="C1056" s="4" t="s">
        <v>6616</v>
      </c>
      <c r="D1056" s="3" t="s">
        <v>6290</v>
      </c>
      <c r="E1056" s="3"/>
      <c r="F1056" s="3" t="s">
        <v>54</v>
      </c>
      <c r="G1056" s="3"/>
      <c r="H1056" s="3"/>
      <c r="I1056" s="3"/>
      <c r="J1056" s="3" t="s">
        <v>4692</v>
      </c>
      <c r="K1056" s="3"/>
      <c r="L1056" s="3" t="s">
        <v>4693</v>
      </c>
      <c r="M1056" s="3" t="str">
        <f>HYPERLINK("https://ceds.ed.gov/cedselementdetails.aspx?termid=6401")</f>
        <v>https://ceds.ed.gov/cedselementdetails.aspx?termid=6401</v>
      </c>
      <c r="N1056" s="3" t="str">
        <f>HYPERLINK("https://ceds.ed.gov/elementComment.aspx?elementName=Professional Development Delivery Method &amp;elementID=6401", "Click here to submit comment")</f>
        <v>Click here to submit comment</v>
      </c>
    </row>
    <row r="1057" spans="1:14" ht="180">
      <c r="A1057" s="3" t="s">
        <v>4694</v>
      </c>
      <c r="B1057" s="3" t="s">
        <v>4695</v>
      </c>
      <c r="C1057" s="4" t="s">
        <v>6617</v>
      </c>
      <c r="D1057" s="3" t="s">
        <v>1542</v>
      </c>
      <c r="E1057" s="3" t="s">
        <v>202</v>
      </c>
      <c r="F1057" s="3"/>
      <c r="G1057" s="3"/>
      <c r="H1057" s="3"/>
      <c r="I1057" s="3"/>
      <c r="J1057" s="3" t="s">
        <v>4696</v>
      </c>
      <c r="K1057" s="3"/>
      <c r="L1057" s="3" t="s">
        <v>4697</v>
      </c>
      <c r="M1057" s="3" t="str">
        <f>HYPERLINK("https://ceds.ed.gov/cedselementdetails.aspx?termid=5811")</f>
        <v>https://ceds.ed.gov/cedselementdetails.aspx?termid=5811</v>
      </c>
      <c r="N1057" s="3" t="str">
        <f>HYPERLINK("https://ceds.ed.gov/elementComment.aspx?elementName=Professional Development Financial Support Type &amp;elementID=5811", "Click here to submit comment")</f>
        <v>Click here to submit comment</v>
      </c>
    </row>
    <row r="1058" spans="1:14" ht="90">
      <c r="A1058" s="3" t="s">
        <v>4698</v>
      </c>
      <c r="B1058" s="3" t="s">
        <v>4699</v>
      </c>
      <c r="C1058" s="3" t="s">
        <v>13</v>
      </c>
      <c r="D1058" s="3" t="s">
        <v>6290</v>
      </c>
      <c r="E1058" s="3"/>
      <c r="F1058" s="3" t="s">
        <v>54</v>
      </c>
      <c r="G1058" s="3" t="s">
        <v>100</v>
      </c>
      <c r="H1058" s="3"/>
      <c r="I1058" s="3"/>
      <c r="J1058" s="3" t="s">
        <v>4700</v>
      </c>
      <c r="K1058" s="3"/>
      <c r="L1058" s="3" t="s">
        <v>4701</v>
      </c>
      <c r="M1058" s="3" t="str">
        <f>HYPERLINK("https://ceds.ed.gov/cedselementdetails.aspx?termid=6413")</f>
        <v>https://ceds.ed.gov/cedselementdetails.aspx?termid=6413</v>
      </c>
      <c r="N1058" s="3" t="str">
        <f>HYPERLINK("https://ceds.ed.gov/elementComment.aspx?elementName=Professional Development Funding Source &amp;elementID=6413", "Click here to submit comment")</f>
        <v>Click here to submit comment</v>
      </c>
    </row>
    <row r="1059" spans="1:14" ht="180">
      <c r="A1059" s="3" t="s">
        <v>4702</v>
      </c>
      <c r="B1059" s="3" t="s">
        <v>4703</v>
      </c>
      <c r="C1059" s="4" t="s">
        <v>6618</v>
      </c>
      <c r="D1059" s="3" t="s">
        <v>6290</v>
      </c>
      <c r="E1059" s="3"/>
      <c r="F1059" s="3" t="s">
        <v>54</v>
      </c>
      <c r="G1059" s="3"/>
      <c r="H1059" s="3"/>
      <c r="I1059" s="3"/>
      <c r="J1059" s="3" t="s">
        <v>4704</v>
      </c>
      <c r="K1059" s="3"/>
      <c r="L1059" s="3" t="s">
        <v>4705</v>
      </c>
      <c r="M1059" s="3" t="str">
        <f>HYPERLINK("https://ceds.ed.gov/cedselementdetails.aspx?termid=6429")</f>
        <v>https://ceds.ed.gov/cedselementdetails.aspx?termid=6429</v>
      </c>
      <c r="N1059" s="3" t="str">
        <f>HYPERLINK("https://ceds.ed.gov/elementComment.aspx?elementName=Professional Development Instructional Delivery Mode &amp;elementID=6429", "Click here to submit comment")</f>
        <v>Click here to submit comment</v>
      </c>
    </row>
    <row r="1060" spans="1:14" ht="90">
      <c r="A1060" s="3" t="s">
        <v>4706</v>
      </c>
      <c r="B1060" s="3" t="s">
        <v>4707</v>
      </c>
      <c r="C1060" s="3" t="s">
        <v>13</v>
      </c>
      <c r="D1060" s="3" t="s">
        <v>6290</v>
      </c>
      <c r="E1060" s="3"/>
      <c r="F1060" s="3" t="s">
        <v>54</v>
      </c>
      <c r="G1060" s="3" t="s">
        <v>100</v>
      </c>
      <c r="H1060" s="3"/>
      <c r="I1060" s="3"/>
      <c r="J1060" s="3" t="s">
        <v>4708</v>
      </c>
      <c r="K1060" s="3"/>
      <c r="L1060" s="3" t="s">
        <v>4709</v>
      </c>
      <c r="M1060" s="3" t="str">
        <f>HYPERLINK("https://ceds.ed.gov/cedselementdetails.aspx?termid=6414")</f>
        <v>https://ceds.ed.gov/cedselementdetails.aspx?termid=6414</v>
      </c>
      <c r="N1060" s="3" t="str">
        <f>HYPERLINK("https://ceds.ed.gov/elementComment.aspx?elementName=Professional Development Instructor Identifier &amp;elementID=6414", "Click here to submit comment")</f>
        <v>Click here to submit comment</v>
      </c>
    </row>
    <row r="1061" spans="1:14" ht="45">
      <c r="A1061" s="3" t="s">
        <v>4710</v>
      </c>
      <c r="B1061" s="3" t="s">
        <v>4711</v>
      </c>
      <c r="C1061" s="3" t="s">
        <v>5963</v>
      </c>
      <c r="D1061" s="3" t="s">
        <v>1542</v>
      </c>
      <c r="E1061" s="3"/>
      <c r="F1061" s="3" t="s">
        <v>54</v>
      </c>
      <c r="G1061" s="3"/>
      <c r="H1061" s="3"/>
      <c r="I1061" s="3"/>
      <c r="J1061" s="3" t="s">
        <v>4712</v>
      </c>
      <c r="K1061" s="3"/>
      <c r="L1061" s="3" t="s">
        <v>4713</v>
      </c>
      <c r="M1061" s="3" t="str">
        <f>HYPERLINK("https://ceds.ed.gov/cedselementdetails.aspx?termid=6415")</f>
        <v>https://ceds.ed.gov/cedselementdetails.aspx?termid=6415</v>
      </c>
      <c r="N1061" s="3" t="str">
        <f>HYPERLINK("https://ceds.ed.gov/elementComment.aspx?elementName=Professional Development Publish Activity Indicator &amp;elementID=6415", "Click here to submit comment")</f>
        <v>Click here to submit comment</v>
      </c>
    </row>
    <row r="1062" spans="1:14" ht="60">
      <c r="A1062" s="3" t="s">
        <v>4714</v>
      </c>
      <c r="B1062" s="3" t="s">
        <v>4715</v>
      </c>
      <c r="C1062" s="3" t="s">
        <v>5963</v>
      </c>
      <c r="D1062" s="3" t="s">
        <v>1542</v>
      </c>
      <c r="E1062" s="3" t="s">
        <v>202</v>
      </c>
      <c r="F1062" s="3"/>
      <c r="G1062" s="3"/>
      <c r="H1062" s="3"/>
      <c r="I1062" s="3"/>
      <c r="J1062" s="3" t="s">
        <v>4716</v>
      </c>
      <c r="K1062" s="3"/>
      <c r="L1062" s="3" t="s">
        <v>4717</v>
      </c>
      <c r="M1062" s="3" t="str">
        <f>HYPERLINK("https://ceds.ed.gov/cedselementdetails.aspx?termid=5810")</f>
        <v>https://ceds.ed.gov/cedselementdetails.aspx?termid=5810</v>
      </c>
      <c r="N1062" s="3" t="str">
        <f>HYPERLINK("https://ceds.ed.gov/elementComment.aspx?elementName=Professional Development Scholarship Status &amp;elementID=5810", "Click here to submit comment")</f>
        <v>Click here to submit comment</v>
      </c>
    </row>
    <row r="1063" spans="1:14" ht="90">
      <c r="A1063" s="3" t="s">
        <v>4718</v>
      </c>
      <c r="B1063" s="3" t="s">
        <v>4719</v>
      </c>
      <c r="C1063" s="3" t="s">
        <v>13</v>
      </c>
      <c r="D1063" s="3" t="s">
        <v>6290</v>
      </c>
      <c r="E1063" s="3"/>
      <c r="F1063" s="3" t="s">
        <v>54</v>
      </c>
      <c r="G1063" s="3" t="s">
        <v>575</v>
      </c>
      <c r="H1063" s="3"/>
      <c r="I1063" s="3"/>
      <c r="J1063" s="3" t="s">
        <v>4720</v>
      </c>
      <c r="K1063" s="3"/>
      <c r="L1063" s="3" t="s">
        <v>4721</v>
      </c>
      <c r="M1063" s="3" t="str">
        <f>HYPERLINK("https://ceds.ed.gov/cedselementdetails.aspx?termid=6416")</f>
        <v>https://ceds.ed.gov/cedselementdetails.aspx?termid=6416</v>
      </c>
      <c r="N1063" s="3" t="str">
        <f>HYPERLINK("https://ceds.ed.gov/elementComment.aspx?elementName=Professional Development Session Capacity &amp;elementID=6416", "Click here to submit comment")</f>
        <v>Click here to submit comment</v>
      </c>
    </row>
    <row r="1064" spans="1:14" ht="90">
      <c r="A1064" s="3" t="s">
        <v>4722</v>
      </c>
      <c r="B1064" s="3" t="s">
        <v>4723</v>
      </c>
      <c r="C1064" s="3" t="s">
        <v>13</v>
      </c>
      <c r="D1064" s="3" t="s">
        <v>6290</v>
      </c>
      <c r="E1064" s="3"/>
      <c r="F1064" s="3" t="s">
        <v>54</v>
      </c>
      <c r="G1064" s="3" t="s">
        <v>73</v>
      </c>
      <c r="H1064" s="3"/>
      <c r="I1064" s="3"/>
      <c r="J1064" s="3" t="s">
        <v>4724</v>
      </c>
      <c r="K1064" s="3"/>
      <c r="L1064" s="3" t="s">
        <v>4725</v>
      </c>
      <c r="M1064" s="3" t="str">
        <f>HYPERLINK("https://ceds.ed.gov/cedselementdetails.aspx?termid=6417")</f>
        <v>https://ceds.ed.gov/cedselementdetails.aspx?termid=6417</v>
      </c>
      <c r="N1064" s="3" t="str">
        <f>HYPERLINK("https://ceds.ed.gov/elementComment.aspx?elementName=Professional Development Session End Date &amp;elementID=6417", "Click here to submit comment")</f>
        <v>Click here to submit comment</v>
      </c>
    </row>
    <row r="1065" spans="1:14" ht="90">
      <c r="A1065" s="3" t="s">
        <v>4726</v>
      </c>
      <c r="B1065" s="3" t="s">
        <v>4727</v>
      </c>
      <c r="C1065" s="3" t="s">
        <v>13</v>
      </c>
      <c r="D1065" s="3" t="s">
        <v>6290</v>
      </c>
      <c r="E1065" s="3"/>
      <c r="F1065" s="3" t="s">
        <v>54</v>
      </c>
      <c r="G1065" s="3" t="s">
        <v>4728</v>
      </c>
      <c r="H1065" s="3"/>
      <c r="I1065" s="3"/>
      <c r="J1065" s="3" t="s">
        <v>4729</v>
      </c>
      <c r="K1065" s="3"/>
      <c r="L1065" s="3" t="s">
        <v>4730</v>
      </c>
      <c r="M1065" s="3" t="str">
        <f>HYPERLINK("https://ceds.ed.gov/cedselementdetails.aspx?termid=6418")</f>
        <v>https://ceds.ed.gov/cedselementdetails.aspx?termid=6418</v>
      </c>
      <c r="N1065" s="3" t="str">
        <f>HYPERLINK("https://ceds.ed.gov/elementComment.aspx?elementName=Professional Development Session End Time &amp;elementID=6418", "Click here to submit comment")</f>
        <v>Click here to submit comment</v>
      </c>
    </row>
    <row r="1066" spans="1:14" ht="90">
      <c r="A1066" s="3" t="s">
        <v>4731</v>
      </c>
      <c r="B1066" s="3" t="s">
        <v>4732</v>
      </c>
      <c r="C1066" s="3" t="s">
        <v>13</v>
      </c>
      <c r="D1066" s="3" t="s">
        <v>6290</v>
      </c>
      <c r="E1066" s="3"/>
      <c r="F1066" s="3" t="s">
        <v>54</v>
      </c>
      <c r="G1066" s="3" t="s">
        <v>100</v>
      </c>
      <c r="H1066" s="3"/>
      <c r="I1066" s="3"/>
      <c r="J1066" s="3" t="s">
        <v>4733</v>
      </c>
      <c r="K1066" s="3"/>
      <c r="L1066" s="3" t="s">
        <v>4734</v>
      </c>
      <c r="M1066" s="3" t="str">
        <f>HYPERLINK("https://ceds.ed.gov/cedselementdetails.aspx?termid=6419")</f>
        <v>https://ceds.ed.gov/cedselementdetails.aspx?termid=6419</v>
      </c>
      <c r="N1066" s="3" t="str">
        <f>HYPERLINK("https://ceds.ed.gov/elementComment.aspx?elementName=Professional Development Session Evaluation Method &amp;elementID=6419", "Click here to submit comment")</f>
        <v>Click here to submit comment</v>
      </c>
    </row>
    <row r="1067" spans="1:14" ht="90">
      <c r="A1067" s="3" t="s">
        <v>4735</v>
      </c>
      <c r="B1067" s="3" t="s">
        <v>4736</v>
      </c>
      <c r="C1067" s="3" t="s">
        <v>13</v>
      </c>
      <c r="D1067" s="3" t="s">
        <v>6290</v>
      </c>
      <c r="E1067" s="3"/>
      <c r="F1067" s="3" t="s">
        <v>54</v>
      </c>
      <c r="G1067" s="3" t="s">
        <v>100</v>
      </c>
      <c r="H1067" s="3"/>
      <c r="I1067" s="3"/>
      <c r="J1067" s="3" t="s">
        <v>4737</v>
      </c>
      <c r="K1067" s="3"/>
      <c r="L1067" s="3" t="s">
        <v>4738</v>
      </c>
      <c r="M1067" s="3" t="str">
        <f>HYPERLINK("https://ceds.ed.gov/cedselementdetails.aspx?termid=6420")</f>
        <v>https://ceds.ed.gov/cedselementdetails.aspx?termid=6420</v>
      </c>
      <c r="N1067" s="3" t="str">
        <f>HYPERLINK("https://ceds.ed.gov/elementComment.aspx?elementName=Professional Development Session Evaluation Score &amp;elementID=6420", "Click here to submit comment")</f>
        <v>Click here to submit comment</v>
      </c>
    </row>
    <row r="1068" spans="1:14" ht="90">
      <c r="A1068" s="3" t="s">
        <v>4739</v>
      </c>
      <c r="B1068" s="3" t="s">
        <v>4740</v>
      </c>
      <c r="C1068" s="3" t="s">
        <v>13</v>
      </c>
      <c r="D1068" s="3" t="s">
        <v>6290</v>
      </c>
      <c r="E1068" s="3"/>
      <c r="F1068" s="3" t="s">
        <v>54</v>
      </c>
      <c r="G1068" s="3" t="s">
        <v>100</v>
      </c>
      <c r="H1068" s="3"/>
      <c r="I1068" s="3"/>
      <c r="J1068" s="3" t="s">
        <v>4741</v>
      </c>
      <c r="K1068" s="3"/>
      <c r="L1068" s="3" t="s">
        <v>4742</v>
      </c>
      <c r="M1068" s="3" t="str">
        <f>HYPERLINK("https://ceds.ed.gov/cedselementdetails.aspx?termid=6422")</f>
        <v>https://ceds.ed.gov/cedselementdetails.aspx?termid=6422</v>
      </c>
      <c r="N1068" s="3" t="str">
        <f>HYPERLINK("https://ceds.ed.gov/elementComment.aspx?elementName=Professional Development Session Identifier &amp;elementID=6422", "Click here to submit comment")</f>
        <v>Click here to submit comment</v>
      </c>
    </row>
    <row r="1069" spans="1:14" ht="105">
      <c r="A1069" s="3" t="s">
        <v>4743</v>
      </c>
      <c r="B1069" s="3" t="s">
        <v>4744</v>
      </c>
      <c r="C1069" s="3" t="s">
        <v>13</v>
      </c>
      <c r="D1069" s="3" t="s">
        <v>6291</v>
      </c>
      <c r="E1069" s="3"/>
      <c r="F1069" s="3" t="s">
        <v>54</v>
      </c>
      <c r="G1069" s="3" t="s">
        <v>106</v>
      </c>
      <c r="H1069" s="3"/>
      <c r="I1069" s="3"/>
      <c r="J1069" s="3" t="s">
        <v>4745</v>
      </c>
      <c r="K1069" s="3"/>
      <c r="L1069" s="3" t="s">
        <v>4746</v>
      </c>
      <c r="M1069" s="3" t="str">
        <f>HYPERLINK("https://ceds.ed.gov/cedselementdetails.aspx?termid=6424")</f>
        <v>https://ceds.ed.gov/cedselementdetails.aspx?termid=6424</v>
      </c>
      <c r="N1069" s="3" t="str">
        <f>HYPERLINK("https://ceds.ed.gov/elementComment.aspx?elementName=Professional Development Session Location Name &amp;elementID=6424", "Click here to submit comment")</f>
        <v>Click here to submit comment</v>
      </c>
    </row>
    <row r="1070" spans="1:14" ht="90">
      <c r="A1070" s="3" t="s">
        <v>4747</v>
      </c>
      <c r="B1070" s="3" t="s">
        <v>4748</v>
      </c>
      <c r="C1070" s="3" t="s">
        <v>13</v>
      </c>
      <c r="D1070" s="3" t="s">
        <v>6290</v>
      </c>
      <c r="E1070" s="3"/>
      <c r="F1070" s="3" t="s">
        <v>54</v>
      </c>
      <c r="G1070" s="3" t="s">
        <v>73</v>
      </c>
      <c r="H1070" s="3"/>
      <c r="I1070" s="3"/>
      <c r="J1070" s="3" t="s">
        <v>4749</v>
      </c>
      <c r="K1070" s="3"/>
      <c r="L1070" s="3" t="s">
        <v>4750</v>
      </c>
      <c r="M1070" s="3" t="str">
        <f>HYPERLINK("https://ceds.ed.gov/cedselementdetails.aspx?termid=6426")</f>
        <v>https://ceds.ed.gov/cedselementdetails.aspx?termid=6426</v>
      </c>
      <c r="N1070" s="3" t="str">
        <f>HYPERLINK("https://ceds.ed.gov/elementComment.aspx?elementName=Professional Development Session Start Date &amp;elementID=6426", "Click here to submit comment")</f>
        <v>Click here to submit comment</v>
      </c>
    </row>
    <row r="1071" spans="1:14" ht="90">
      <c r="A1071" s="3" t="s">
        <v>4751</v>
      </c>
      <c r="B1071" s="3" t="s">
        <v>4752</v>
      </c>
      <c r="C1071" s="3" t="s">
        <v>13</v>
      </c>
      <c r="D1071" s="3" t="s">
        <v>6290</v>
      </c>
      <c r="E1071" s="3"/>
      <c r="F1071" s="3" t="s">
        <v>54</v>
      </c>
      <c r="G1071" s="3" t="s">
        <v>4728</v>
      </c>
      <c r="H1071" s="3"/>
      <c r="I1071" s="3"/>
      <c r="J1071" s="3" t="s">
        <v>4753</v>
      </c>
      <c r="K1071" s="3"/>
      <c r="L1071" s="3" t="s">
        <v>4754</v>
      </c>
      <c r="M1071" s="3" t="str">
        <f>HYPERLINK("https://ceds.ed.gov/cedselementdetails.aspx?termid=6427")</f>
        <v>https://ceds.ed.gov/cedselementdetails.aspx?termid=6427</v>
      </c>
      <c r="N1071" s="3" t="str">
        <f>HYPERLINK("https://ceds.ed.gov/elementComment.aspx?elementName=Professional Development Session Start Time &amp;elementID=6427", "Click here to submit comment")</f>
        <v>Click here to submit comment</v>
      </c>
    </row>
    <row r="1072" spans="1:14" ht="90">
      <c r="A1072" s="3" t="s">
        <v>4755</v>
      </c>
      <c r="B1072" s="3" t="s">
        <v>4756</v>
      </c>
      <c r="C1072" s="3" t="s">
        <v>6292</v>
      </c>
      <c r="D1072" s="3" t="s">
        <v>6290</v>
      </c>
      <c r="E1072" s="3"/>
      <c r="F1072" s="3" t="s">
        <v>54</v>
      </c>
      <c r="G1072" s="3"/>
      <c r="H1072" s="3"/>
      <c r="I1072" s="3"/>
      <c r="J1072" s="3" t="s">
        <v>4757</v>
      </c>
      <c r="K1072" s="3"/>
      <c r="L1072" s="3" t="s">
        <v>4758</v>
      </c>
      <c r="M1072" s="3" t="str">
        <f>HYPERLINK("https://ceds.ed.gov/cedselementdetails.aspx?termid=6428")</f>
        <v>https://ceds.ed.gov/cedselementdetails.aspx?termid=6428</v>
      </c>
      <c r="N1072" s="3" t="str">
        <f>HYPERLINK("https://ceds.ed.gov/elementComment.aspx?elementName=Professional Development Session Status &amp;elementID=6428", "Click here to submit comment")</f>
        <v>Click here to submit comment</v>
      </c>
    </row>
    <row r="1073" spans="1:14" ht="255">
      <c r="A1073" s="3" t="s">
        <v>4759</v>
      </c>
      <c r="B1073" s="3" t="s">
        <v>4760</v>
      </c>
      <c r="C1073" s="4" t="s">
        <v>6619</v>
      </c>
      <c r="D1073" s="3" t="s">
        <v>1723</v>
      </c>
      <c r="E1073" s="3"/>
      <c r="F1073" s="3"/>
      <c r="G1073" s="3"/>
      <c r="H1073" s="3"/>
      <c r="I1073" s="3"/>
      <c r="J1073" s="3" t="s">
        <v>4761</v>
      </c>
      <c r="K1073" s="3"/>
      <c r="L1073" s="3" t="s">
        <v>4762</v>
      </c>
      <c r="M1073" s="3" t="str">
        <f>HYPERLINK("https://ceds.ed.gov/cedselementdetails.aspx?termid=5220")</f>
        <v>https://ceds.ed.gov/cedselementdetails.aspx?termid=5220</v>
      </c>
      <c r="N1073" s="3" t="str">
        <f>HYPERLINK("https://ceds.ed.gov/elementComment.aspx?elementName=Professional Educational Job Classification &amp;elementID=5220", "Click here to submit comment")</f>
        <v>Click here to submit comment</v>
      </c>
    </row>
    <row r="1074" spans="1:14" ht="195">
      <c r="A1074" s="3" t="s">
        <v>4763</v>
      </c>
      <c r="B1074" s="3" t="s">
        <v>4764</v>
      </c>
      <c r="C1074" s="4" t="s">
        <v>6620</v>
      </c>
      <c r="D1074" s="3" t="s">
        <v>6293</v>
      </c>
      <c r="E1074" s="3"/>
      <c r="F1074" s="3" t="s">
        <v>66</v>
      </c>
      <c r="G1074" s="3"/>
      <c r="H1074" s="3" t="s">
        <v>848</v>
      </c>
      <c r="I1074" s="3"/>
      <c r="J1074" s="3" t="s">
        <v>4765</v>
      </c>
      <c r="K1074" s="3"/>
      <c r="L1074" s="3" t="s">
        <v>4766</v>
      </c>
      <c r="M1074" s="3" t="str">
        <f>HYPERLINK("https://ceds.ed.gov/cedselementdetails.aspx?termid=5780")</f>
        <v>https://ceds.ed.gov/cedselementdetails.aspx?termid=5780</v>
      </c>
      <c r="N1074" s="3" t="str">
        <f>HYPERLINK("https://ceds.ed.gov/elementComment.aspx?elementName=Professional or Technical Credential Conferred &amp;elementID=5780", "Click here to submit comment")</f>
        <v>Click here to submit comment</v>
      </c>
    </row>
    <row r="1075" spans="1:14" ht="150">
      <c r="A1075" s="3" t="s">
        <v>4767</v>
      </c>
      <c r="B1075" s="3" t="s">
        <v>4768</v>
      </c>
      <c r="C1075" s="4" t="s">
        <v>6621</v>
      </c>
      <c r="D1075" s="3" t="s">
        <v>6294</v>
      </c>
      <c r="E1075" s="3" t="s">
        <v>218</v>
      </c>
      <c r="F1075" s="3"/>
      <c r="G1075" s="3"/>
      <c r="H1075" s="3"/>
      <c r="I1075" s="3"/>
      <c r="J1075" s="3" t="s">
        <v>4769</v>
      </c>
      <c r="K1075" s="3"/>
      <c r="L1075" s="3" t="s">
        <v>4770</v>
      </c>
      <c r="M1075" s="3" t="str">
        <f>HYPERLINK("https://ceds.ed.gov/cedselementdetails.aspx?termid=5565")</f>
        <v>https://ceds.ed.gov/cedselementdetails.aspx?termid=5565</v>
      </c>
      <c r="N1075" s="3" t="str">
        <f>HYPERLINK("https://ceds.ed.gov/elementComment.aspx?elementName=Proficiency Status &amp;elementID=5565", "Click here to submit comment")</f>
        <v>Click here to submit comment</v>
      </c>
    </row>
    <row r="1076" spans="1:14" ht="195">
      <c r="A1076" s="3" t="s">
        <v>4771</v>
      </c>
      <c r="B1076" s="3" t="s">
        <v>4772</v>
      </c>
      <c r="C1076" s="4" t="s">
        <v>6622</v>
      </c>
      <c r="D1076" s="3" t="s">
        <v>5979</v>
      </c>
      <c r="E1076" s="3" t="s">
        <v>218</v>
      </c>
      <c r="F1076" s="3"/>
      <c r="G1076" s="3"/>
      <c r="H1076" s="3"/>
      <c r="I1076" s="3"/>
      <c r="J1076" s="3" t="s">
        <v>4773</v>
      </c>
      <c r="K1076" s="3"/>
      <c r="L1076" s="3" t="s">
        <v>4774</v>
      </c>
      <c r="M1076" s="3" t="str">
        <f>HYPERLINK("https://ceds.ed.gov/cedselementdetails.aspx?termid=5221")</f>
        <v>https://ceds.ed.gov/cedselementdetails.aspx?termid=5221</v>
      </c>
      <c r="N1076" s="3" t="str">
        <f>HYPERLINK("https://ceds.ed.gov/elementComment.aspx?elementName=Proficiency Target Status for Math &amp;elementID=5221", "Click here to submit comment")</f>
        <v>Click here to submit comment</v>
      </c>
    </row>
    <row r="1077" spans="1:14" ht="195">
      <c r="A1077" s="3" t="s">
        <v>4775</v>
      </c>
      <c r="B1077" s="3" t="s">
        <v>4776</v>
      </c>
      <c r="C1077" s="4" t="s">
        <v>6622</v>
      </c>
      <c r="D1077" s="3" t="s">
        <v>5979</v>
      </c>
      <c r="E1077" s="3" t="s">
        <v>218</v>
      </c>
      <c r="F1077" s="3"/>
      <c r="G1077" s="3"/>
      <c r="H1077" s="3"/>
      <c r="I1077" s="3"/>
      <c r="J1077" s="3" t="s">
        <v>4777</v>
      </c>
      <c r="K1077" s="3"/>
      <c r="L1077" s="3" t="s">
        <v>4778</v>
      </c>
      <c r="M1077" s="3" t="str">
        <f>HYPERLINK("https://ceds.ed.gov/cedselementdetails.aspx?termid=5544")</f>
        <v>https://ceds.ed.gov/cedselementdetails.aspx?termid=5544</v>
      </c>
      <c r="N1077" s="3" t="str">
        <f>HYPERLINK("https://ceds.ed.gov/elementComment.aspx?elementName=Proficiency Target Status for Reading and Language Arts &amp;elementID=5544", "Click here to submit comment")</f>
        <v>Click here to submit comment</v>
      </c>
    </row>
    <row r="1078" spans="1:14" ht="60">
      <c r="A1078" s="3" t="s">
        <v>4779</v>
      </c>
      <c r="B1078" s="3" t="s">
        <v>4780</v>
      </c>
      <c r="C1078" s="3" t="s">
        <v>5963</v>
      </c>
      <c r="D1078" s="3" t="s">
        <v>1287</v>
      </c>
      <c r="E1078" s="3" t="s">
        <v>6295</v>
      </c>
      <c r="F1078" s="3"/>
      <c r="G1078" s="3"/>
      <c r="H1078" s="3"/>
      <c r="I1078" s="3"/>
      <c r="J1078" s="3" t="s">
        <v>4781</v>
      </c>
      <c r="K1078" s="3"/>
      <c r="L1078" s="3" t="s">
        <v>4782</v>
      </c>
      <c r="M1078" s="3" t="str">
        <f>HYPERLINK("https://ceds.ed.gov/cedselementdetails.aspx?termid=5854")</f>
        <v>https://ceds.ed.gov/cedselementdetails.aspx?termid=5854</v>
      </c>
      <c r="N1078" s="3" t="str">
        <f>HYPERLINK("https://ceds.ed.gov/elementComment.aspx?elementName=Program Collects Parental Feedback &amp;elementID=5854", "Click here to submit comment")</f>
        <v>Click here to submit comment</v>
      </c>
    </row>
    <row r="1079" spans="1:14" ht="45">
      <c r="A1079" s="3" t="s">
        <v>4783</v>
      </c>
      <c r="B1079" s="3" t="s">
        <v>4784</v>
      </c>
      <c r="C1079" s="3" t="s">
        <v>5963</v>
      </c>
      <c r="D1079" s="3" t="s">
        <v>4785</v>
      </c>
      <c r="E1079" s="3" t="s">
        <v>6145</v>
      </c>
      <c r="F1079" s="3"/>
      <c r="G1079" s="3"/>
      <c r="H1079" s="3"/>
      <c r="I1079" s="3"/>
      <c r="J1079" s="3" t="s">
        <v>4786</v>
      </c>
      <c r="K1079" s="3"/>
      <c r="L1079" s="3" t="s">
        <v>4787</v>
      </c>
      <c r="M1079" s="3" t="str">
        <f>HYPERLINK("https://ceds.ed.gov/cedselementdetails.aspx?termid=5863")</f>
        <v>https://ceds.ed.gov/cedselementdetails.aspx?termid=5863</v>
      </c>
      <c r="N1079" s="3" t="str">
        <f>HYPERLINK("https://ceds.ed.gov/elementComment.aspx?elementName=Program Follows Salary Scale &amp;elementID=5863", "Click here to submit comment")</f>
        <v>Click here to submit comment</v>
      </c>
    </row>
    <row r="1080" spans="1:14" ht="409.5">
      <c r="A1080" s="3" t="s">
        <v>4788</v>
      </c>
      <c r="B1080" s="3" t="s">
        <v>4789</v>
      </c>
      <c r="C1080" s="4" t="s">
        <v>6623</v>
      </c>
      <c r="D1080" s="3" t="s">
        <v>6296</v>
      </c>
      <c r="E1080" s="3"/>
      <c r="F1080" s="3" t="s">
        <v>66</v>
      </c>
      <c r="G1080" s="3"/>
      <c r="H1080" s="3" t="s">
        <v>94</v>
      </c>
      <c r="I1080" s="3"/>
      <c r="J1080" s="3" t="s">
        <v>4790</v>
      </c>
      <c r="K1080" s="3"/>
      <c r="L1080" s="3" t="s">
        <v>4791</v>
      </c>
      <c r="M1080" s="3" t="str">
        <f>HYPERLINK("https://ceds.ed.gov/cedselementdetails.aspx?termid=6210")</f>
        <v>https://ceds.ed.gov/cedselementdetails.aspx?termid=6210</v>
      </c>
      <c r="N1080" s="3" t="str">
        <f>HYPERLINK("https://ceds.ed.gov/elementComment.aspx?elementName=Program Gifted Eligibility Criteria &amp;elementID=6210", "Click here to submit comment")</f>
        <v>Click here to submit comment</v>
      </c>
    </row>
    <row r="1081" spans="1:14" ht="45">
      <c r="A1081" s="3" t="s">
        <v>4792</v>
      </c>
      <c r="B1081" s="3" t="s">
        <v>4793</v>
      </c>
      <c r="C1081" s="3" t="s">
        <v>5963</v>
      </c>
      <c r="D1081" s="3" t="s">
        <v>4794</v>
      </c>
      <c r="E1081" s="3" t="s">
        <v>65</v>
      </c>
      <c r="F1081" s="3"/>
      <c r="G1081" s="3"/>
      <c r="H1081" s="3"/>
      <c r="I1081" s="3"/>
      <c r="J1081" s="3" t="s">
        <v>4795</v>
      </c>
      <c r="K1081" s="3"/>
      <c r="L1081" s="3" t="s">
        <v>4796</v>
      </c>
      <c r="M1081" s="3" t="str">
        <f>HYPERLINK("https://ceds.ed.gov/cedselementdetails.aspx?termid=5851")</f>
        <v>https://ceds.ed.gov/cedselementdetails.aspx?termid=5851</v>
      </c>
      <c r="N1081" s="3" t="str">
        <f>HYPERLINK("https://ceds.ed.gov/elementComment.aspx?elementName=Program Heath Safety Checklist Use Status &amp;elementID=5851", "Click here to submit comment")</f>
        <v>Click here to submit comment</v>
      </c>
    </row>
    <row r="1082" spans="1:14" ht="60">
      <c r="A1082" s="3" t="s">
        <v>4797</v>
      </c>
      <c r="B1082" s="3" t="s">
        <v>4798</v>
      </c>
      <c r="C1082" s="3" t="s">
        <v>13</v>
      </c>
      <c r="D1082" s="3" t="s">
        <v>6297</v>
      </c>
      <c r="E1082" s="3"/>
      <c r="F1082" s="3" t="s">
        <v>3</v>
      </c>
      <c r="G1082" s="3" t="s">
        <v>100</v>
      </c>
      <c r="H1082" s="3"/>
      <c r="I1082" s="3"/>
      <c r="J1082" s="3" t="s">
        <v>4799</v>
      </c>
      <c r="K1082" s="3"/>
      <c r="L1082" s="3" t="s">
        <v>4800</v>
      </c>
      <c r="M1082" s="3" t="str">
        <f>HYPERLINK("https://ceds.ed.gov/cedselementdetails.aspx?termid=5618")</f>
        <v>https://ceds.ed.gov/cedselementdetails.aspx?termid=5618</v>
      </c>
      <c r="N1082" s="3" t="str">
        <f>HYPERLINK("https://ceds.ed.gov/elementComment.aspx?elementName=Program Identifier &amp;elementID=5618", "Click here to submit comment")</f>
        <v>Click here to submit comment</v>
      </c>
    </row>
    <row r="1083" spans="1:14" ht="90">
      <c r="A1083" s="3" t="s">
        <v>4801</v>
      </c>
      <c r="B1083" s="3" t="s">
        <v>4802</v>
      </c>
      <c r="C1083" s="3" t="s">
        <v>5963</v>
      </c>
      <c r="D1083" s="3" t="s">
        <v>3399</v>
      </c>
      <c r="E1083" s="3" t="s">
        <v>207</v>
      </c>
      <c r="F1083" s="3"/>
      <c r="G1083" s="3"/>
      <c r="H1083" s="3"/>
      <c r="I1083" s="3"/>
      <c r="J1083" s="3" t="s">
        <v>4803</v>
      </c>
      <c r="K1083" s="3"/>
      <c r="L1083" s="3" t="s">
        <v>4804</v>
      </c>
      <c r="M1083" s="3" t="str">
        <f>HYPERLINK("https://ceds.ed.gov/cedselementdetails.aspx?termid=5476")</f>
        <v>https://ceds.ed.gov/cedselementdetails.aspx?termid=5476</v>
      </c>
      <c r="N1083" s="3" t="str">
        <f>HYPERLINK("https://ceds.ed.gov/elementComment.aspx?elementName=Program in Multiple Purpose Facility &amp;elementID=5476", "Click here to submit comment")</f>
        <v>Click here to submit comment</v>
      </c>
    </row>
    <row r="1084" spans="1:14" ht="75">
      <c r="A1084" s="3" t="s">
        <v>4805</v>
      </c>
      <c r="B1084" s="3" t="s">
        <v>4806</v>
      </c>
      <c r="C1084" s="3" t="s">
        <v>13</v>
      </c>
      <c r="D1084" s="3" t="s">
        <v>1708</v>
      </c>
      <c r="E1084" s="3" t="s">
        <v>1537</v>
      </c>
      <c r="F1084" s="3"/>
      <c r="G1084" s="3" t="s">
        <v>1461</v>
      </c>
      <c r="H1084" s="3"/>
      <c r="I1084" s="3"/>
      <c r="J1084" s="3" t="s">
        <v>4807</v>
      </c>
      <c r="K1084" s="3"/>
      <c r="L1084" s="3" t="s">
        <v>4808</v>
      </c>
      <c r="M1084" s="3" t="str">
        <f>HYPERLINK("https://ceds.ed.gov/cedselementdetails.aspx?termid=5223")</f>
        <v>https://ceds.ed.gov/cedselementdetails.aspx?termid=5223</v>
      </c>
      <c r="N1084" s="3" t="str">
        <f>HYPERLINK("https://ceds.ed.gov/elementComment.aspx?elementName=Program Length Hours &amp;elementID=5223", "Click here to submit comment")</f>
        <v>Click here to submit comment</v>
      </c>
    </row>
    <row r="1085" spans="1:14" ht="45">
      <c r="A1085" s="3" t="s">
        <v>4809</v>
      </c>
      <c r="B1085" s="3" t="s">
        <v>4810</v>
      </c>
      <c r="C1085" s="3" t="s">
        <v>6212</v>
      </c>
      <c r="D1085" s="3" t="s">
        <v>1708</v>
      </c>
      <c r="E1085" s="3" t="s">
        <v>1537</v>
      </c>
      <c r="F1085" s="3"/>
      <c r="G1085" s="3"/>
      <c r="H1085" s="3"/>
      <c r="I1085" s="3"/>
      <c r="J1085" s="3" t="s">
        <v>4811</v>
      </c>
      <c r="K1085" s="3"/>
      <c r="L1085" s="3" t="s">
        <v>4812</v>
      </c>
      <c r="M1085" s="3" t="str">
        <f>HYPERLINK("https://ceds.ed.gov/cedselementdetails.aspx?termid=5224")</f>
        <v>https://ceds.ed.gov/cedselementdetails.aspx?termid=5224</v>
      </c>
      <c r="N1085" s="3" t="str">
        <f>HYPERLINK("https://ceds.ed.gov/elementComment.aspx?elementName=Program Length Hours Type &amp;elementID=5224", "Click here to submit comment")</f>
        <v>Click here to submit comment</v>
      </c>
    </row>
    <row r="1086" spans="1:14" ht="75">
      <c r="A1086" s="3" t="s">
        <v>4813</v>
      </c>
      <c r="B1086" s="3" t="s">
        <v>4814</v>
      </c>
      <c r="C1086" s="3" t="s">
        <v>13</v>
      </c>
      <c r="D1086" s="3" t="s">
        <v>6298</v>
      </c>
      <c r="E1086" s="3"/>
      <c r="F1086" s="3" t="s">
        <v>3</v>
      </c>
      <c r="G1086" s="3" t="s">
        <v>106</v>
      </c>
      <c r="H1086" s="3"/>
      <c r="I1086" s="3"/>
      <c r="J1086" s="3" t="s">
        <v>4815</v>
      </c>
      <c r="K1086" s="3"/>
      <c r="L1086" s="3" t="s">
        <v>4816</v>
      </c>
      <c r="M1086" s="3" t="str">
        <f>HYPERLINK("https://ceds.ed.gov/cedselementdetails.aspx?termid=5619")</f>
        <v>https://ceds.ed.gov/cedselementdetails.aspx?termid=5619</v>
      </c>
      <c r="N1086" s="3" t="str">
        <f>HYPERLINK("https://ceds.ed.gov/elementComment.aspx?elementName=Program Name &amp;elementID=5619", "Click here to submit comment")</f>
        <v>Click here to submit comment</v>
      </c>
    </row>
    <row r="1087" spans="1:14" ht="315">
      <c r="A1087" s="3" t="s">
        <v>4817</v>
      </c>
      <c r="B1087" s="3" t="s">
        <v>4818</v>
      </c>
      <c r="C1087" s="3" t="s">
        <v>13</v>
      </c>
      <c r="D1087" s="3" t="s">
        <v>6299</v>
      </c>
      <c r="E1087" s="3" t="s">
        <v>218</v>
      </c>
      <c r="F1087" s="3"/>
      <c r="G1087" s="3" t="s">
        <v>73</v>
      </c>
      <c r="H1087" s="3"/>
      <c r="I1087" s="3"/>
      <c r="J1087" s="3" t="s">
        <v>4819</v>
      </c>
      <c r="K1087" s="3"/>
      <c r="L1087" s="3" t="s">
        <v>4820</v>
      </c>
      <c r="M1087" s="3" t="str">
        <f>HYPERLINK("https://ceds.ed.gov/cedselementdetails.aspx?termid=5584")</f>
        <v>https://ceds.ed.gov/cedselementdetails.aspx?termid=5584</v>
      </c>
      <c r="N1087" s="3" t="str">
        <f>HYPERLINK("https://ceds.ed.gov/elementComment.aspx?elementName=Program Participation Exit Date &amp;elementID=5584", "Click here to submit comment")</f>
        <v>Click here to submit comment</v>
      </c>
    </row>
    <row r="1088" spans="1:14" ht="315">
      <c r="A1088" s="3" t="s">
        <v>4821</v>
      </c>
      <c r="B1088" s="3" t="s">
        <v>4822</v>
      </c>
      <c r="C1088" s="3" t="s">
        <v>13</v>
      </c>
      <c r="D1088" s="3" t="s">
        <v>6299</v>
      </c>
      <c r="E1088" s="3" t="s">
        <v>6051</v>
      </c>
      <c r="F1088" s="3"/>
      <c r="G1088" s="3" t="s">
        <v>73</v>
      </c>
      <c r="H1088" s="3"/>
      <c r="I1088" s="3"/>
      <c r="J1088" s="3" t="s">
        <v>4823</v>
      </c>
      <c r="K1088" s="3"/>
      <c r="L1088" s="3" t="s">
        <v>4824</v>
      </c>
      <c r="M1088" s="3" t="str">
        <f>HYPERLINK("https://ceds.ed.gov/cedselementdetails.aspx?termid=5583")</f>
        <v>https://ceds.ed.gov/cedselementdetails.aspx?termid=5583</v>
      </c>
      <c r="N1088" s="3" t="str">
        <f>HYPERLINK("https://ceds.ed.gov/elementComment.aspx?elementName=Program Participation Start Date &amp;elementID=5583", "Click here to submit comment")</f>
        <v>Click here to submit comment</v>
      </c>
    </row>
    <row r="1089" spans="1:14" ht="135">
      <c r="A1089" s="3" t="s">
        <v>4825</v>
      </c>
      <c r="B1089" s="3" t="s">
        <v>4826</v>
      </c>
      <c r="C1089" s="4" t="s">
        <v>6624</v>
      </c>
      <c r="D1089" s="3" t="s">
        <v>4827</v>
      </c>
      <c r="E1089" s="3"/>
      <c r="F1089" s="3"/>
      <c r="G1089" s="3"/>
      <c r="H1089" s="3"/>
      <c r="I1089" s="3"/>
      <c r="J1089" s="3" t="s">
        <v>4828</v>
      </c>
      <c r="K1089" s="3"/>
      <c r="L1089" s="3" t="s">
        <v>4829</v>
      </c>
      <c r="M1089" s="3" t="str">
        <f>HYPERLINK("https://ceds.ed.gov/cedselementdetails.aspx?termid=6209")</f>
        <v>https://ceds.ed.gov/cedselementdetails.aspx?termid=6209</v>
      </c>
      <c r="N1089" s="3" t="str">
        <f>HYPERLINK("https://ceds.ed.gov/elementComment.aspx?elementName=Program Participation Status &amp;elementID=6209", "Click here to submit comment")</f>
        <v>Click here to submit comment</v>
      </c>
    </row>
    <row r="1090" spans="1:14" ht="45">
      <c r="A1090" s="3" t="s">
        <v>4830</v>
      </c>
      <c r="B1090" s="3" t="s">
        <v>4831</v>
      </c>
      <c r="C1090" s="3" t="s">
        <v>5963</v>
      </c>
      <c r="D1090" s="3" t="s">
        <v>1287</v>
      </c>
      <c r="E1090" s="3" t="s">
        <v>65</v>
      </c>
      <c r="F1090" s="3"/>
      <c r="G1090" s="3"/>
      <c r="H1090" s="3"/>
      <c r="I1090" s="3"/>
      <c r="J1090" s="3" t="s">
        <v>4832</v>
      </c>
      <c r="K1090" s="3"/>
      <c r="L1090" s="3" t="s">
        <v>4833</v>
      </c>
      <c r="M1090" s="3" t="str">
        <f>HYPERLINK("https://ceds.ed.gov/cedselementdetails.aspx?termid=5856")</f>
        <v>https://ceds.ed.gov/cedselementdetails.aspx?termid=5856</v>
      </c>
      <c r="N1090" s="3" t="str">
        <f>HYPERLINK("https://ceds.ed.gov/elementComment.aspx?elementName=Program Provides Parent Education &amp;elementID=5856", "Click here to submit comment")</f>
        <v>Click here to submit comment</v>
      </c>
    </row>
    <row r="1091" spans="1:14" ht="60">
      <c r="A1091" s="3" t="s">
        <v>4834</v>
      </c>
      <c r="B1091" s="3" t="s">
        <v>4835</v>
      </c>
      <c r="C1091" s="3" t="s">
        <v>5963</v>
      </c>
      <c r="D1091" s="3" t="s">
        <v>1287</v>
      </c>
      <c r="E1091" s="3" t="s">
        <v>65</v>
      </c>
      <c r="F1091" s="3"/>
      <c r="G1091" s="3"/>
      <c r="H1091" s="3"/>
      <c r="I1091" s="3"/>
      <c r="J1091" s="3" t="s">
        <v>4836</v>
      </c>
      <c r="K1091" s="3"/>
      <c r="L1091" s="3" t="s">
        <v>4837</v>
      </c>
      <c r="M1091" s="3" t="str">
        <f>HYPERLINK("https://ceds.ed.gov/cedselementdetails.aspx?termid=5855")</f>
        <v>https://ceds.ed.gov/cedselementdetails.aspx?termid=5855</v>
      </c>
      <c r="N1091" s="3" t="str">
        <f>HYPERLINK("https://ceds.ed.gov/elementComment.aspx?elementName=Program Provides Parent Involvement Opportunity &amp;elementID=5855", "Click here to submit comment")</f>
        <v>Click here to submit comment</v>
      </c>
    </row>
    <row r="1092" spans="1:14" ht="45">
      <c r="A1092" s="3" t="s">
        <v>4838</v>
      </c>
      <c r="B1092" s="3" t="s">
        <v>4839</v>
      </c>
      <c r="C1092" s="3" t="s">
        <v>5963</v>
      </c>
      <c r="D1092" s="3" t="s">
        <v>4840</v>
      </c>
      <c r="E1092" s="3" t="s">
        <v>65</v>
      </c>
      <c r="F1092" s="3"/>
      <c r="G1092" s="3"/>
      <c r="H1092" s="3"/>
      <c r="I1092" s="3"/>
      <c r="J1092" s="3" t="s">
        <v>4841</v>
      </c>
      <c r="K1092" s="3"/>
      <c r="L1092" s="3" t="s">
        <v>4842</v>
      </c>
      <c r="M1092" s="3" t="str">
        <f>HYPERLINK("https://ceds.ed.gov/cedselementdetails.aspx?termid=5845")</f>
        <v>https://ceds.ed.gov/cedselementdetails.aspx?termid=5845</v>
      </c>
      <c r="N1092" s="3" t="str">
        <f>HYPERLINK("https://ceds.ed.gov/elementComment.aspx?elementName=Program Provides Translated Materials &amp;elementID=5845", "Click here to submit comment")</f>
        <v>Click here to submit comment</v>
      </c>
    </row>
    <row r="1093" spans="1:14" ht="45">
      <c r="A1093" s="3" t="s">
        <v>4843</v>
      </c>
      <c r="B1093" s="3" t="s">
        <v>4844</v>
      </c>
      <c r="C1093" s="3" t="s">
        <v>5963</v>
      </c>
      <c r="D1093" s="3" t="s">
        <v>1287</v>
      </c>
      <c r="E1093" s="3" t="s">
        <v>65</v>
      </c>
      <c r="F1093" s="3"/>
      <c r="G1093" s="3"/>
      <c r="H1093" s="3"/>
      <c r="I1093" s="3"/>
      <c r="J1093" s="3" t="s">
        <v>4845</v>
      </c>
      <c r="K1093" s="3"/>
      <c r="L1093" s="3" t="s">
        <v>4846</v>
      </c>
      <c r="M1093" s="3" t="str">
        <f>HYPERLINK("https://ceds.ed.gov/cedselementdetails.aspx?termid=5853")</f>
        <v>https://ceds.ed.gov/cedselementdetails.aspx?termid=5853</v>
      </c>
      <c r="N1093" s="3" t="str">
        <f>HYPERLINK("https://ceds.ed.gov/elementComment.aspx?elementName=Program Provides Written Handbook &amp;elementID=5853", "Click here to submit comment")</f>
        <v>Click here to submit comment</v>
      </c>
    </row>
    <row r="1094" spans="1:14" ht="270">
      <c r="A1094" s="3" t="s">
        <v>4847</v>
      </c>
      <c r="B1094" s="3" t="s">
        <v>4848</v>
      </c>
      <c r="C1094" s="4" t="s">
        <v>6625</v>
      </c>
      <c r="D1094" s="3" t="s">
        <v>6300</v>
      </c>
      <c r="E1094" s="3"/>
      <c r="F1094" s="3" t="s">
        <v>66</v>
      </c>
      <c r="G1094" s="3"/>
      <c r="H1094" s="3" t="s">
        <v>4849</v>
      </c>
      <c r="I1094" s="3"/>
      <c r="J1094" s="3" t="s">
        <v>4850</v>
      </c>
      <c r="K1094" s="3"/>
      <c r="L1094" s="3" t="s">
        <v>4851</v>
      </c>
      <c r="M1094" s="3" t="str">
        <f>HYPERLINK("https://ceds.ed.gov/cedselementdetails.aspx?termid=5692")</f>
        <v>https://ceds.ed.gov/cedselementdetails.aspx?termid=5692</v>
      </c>
      <c r="N1094" s="3" t="str">
        <f>HYPERLINK("https://ceds.ed.gov/elementComment.aspx?elementName=Program Sponsor Type &amp;elementID=5692", "Click here to submit comment")</f>
        <v>Click here to submit comment</v>
      </c>
    </row>
    <row r="1095" spans="1:14" ht="45">
      <c r="A1095" s="3" t="s">
        <v>4852</v>
      </c>
      <c r="B1095" s="3" t="s">
        <v>4853</v>
      </c>
      <c r="C1095" s="3" t="s">
        <v>5963</v>
      </c>
      <c r="D1095" s="3" t="s">
        <v>229</v>
      </c>
      <c r="E1095" s="3" t="s">
        <v>65</v>
      </c>
      <c r="F1095" s="3"/>
      <c r="G1095" s="3"/>
      <c r="H1095" s="3"/>
      <c r="I1095" s="3"/>
      <c r="J1095" s="3" t="s">
        <v>4854</v>
      </c>
      <c r="K1095" s="3"/>
      <c r="L1095" s="3" t="s">
        <v>4855</v>
      </c>
      <c r="M1095" s="3" t="str">
        <f>HYPERLINK("https://ceds.ed.gov/cedselementdetails.aspx?termid=5859")</f>
        <v>https://ceds.ed.gov/cedselementdetails.aspx?termid=5859</v>
      </c>
      <c r="N1095" s="3" t="str">
        <f>HYPERLINK("https://ceds.ed.gov/elementComment.aspx?elementName=Program Transition Planning Policy &amp;elementID=5859", "Click here to submit comment")</f>
        <v>Click here to submit comment</v>
      </c>
    </row>
    <row r="1096" spans="1:14" ht="409.5">
      <c r="A1096" s="3" t="s">
        <v>4856</v>
      </c>
      <c r="B1096" s="3" t="s">
        <v>4857</v>
      </c>
      <c r="C1096" s="4" t="s">
        <v>6626</v>
      </c>
      <c r="D1096" s="3" t="s">
        <v>6301</v>
      </c>
      <c r="E1096" s="3" t="s">
        <v>5968</v>
      </c>
      <c r="F1096" s="3" t="s">
        <v>66</v>
      </c>
      <c r="G1096" s="3"/>
      <c r="H1096" s="3" t="s">
        <v>4858</v>
      </c>
      <c r="I1096" s="3"/>
      <c r="J1096" s="3" t="s">
        <v>4859</v>
      </c>
      <c r="K1096" s="3"/>
      <c r="L1096" s="3" t="s">
        <v>4860</v>
      </c>
      <c r="M1096" s="3" t="str">
        <f>HYPERLINK("https://ceds.ed.gov/cedselementdetails.aspx?termid=5225")</f>
        <v>https://ceds.ed.gov/cedselementdetails.aspx?termid=5225</v>
      </c>
      <c r="N1096" s="3" t="str">
        <f>HYPERLINK("https://ceds.ed.gov/elementComment.aspx?elementName=Program Type &amp;elementID=5225", "Click here to submit comment")</f>
        <v>Click here to submit comment</v>
      </c>
    </row>
    <row r="1097" spans="1:14" ht="165">
      <c r="A1097" s="3" t="s">
        <v>4861</v>
      </c>
      <c r="B1097" s="3" t="s">
        <v>4862</v>
      </c>
      <c r="C1097" s="4" t="s">
        <v>6627</v>
      </c>
      <c r="D1097" s="3" t="s">
        <v>30</v>
      </c>
      <c r="E1097" s="3" t="s">
        <v>218</v>
      </c>
      <c r="F1097" s="3"/>
      <c r="G1097" s="3"/>
      <c r="H1097" s="3"/>
      <c r="I1097" s="3"/>
      <c r="J1097" s="3" t="s">
        <v>4863</v>
      </c>
      <c r="K1097" s="3"/>
      <c r="L1097" s="3" t="s">
        <v>4864</v>
      </c>
      <c r="M1097" s="3" t="str">
        <f>HYPERLINK("https://ceds.ed.gov/cedselementdetails.aspx?termid=5553")</f>
        <v>https://ceds.ed.gov/cedselementdetails.aspx?termid=5553</v>
      </c>
      <c r="N1097" s="3" t="str">
        <f>HYPERLINK("https://ceds.ed.gov/elementComment.aspx?elementName=Progress Level &amp;elementID=5553", "Click here to submit comment")</f>
        <v>Click here to submit comment</v>
      </c>
    </row>
    <row r="1098" spans="1:14" ht="90">
      <c r="A1098" s="3" t="s">
        <v>4865</v>
      </c>
      <c r="B1098" s="3" t="s">
        <v>4866</v>
      </c>
      <c r="C1098" s="3" t="s">
        <v>13</v>
      </c>
      <c r="D1098" s="3" t="s">
        <v>30</v>
      </c>
      <c r="E1098" s="3" t="s">
        <v>5968</v>
      </c>
      <c r="F1098" s="3"/>
      <c r="G1098" s="3" t="s">
        <v>2191</v>
      </c>
      <c r="H1098" s="3"/>
      <c r="I1098" s="3"/>
      <c r="J1098" s="3" t="s">
        <v>4867</v>
      </c>
      <c r="K1098" s="3"/>
      <c r="L1098" s="3" t="s">
        <v>4868</v>
      </c>
      <c r="M1098" s="3" t="str">
        <f>HYPERLINK("https://ceds.ed.gov/cedselementdetails.aspx?termid=5226")</f>
        <v>https://ceds.ed.gov/cedselementdetails.aspx?termid=5226</v>
      </c>
      <c r="N1098" s="3" t="str">
        <f>HYPERLINK("https://ceds.ed.gov/elementComment.aspx?elementName=Projected Graduation Date &amp;elementID=5226", "Click here to submit comment")</f>
        <v>Click here to submit comment</v>
      </c>
    </row>
    <row r="1099" spans="1:14" ht="150">
      <c r="A1099" s="3" t="s">
        <v>4869</v>
      </c>
      <c r="B1099" s="3" t="s">
        <v>4870</v>
      </c>
      <c r="C1099" s="4" t="s">
        <v>6628</v>
      </c>
      <c r="D1099" s="3" t="s">
        <v>30</v>
      </c>
      <c r="E1099" s="3"/>
      <c r="F1099" s="3"/>
      <c r="G1099" s="3"/>
      <c r="H1099" s="3"/>
      <c r="I1099" s="3"/>
      <c r="J1099" s="3" t="s">
        <v>4871</v>
      </c>
      <c r="K1099" s="3"/>
      <c r="L1099" s="3" t="s">
        <v>4872</v>
      </c>
      <c r="M1099" s="3" t="str">
        <f>HYPERLINK("https://ceds.ed.gov/cedselementdetails.aspx?termid=5521")</f>
        <v>https://ceds.ed.gov/cedselementdetails.aspx?termid=5521</v>
      </c>
      <c r="N1099" s="3" t="str">
        <f>HYPERLINK("https://ceds.ed.gov/elementComment.aspx?elementName=Promotion Reason &amp;elementID=5521", "Click here to submit comment")</f>
        <v>Click here to submit comment</v>
      </c>
    </row>
    <row r="1100" spans="1:14" ht="75">
      <c r="A1100" s="3" t="s">
        <v>4873</v>
      </c>
      <c r="B1100" s="3" t="s">
        <v>4874</v>
      </c>
      <c r="C1100" s="4" t="s">
        <v>6629</v>
      </c>
      <c r="D1100" s="3" t="s">
        <v>2644</v>
      </c>
      <c r="E1100" s="3" t="s">
        <v>2147</v>
      </c>
      <c r="F1100" s="3" t="s">
        <v>66</v>
      </c>
      <c r="G1100" s="3"/>
      <c r="H1100" s="3" t="s">
        <v>4875</v>
      </c>
      <c r="I1100" s="3"/>
      <c r="J1100" s="3" t="s">
        <v>4876</v>
      </c>
      <c r="K1100" s="3"/>
      <c r="L1100" s="3" t="s">
        <v>4877</v>
      </c>
      <c r="M1100" s="3" t="str">
        <f>HYPERLINK("https://ceds.ed.gov/cedselementdetails.aspx?termid=5305")</f>
        <v>https://ceds.ed.gov/cedselementdetails.aspx?termid=5305</v>
      </c>
      <c r="N1100" s="3" t="str">
        <f>HYPERLINK("https://ceds.ed.gov/elementComment.aspx?elementName=Proof of Residency Type &amp;elementID=5305", "Click here to submit comment")</f>
        <v>Click here to submit comment</v>
      </c>
    </row>
    <row r="1101" spans="1:14" ht="45">
      <c r="A1101" s="3" t="s">
        <v>4878</v>
      </c>
      <c r="B1101" s="3" t="s">
        <v>4879</v>
      </c>
      <c r="C1101" s="3" t="s">
        <v>13</v>
      </c>
      <c r="D1101" s="3" t="s">
        <v>248</v>
      </c>
      <c r="E1101" s="3"/>
      <c r="F1101" s="3"/>
      <c r="G1101" s="3" t="s">
        <v>4880</v>
      </c>
      <c r="H1101" s="3"/>
      <c r="I1101" s="3"/>
      <c r="J1101" s="3" t="s">
        <v>4881</v>
      </c>
      <c r="K1101" s="3"/>
      <c r="L1101" s="3" t="s">
        <v>4882</v>
      </c>
      <c r="M1101" s="3" t="str">
        <f>HYPERLINK("https://ceds.ed.gov/cedselementdetails.aspx?termid=5776")</f>
        <v>https://ceds.ed.gov/cedselementdetails.aspx?termid=5776</v>
      </c>
      <c r="N1101" s="3" t="str">
        <f>HYPERLINK("https://ceds.ed.gov/elementComment.aspx?elementName=Proxy Contact Hours &amp;elementID=5776", "Click here to submit comment")</f>
        <v>Click here to submit comment</v>
      </c>
    </row>
    <row r="1102" spans="1:14" ht="75">
      <c r="A1102" s="3" t="s">
        <v>4883</v>
      </c>
      <c r="B1102" s="3" t="s">
        <v>4884</v>
      </c>
      <c r="C1102" s="3" t="s">
        <v>5963</v>
      </c>
      <c r="D1102" s="3" t="s">
        <v>2248</v>
      </c>
      <c r="E1102" s="3"/>
      <c r="F1102" s="3"/>
      <c r="G1102" s="3"/>
      <c r="H1102" s="3"/>
      <c r="I1102" s="3"/>
      <c r="J1102" s="3" t="s">
        <v>4885</v>
      </c>
      <c r="K1102" s="3"/>
      <c r="L1102" s="3" t="s">
        <v>4886</v>
      </c>
      <c r="M1102" s="3" t="str">
        <f>HYPERLINK("https://ceds.ed.gov/cedselementdetails.aspx?termid=5760")</f>
        <v>https://ceds.ed.gov/cedselementdetails.aspx?termid=5760</v>
      </c>
      <c r="N1102" s="3" t="str">
        <f>HYPERLINK("https://ceds.ed.gov/elementComment.aspx?elementName=Public Assistance Status &amp;elementID=5760", "Click here to submit comment")</f>
        <v>Click here to submit comment</v>
      </c>
    </row>
    <row r="1103" spans="1:14" ht="60">
      <c r="A1103" s="3" t="s">
        <v>4887</v>
      </c>
      <c r="B1103" s="3" t="s">
        <v>4888</v>
      </c>
      <c r="C1103" s="3" t="s">
        <v>13</v>
      </c>
      <c r="D1103" s="3" t="s">
        <v>2822</v>
      </c>
      <c r="E1103" s="3" t="s">
        <v>218</v>
      </c>
      <c r="F1103" s="3"/>
      <c r="G1103" s="3" t="s">
        <v>1461</v>
      </c>
      <c r="H1103" s="3"/>
      <c r="I1103" s="3"/>
      <c r="J1103" s="3" t="s">
        <v>4889</v>
      </c>
      <c r="K1103" s="3"/>
      <c r="L1103" s="3" t="s">
        <v>4890</v>
      </c>
      <c r="M1103" s="3" t="str">
        <f>HYPERLINK("https://ceds.ed.gov/cedselementdetails.aspx?termid=5560")</f>
        <v>https://ceds.ed.gov/cedselementdetails.aspx?termid=5560</v>
      </c>
      <c r="N1103" s="3" t="str">
        <f>HYPERLINK("https://ceds.ed.gov/elementComment.aspx?elementName=Public School Choice Funds Spent &amp;elementID=5560", "Click here to submit comment")</f>
        <v>Click here to submit comment</v>
      </c>
    </row>
    <row r="1104" spans="1:14" ht="165">
      <c r="A1104" s="3" t="s">
        <v>4891</v>
      </c>
      <c r="B1104" s="3" t="s">
        <v>4892</v>
      </c>
      <c r="C1104" s="4" t="s">
        <v>6630</v>
      </c>
      <c r="D1104" s="3" t="s">
        <v>59</v>
      </c>
      <c r="E1104" s="3" t="s">
        <v>218</v>
      </c>
      <c r="F1104" s="3"/>
      <c r="G1104" s="3"/>
      <c r="H1104" s="3"/>
      <c r="I1104" s="3"/>
      <c r="J1104" s="3" t="s">
        <v>4893</v>
      </c>
      <c r="K1104" s="3"/>
      <c r="L1104" s="3" t="s">
        <v>4894</v>
      </c>
      <c r="M1104" s="3" t="str">
        <f>HYPERLINK("https://ceds.ed.gov/cedselementdetails.aspx?termid=5227")</f>
        <v>https://ceds.ed.gov/cedselementdetails.aspx?termid=5227</v>
      </c>
      <c r="N1104" s="3" t="str">
        <f>HYPERLINK("https://ceds.ed.gov/elementComment.aspx?elementName=Public School Choice Implementation Status &amp;elementID=5227", "Click here to submit comment")</f>
        <v>Click here to submit comment</v>
      </c>
    </row>
    <row r="1105" spans="1:14" ht="150">
      <c r="A1105" s="3" t="s">
        <v>4895</v>
      </c>
      <c r="B1105" s="3" t="s">
        <v>4896</v>
      </c>
      <c r="C1105" s="4" t="s">
        <v>6631</v>
      </c>
      <c r="D1105" s="3" t="s">
        <v>1675</v>
      </c>
      <c r="E1105" s="3"/>
      <c r="F1105" s="3"/>
      <c r="G1105" s="3"/>
      <c r="H1105" s="3"/>
      <c r="I1105" s="3"/>
      <c r="J1105" s="3" t="s">
        <v>4897</v>
      </c>
      <c r="K1105" s="3"/>
      <c r="L1105" s="3" t="s">
        <v>4898</v>
      </c>
      <c r="M1105" s="3" t="str">
        <f>HYPERLINK("https://ceds.ed.gov/cedselementdetails.aspx?termid=5523")</f>
        <v>https://ceds.ed.gov/cedselementdetails.aspx?termid=5523</v>
      </c>
      <c r="N1105" s="3" t="str">
        <f>HYPERLINK("https://ceds.ed.gov/elementComment.aspx?elementName=Public School Residence Status &amp;elementID=5523", "Click here to submit comment")</f>
        <v>Click here to submit comment</v>
      </c>
    </row>
    <row r="1106" spans="1:14" ht="90">
      <c r="A1106" s="3" t="s">
        <v>4899</v>
      </c>
      <c r="B1106" s="3" t="s">
        <v>4900</v>
      </c>
      <c r="C1106" s="4" t="s">
        <v>6632</v>
      </c>
      <c r="D1106" s="3" t="s">
        <v>4166</v>
      </c>
      <c r="E1106" s="3"/>
      <c r="F1106" s="3" t="s">
        <v>54</v>
      </c>
      <c r="G1106" s="3"/>
      <c r="H1106" s="3"/>
      <c r="I1106" s="3"/>
      <c r="J1106" s="3" t="s">
        <v>4901</v>
      </c>
      <c r="K1106" s="3"/>
      <c r="L1106" s="3" t="s">
        <v>4902</v>
      </c>
      <c r="M1106" s="3" t="str">
        <f>HYPERLINK("https://ceds.ed.gov/cedselementdetails.aspx?termid=6299")</f>
        <v>https://ceds.ed.gov/cedselementdetails.aspx?termid=6299</v>
      </c>
      <c r="N1106" s="3" t="str">
        <f>HYPERLINK("https://ceds.ed.gov/elementComment.aspx?elementName=Purpose of Monitoring Visit &amp;elementID=6299", "Click here to submit comment")</f>
        <v>Click here to submit comment</v>
      </c>
    </row>
    <row r="1107" spans="1:14" ht="30">
      <c r="A1107" s="3" t="s">
        <v>4903</v>
      </c>
      <c r="B1107" s="3" t="s">
        <v>4904</v>
      </c>
      <c r="C1107" s="3" t="s">
        <v>13</v>
      </c>
      <c r="D1107" s="3" t="s">
        <v>1479</v>
      </c>
      <c r="E1107" s="3" t="s">
        <v>1480</v>
      </c>
      <c r="F1107" s="3"/>
      <c r="G1107" s="3" t="s">
        <v>100</v>
      </c>
      <c r="H1107" s="3"/>
      <c r="I1107" s="3"/>
      <c r="J1107" s="3" t="s">
        <v>4905</v>
      </c>
      <c r="K1107" s="3"/>
      <c r="L1107" s="3" t="s">
        <v>4906</v>
      </c>
      <c r="M1107" s="3" t="str">
        <f>HYPERLINK("https://ceds.ed.gov/cedselementdetails.aspx?termid=5423")</f>
        <v>https://ceds.ed.gov/cedselementdetails.aspx?termid=5423</v>
      </c>
      <c r="N1107" s="3" t="str">
        <f>HYPERLINK("https://ceds.ed.gov/elementComment.aspx?elementName=Qualifying Move From City &amp;elementID=5423", "Click here to submit comment")</f>
        <v>Click here to submit comment</v>
      </c>
    </row>
    <row r="1108" spans="1:14" ht="409.5">
      <c r="A1108" s="3" t="s">
        <v>4907</v>
      </c>
      <c r="B1108" s="3" t="s">
        <v>4908</v>
      </c>
      <c r="C1108" s="4" t="s">
        <v>6433</v>
      </c>
      <c r="D1108" s="3" t="s">
        <v>1479</v>
      </c>
      <c r="E1108" s="3" t="s">
        <v>1480</v>
      </c>
      <c r="F1108" s="3"/>
      <c r="G1108" s="3"/>
      <c r="H1108" s="3"/>
      <c r="I1108" s="3"/>
      <c r="J1108" s="3" t="s">
        <v>4909</v>
      </c>
      <c r="K1108" s="3"/>
      <c r="L1108" s="3" t="s">
        <v>4910</v>
      </c>
      <c r="M1108" s="3" t="str">
        <f>HYPERLINK("https://ceds.ed.gov/cedselementdetails.aspx?termid=5424")</f>
        <v>https://ceds.ed.gov/cedselementdetails.aspx?termid=5424</v>
      </c>
      <c r="N1108" s="3" t="str">
        <f>HYPERLINK("https://ceds.ed.gov/elementComment.aspx?elementName=Qualifying Move From Country &amp;elementID=5424", "Click here to submit comment")</f>
        <v>Click here to submit comment</v>
      </c>
    </row>
    <row r="1109" spans="1:14" ht="409.5">
      <c r="A1109" s="3" t="s">
        <v>4911</v>
      </c>
      <c r="B1109" s="3" t="s">
        <v>4912</v>
      </c>
      <c r="C1109" s="4" t="s">
        <v>6633</v>
      </c>
      <c r="D1109" s="3" t="s">
        <v>1479</v>
      </c>
      <c r="E1109" s="3" t="s">
        <v>1480</v>
      </c>
      <c r="F1109" s="3"/>
      <c r="G1109" s="3"/>
      <c r="H1109" s="3"/>
      <c r="I1109" s="3"/>
      <c r="J1109" s="3" t="s">
        <v>4913</v>
      </c>
      <c r="K1109" s="3"/>
      <c r="L1109" s="3" t="s">
        <v>4914</v>
      </c>
      <c r="M1109" s="3" t="str">
        <f>HYPERLINK("https://ceds.ed.gov/cedselementdetails.aspx?termid=5425")</f>
        <v>https://ceds.ed.gov/cedselementdetails.aspx?termid=5425</v>
      </c>
      <c r="N1109" s="3" t="str">
        <f>HYPERLINK("https://ceds.ed.gov/elementComment.aspx?elementName=Qualifying Move From State &amp;elementID=5425", "Click here to submit comment")</f>
        <v>Click here to submit comment</v>
      </c>
    </row>
    <row r="1110" spans="1:14" ht="30">
      <c r="A1110" s="3" t="s">
        <v>4915</v>
      </c>
      <c r="B1110" s="3" t="s">
        <v>4916</v>
      </c>
      <c r="C1110" s="3" t="s">
        <v>13</v>
      </c>
      <c r="D1110" s="3" t="s">
        <v>4917</v>
      </c>
      <c r="E1110" s="3"/>
      <c r="F1110" s="3" t="s">
        <v>54</v>
      </c>
      <c r="G1110" s="3" t="s">
        <v>100</v>
      </c>
      <c r="H1110" s="3"/>
      <c r="I1110" s="3"/>
      <c r="J1110" s="3" t="s">
        <v>4918</v>
      </c>
      <c r="K1110" s="3"/>
      <c r="L1110" s="3" t="s">
        <v>4919</v>
      </c>
      <c r="M1110" s="3" t="str">
        <f>HYPERLINK("https://ceds.ed.gov/cedselementdetails.aspx?termid=6432")</f>
        <v>https://ceds.ed.gov/cedselementdetails.aspx?termid=6432</v>
      </c>
      <c r="N1110" s="3" t="str">
        <f>HYPERLINK("https://ceds.ed.gov/elementComment.aspx?elementName=Quality Initiative Maximum Score &amp;elementID=6432", "Click here to submit comment")</f>
        <v>Click here to submit comment</v>
      </c>
    </row>
    <row r="1111" spans="1:14" ht="30">
      <c r="A1111" s="3" t="s">
        <v>4920</v>
      </c>
      <c r="B1111" s="3" t="s">
        <v>4921</v>
      </c>
      <c r="C1111" s="3" t="s">
        <v>13</v>
      </c>
      <c r="D1111" s="3" t="s">
        <v>4917</v>
      </c>
      <c r="E1111" s="3"/>
      <c r="F1111" s="3" t="s">
        <v>54</v>
      </c>
      <c r="G1111" s="3" t="s">
        <v>100</v>
      </c>
      <c r="H1111" s="3"/>
      <c r="I1111" s="3"/>
      <c r="J1111" s="3" t="s">
        <v>4922</v>
      </c>
      <c r="K1111" s="3"/>
      <c r="L1111" s="3" t="s">
        <v>4923</v>
      </c>
      <c r="M1111" s="3" t="str">
        <f>HYPERLINK("https://ceds.ed.gov/cedselementdetails.aspx?termid=6433")</f>
        <v>https://ceds.ed.gov/cedselementdetails.aspx?termid=6433</v>
      </c>
      <c r="N1111" s="3" t="str">
        <f>HYPERLINK("https://ceds.ed.gov/elementComment.aspx?elementName=Quality Initiative Minimum Score &amp;elementID=6433", "Click here to submit comment")</f>
        <v>Click here to submit comment</v>
      </c>
    </row>
    <row r="1112" spans="1:14" ht="30">
      <c r="A1112" s="3" t="s">
        <v>4924</v>
      </c>
      <c r="B1112" s="3" t="s">
        <v>4925</v>
      </c>
      <c r="C1112" s="3" t="s">
        <v>13</v>
      </c>
      <c r="D1112" s="3" t="s">
        <v>4917</v>
      </c>
      <c r="E1112" s="3"/>
      <c r="F1112" s="3" t="s">
        <v>54</v>
      </c>
      <c r="G1112" s="3" t="s">
        <v>73</v>
      </c>
      <c r="H1112" s="3"/>
      <c r="I1112" s="3"/>
      <c r="J1112" s="3" t="s">
        <v>4926</v>
      </c>
      <c r="K1112" s="3"/>
      <c r="L1112" s="3" t="s">
        <v>4927</v>
      </c>
      <c r="M1112" s="3" t="str">
        <f>HYPERLINK("https://ceds.ed.gov/cedselementdetails.aspx?termid=6436")</f>
        <v>https://ceds.ed.gov/cedselementdetails.aspx?termid=6436</v>
      </c>
      <c r="N1112" s="3" t="str">
        <f>HYPERLINK("https://ceds.ed.gov/elementComment.aspx?elementName=Quality Initiative Participation End Date &amp;elementID=6436", "Click here to submit comment")</f>
        <v>Click here to submit comment</v>
      </c>
    </row>
    <row r="1113" spans="1:14" ht="45">
      <c r="A1113" s="3" t="s">
        <v>4928</v>
      </c>
      <c r="B1113" s="3" t="s">
        <v>4929</v>
      </c>
      <c r="C1113" s="3" t="s">
        <v>5963</v>
      </c>
      <c r="D1113" s="3" t="s">
        <v>4917</v>
      </c>
      <c r="E1113" s="3"/>
      <c r="F1113" s="3" t="s">
        <v>54</v>
      </c>
      <c r="G1113" s="3"/>
      <c r="H1113" s="3"/>
      <c r="I1113" s="3"/>
      <c r="J1113" s="3" t="s">
        <v>4930</v>
      </c>
      <c r="K1113" s="3"/>
      <c r="L1113" s="3" t="s">
        <v>4931</v>
      </c>
      <c r="M1113" s="3" t="str">
        <f>HYPERLINK("https://ceds.ed.gov/cedselementdetails.aspx?termid=6435")</f>
        <v>https://ceds.ed.gov/cedselementdetails.aspx?termid=6435</v>
      </c>
      <c r="N1113" s="3" t="str">
        <f>HYPERLINK("https://ceds.ed.gov/elementComment.aspx?elementName=Quality Initiative Participation Indicator &amp;elementID=6435", "Click here to submit comment")</f>
        <v>Click here to submit comment</v>
      </c>
    </row>
    <row r="1114" spans="1:14" ht="30">
      <c r="A1114" s="3" t="s">
        <v>4932</v>
      </c>
      <c r="B1114" s="3" t="s">
        <v>4933</v>
      </c>
      <c r="C1114" s="3" t="s">
        <v>13</v>
      </c>
      <c r="D1114" s="3" t="s">
        <v>4917</v>
      </c>
      <c r="E1114" s="3"/>
      <c r="F1114" s="3" t="s">
        <v>54</v>
      </c>
      <c r="G1114" s="3" t="s">
        <v>73</v>
      </c>
      <c r="H1114" s="3"/>
      <c r="I1114" s="3"/>
      <c r="J1114" s="3" t="s">
        <v>4934</v>
      </c>
      <c r="K1114" s="3"/>
      <c r="L1114" s="3" t="s">
        <v>4935</v>
      </c>
      <c r="M1114" s="3" t="str">
        <f>HYPERLINK("https://ceds.ed.gov/cedselementdetails.aspx?termid=6437")</f>
        <v>https://ceds.ed.gov/cedselementdetails.aspx?termid=6437</v>
      </c>
      <c r="N1114" s="3" t="str">
        <f>HYPERLINK("https://ceds.ed.gov/elementComment.aspx?elementName=Quality Initiative Participation Start Date &amp;elementID=6437", "Click here to submit comment")</f>
        <v>Click here to submit comment</v>
      </c>
    </row>
    <row r="1115" spans="1:14" ht="60">
      <c r="A1115" s="3" t="s">
        <v>4936</v>
      </c>
      <c r="B1115" s="3" t="s">
        <v>4937</v>
      </c>
      <c r="C1115" s="3" t="s">
        <v>13</v>
      </c>
      <c r="D1115" s="3" t="s">
        <v>4917</v>
      </c>
      <c r="E1115" s="3"/>
      <c r="F1115" s="3" t="s">
        <v>54</v>
      </c>
      <c r="G1115" s="3" t="s">
        <v>100</v>
      </c>
      <c r="H1115" s="3"/>
      <c r="I1115" s="3"/>
      <c r="J1115" s="3" t="s">
        <v>4938</v>
      </c>
      <c r="K1115" s="3"/>
      <c r="L1115" s="3" t="s">
        <v>4939</v>
      </c>
      <c r="M1115" s="3" t="str">
        <f>HYPERLINK("https://ceds.ed.gov/cedselementdetails.aspx?termid=6434")</f>
        <v>https://ceds.ed.gov/cedselementdetails.aspx?termid=6434</v>
      </c>
      <c r="N1115" s="3" t="str">
        <f>HYPERLINK("https://ceds.ed.gov/elementComment.aspx?elementName=Quality Initiative Score Level &amp;elementID=6434", "Click here to submit comment")</f>
        <v>Click here to submit comment</v>
      </c>
    </row>
    <row r="1116" spans="1:14" ht="45">
      <c r="A1116" s="3" t="s">
        <v>4940</v>
      </c>
      <c r="B1116" s="3" t="s">
        <v>4941</v>
      </c>
      <c r="C1116" s="3" t="s">
        <v>13</v>
      </c>
      <c r="D1116" s="3" t="s">
        <v>4304</v>
      </c>
      <c r="E1116" s="3" t="s">
        <v>65</v>
      </c>
      <c r="F1116" s="3"/>
      <c r="G1116" s="3" t="s">
        <v>73</v>
      </c>
      <c r="H1116" s="3"/>
      <c r="I1116" s="3"/>
      <c r="J1116" s="3" t="s">
        <v>4942</v>
      </c>
      <c r="K1116" s="3" t="s">
        <v>4943</v>
      </c>
      <c r="L1116" s="3" t="s">
        <v>4944</v>
      </c>
      <c r="M1116" s="3" t="str">
        <f>HYPERLINK("https://ceds.ed.gov/cedselementdetails.aspx?termid=5830")</f>
        <v>https://ceds.ed.gov/cedselementdetails.aspx?termid=5830</v>
      </c>
      <c r="N1116" s="3" t="str">
        <f>HYPERLINK("https://ceds.ed.gov/elementComment.aspx?elementName=Quality Rating and Improvement System Award Date &amp;elementID=5830", "Click here to submit comment")</f>
        <v>Click here to submit comment</v>
      </c>
    </row>
    <row r="1117" spans="1:14" ht="30">
      <c r="A1117" s="3" t="s">
        <v>4945</v>
      </c>
      <c r="B1117" s="3" t="s">
        <v>4946</v>
      </c>
      <c r="C1117" s="3" t="s">
        <v>13</v>
      </c>
      <c r="D1117" s="3" t="s">
        <v>4304</v>
      </c>
      <c r="E1117" s="3" t="s">
        <v>65</v>
      </c>
      <c r="F1117" s="3"/>
      <c r="G1117" s="3" t="s">
        <v>73</v>
      </c>
      <c r="H1117" s="3"/>
      <c r="I1117" s="3"/>
      <c r="J1117" s="3" t="s">
        <v>4947</v>
      </c>
      <c r="K1117" s="3" t="s">
        <v>4948</v>
      </c>
      <c r="L1117" s="3" t="s">
        <v>4949</v>
      </c>
      <c r="M1117" s="3" t="str">
        <f>HYPERLINK("https://ceds.ed.gov/cedselementdetails.aspx?termid=5831")</f>
        <v>https://ceds.ed.gov/cedselementdetails.aspx?termid=5831</v>
      </c>
      <c r="N1117" s="3" t="str">
        <f>HYPERLINK("https://ceds.ed.gov/elementComment.aspx?elementName=Quality Rating and Improvement System Expiration Date &amp;elementID=5831", "Click here to submit comment")</f>
        <v>Click here to submit comment</v>
      </c>
    </row>
    <row r="1118" spans="1:14" ht="105">
      <c r="A1118" s="3" t="s">
        <v>4950</v>
      </c>
      <c r="B1118" s="3" t="s">
        <v>4951</v>
      </c>
      <c r="C1118" s="4" t="s">
        <v>6634</v>
      </c>
      <c r="D1118" s="3" t="s">
        <v>4304</v>
      </c>
      <c r="E1118" s="3" t="s">
        <v>4952</v>
      </c>
      <c r="F1118" s="3"/>
      <c r="G1118" s="3"/>
      <c r="H1118" s="3"/>
      <c r="I1118" s="3"/>
      <c r="J1118" s="3" t="s">
        <v>4953</v>
      </c>
      <c r="K1118" s="3" t="s">
        <v>4954</v>
      </c>
      <c r="L1118" s="3" t="s">
        <v>4955</v>
      </c>
      <c r="M1118" s="3" t="str">
        <f>HYPERLINK("https://ceds.ed.gov/cedselementdetails.aspx?termid=5356")</f>
        <v>https://ceds.ed.gov/cedselementdetails.aspx?termid=5356</v>
      </c>
      <c r="N1118" s="3" t="str">
        <f>HYPERLINK("https://ceds.ed.gov/elementComment.aspx?elementName=Quality Rating and Improvement System Participation &amp;elementID=5356", "Click here to submit comment")</f>
        <v>Click here to submit comment</v>
      </c>
    </row>
    <row r="1119" spans="1:14" ht="45">
      <c r="A1119" s="3" t="s">
        <v>4956</v>
      </c>
      <c r="B1119" s="3" t="s">
        <v>4957</v>
      </c>
      <c r="C1119" s="3" t="s">
        <v>13</v>
      </c>
      <c r="D1119" s="3" t="s">
        <v>4304</v>
      </c>
      <c r="E1119" s="3" t="s">
        <v>4952</v>
      </c>
      <c r="F1119" s="3"/>
      <c r="G1119" s="3" t="s">
        <v>1249</v>
      </c>
      <c r="H1119" s="3"/>
      <c r="I1119" s="3"/>
      <c r="J1119" s="3" t="s">
        <v>4958</v>
      </c>
      <c r="K1119" s="3" t="s">
        <v>4959</v>
      </c>
      <c r="L1119" s="3" t="s">
        <v>4960</v>
      </c>
      <c r="M1119" s="3" t="str">
        <f>HYPERLINK("https://ceds.ed.gov/cedselementdetails.aspx?termid=5357")</f>
        <v>https://ceds.ed.gov/cedselementdetails.aspx?termid=5357</v>
      </c>
      <c r="N1119" s="3" t="str">
        <f>HYPERLINK("https://ceds.ed.gov/elementComment.aspx?elementName=Quality Rating and Improvement System Score &amp;elementID=5357", "Click here to submit comment")</f>
        <v>Click here to submit comment</v>
      </c>
    </row>
    <row r="1120" spans="1:14" ht="210">
      <c r="A1120" s="3" t="s">
        <v>4961</v>
      </c>
      <c r="B1120" s="3" t="s">
        <v>4962</v>
      </c>
      <c r="C1120" s="3" t="s">
        <v>13</v>
      </c>
      <c r="D1120" s="3" t="s">
        <v>2483</v>
      </c>
      <c r="E1120" s="3"/>
      <c r="F1120" s="3" t="s">
        <v>66</v>
      </c>
      <c r="G1120" s="3" t="s">
        <v>3496</v>
      </c>
      <c r="H1120" s="3" t="s">
        <v>4963</v>
      </c>
      <c r="I1120" s="3" t="s">
        <v>4964</v>
      </c>
      <c r="J1120" s="3" t="s">
        <v>4965</v>
      </c>
      <c r="K1120" s="3"/>
      <c r="L1120" s="3" t="s">
        <v>4966</v>
      </c>
      <c r="M1120" s="3" t="str">
        <f>HYPERLINK("https://ceds.ed.gov/cedselementdetails.aspx?termid=5991")</f>
        <v>https://ceds.ed.gov/cedselementdetails.aspx?termid=5991</v>
      </c>
      <c r="N1120" s="3" t="str">
        <f>HYPERLINK("https://ceds.ed.gov/elementComment.aspx?elementName=Quarterly Earnings &amp;elementID=5991", "Click here to submit comment")</f>
        <v>Click here to submit comment</v>
      </c>
    </row>
    <row r="1121" spans="1:14" ht="30">
      <c r="A1121" s="3" t="s">
        <v>4967</v>
      </c>
      <c r="B1121" s="3" t="s">
        <v>4968</v>
      </c>
      <c r="C1121" s="3" t="s">
        <v>13</v>
      </c>
      <c r="D1121" s="3" t="s">
        <v>3037</v>
      </c>
      <c r="E1121" s="3"/>
      <c r="F1121" s="3" t="s">
        <v>54</v>
      </c>
      <c r="G1121" s="3" t="s">
        <v>319</v>
      </c>
      <c r="H1121" s="3"/>
      <c r="I1121" s="3"/>
      <c r="J1121" s="3" t="s">
        <v>4969</v>
      </c>
      <c r="K1121" s="3"/>
      <c r="L1121" s="3" t="s">
        <v>4970</v>
      </c>
      <c r="M1121" s="3" t="str">
        <f>HYPERLINK("https://ceds.ed.gov/cedselementdetails.aspx?termid=6460")</f>
        <v>https://ceds.ed.gov/cedselementdetails.aspx?termid=6460</v>
      </c>
      <c r="N1121" s="3" t="str">
        <f>HYPERLINK("https://ceds.ed.gov/elementComment.aspx?elementName=Reason for Declined Services &amp;elementID=6460", "Click here to submit comment")</f>
        <v>Click here to submit comment</v>
      </c>
    </row>
    <row r="1122" spans="1:14" ht="90">
      <c r="A1122" s="3" t="s">
        <v>4971</v>
      </c>
      <c r="B1122" s="3" t="s">
        <v>4972</v>
      </c>
      <c r="C1122" s="4" t="s">
        <v>6635</v>
      </c>
      <c r="D1122" s="3" t="s">
        <v>3037</v>
      </c>
      <c r="E1122" s="3"/>
      <c r="F1122" s="3" t="s">
        <v>54</v>
      </c>
      <c r="G1122" s="3"/>
      <c r="H1122" s="3"/>
      <c r="I1122" s="3"/>
      <c r="J1122" s="3" t="s">
        <v>4973</v>
      </c>
      <c r="K1122" s="3"/>
      <c r="L1122" s="3" t="s">
        <v>4974</v>
      </c>
      <c r="M1122" s="3" t="str">
        <f>HYPERLINK("https://ceds.ed.gov/cedselementdetails.aspx?termid=6494")</f>
        <v>https://ceds.ed.gov/cedselementdetails.aspx?termid=6494</v>
      </c>
      <c r="N1122" s="3" t="str">
        <f>HYPERLINK("https://ceds.ed.gov/elementComment.aspx?elementName=Reason for Delay of Transition Conference &amp;elementID=6494", "Click here to submit comment")</f>
        <v>Click here to submit comment</v>
      </c>
    </row>
    <row r="1123" spans="1:14" ht="135">
      <c r="A1123" s="3" t="s">
        <v>4975</v>
      </c>
      <c r="B1123" s="3" t="s">
        <v>4976</v>
      </c>
      <c r="C1123" s="4" t="s">
        <v>6636</v>
      </c>
      <c r="D1123" s="3" t="s">
        <v>6049</v>
      </c>
      <c r="E1123" s="3"/>
      <c r="F1123" s="3"/>
      <c r="G1123" s="3"/>
      <c r="H1123" s="3"/>
      <c r="I1123" s="3"/>
      <c r="J1123" s="3" t="s">
        <v>4977</v>
      </c>
      <c r="K1123" s="3"/>
      <c r="L1123" s="3" t="s">
        <v>4978</v>
      </c>
      <c r="M1123" s="3" t="str">
        <f>HYPERLINK("https://ceds.ed.gov/cedselementdetails.aspx?termid=5228")</f>
        <v>https://ceds.ed.gov/cedselementdetails.aspx?termid=5228</v>
      </c>
      <c r="N1123" s="3" t="str">
        <f>HYPERLINK("https://ceds.ed.gov/elementComment.aspx?elementName=Reason Not Tested &amp;elementID=5228", "Click here to submit comment")</f>
        <v>Click here to submit comment</v>
      </c>
    </row>
    <row r="1124" spans="1:14" ht="180">
      <c r="A1124" s="3" t="s">
        <v>4979</v>
      </c>
      <c r="B1124" s="3" t="s">
        <v>4980</v>
      </c>
      <c r="C1124" s="4" t="s">
        <v>6637</v>
      </c>
      <c r="D1124" s="3" t="s">
        <v>6302</v>
      </c>
      <c r="E1124" s="3"/>
      <c r="F1124" s="3"/>
      <c r="G1124" s="3"/>
      <c r="H1124" s="3"/>
      <c r="I1124" s="3"/>
      <c r="J1124" s="3" t="s">
        <v>4981</v>
      </c>
      <c r="K1124" s="3"/>
      <c r="L1124" s="3" t="s">
        <v>4982</v>
      </c>
      <c r="M1124" s="3" t="str">
        <f>HYPERLINK("https://ceds.ed.gov/cedselementdetails.aspx?termid=5515")</f>
        <v>https://ceds.ed.gov/cedselementdetails.aspx?termid=5515</v>
      </c>
      <c r="N1124" s="3" t="str">
        <f>HYPERLINK("https://ceds.ed.gov/elementComment.aspx?elementName=Receiving Location of Instruction &amp;elementID=5515", "Click here to submit comment")</f>
        <v>Click here to submit comment</v>
      </c>
    </row>
    <row r="1125" spans="1:14" ht="210">
      <c r="A1125" s="3" t="s">
        <v>4983</v>
      </c>
      <c r="B1125" s="3" t="s">
        <v>4984</v>
      </c>
      <c r="C1125" s="4" t="s">
        <v>6638</v>
      </c>
      <c r="D1125" s="3" t="s">
        <v>30</v>
      </c>
      <c r="E1125" s="3" t="s">
        <v>5968</v>
      </c>
      <c r="F1125" s="3"/>
      <c r="G1125" s="3"/>
      <c r="H1125" s="3"/>
      <c r="I1125" s="3"/>
      <c r="J1125" s="3" t="s">
        <v>4985</v>
      </c>
      <c r="K1125" s="3"/>
      <c r="L1125" s="3" t="s">
        <v>4986</v>
      </c>
      <c r="M1125" s="3" t="str">
        <f>HYPERLINK("https://ceds.ed.gov/cedselementdetails.aspx?termid=5229")</f>
        <v>https://ceds.ed.gov/cedselementdetails.aspx?termid=5229</v>
      </c>
      <c r="N1125" s="3" t="str">
        <f>HYPERLINK("https://ceds.ed.gov/elementComment.aspx?elementName=Recognition for Participation or Performance in an Activity &amp;elementID=5229", "Click here to submit comment")</f>
        <v>Click here to submit comment</v>
      </c>
    </row>
    <row r="1126" spans="1:14" ht="90">
      <c r="A1126" s="3" t="s">
        <v>4987</v>
      </c>
      <c r="B1126" s="3" t="s">
        <v>4988</v>
      </c>
      <c r="C1126" s="4" t="s">
        <v>6639</v>
      </c>
      <c r="D1126" s="3" t="s">
        <v>1806</v>
      </c>
      <c r="E1126" s="3" t="s">
        <v>218</v>
      </c>
      <c r="F1126" s="3" t="s">
        <v>66</v>
      </c>
      <c r="G1126" s="3"/>
      <c r="H1126" s="3" t="s">
        <v>4989</v>
      </c>
      <c r="I1126" s="3"/>
      <c r="J1126" s="3" t="s">
        <v>4990</v>
      </c>
      <c r="K1126" s="3"/>
      <c r="L1126" s="3" t="s">
        <v>4991</v>
      </c>
      <c r="M1126" s="3" t="str">
        <f>HYPERLINK("https://ceds.ed.gov/cedselementdetails.aspx?termid=5230")</f>
        <v>https://ceds.ed.gov/cedselementdetails.aspx?termid=5230</v>
      </c>
      <c r="N1126" s="3" t="str">
        <f>HYPERLINK("https://ceds.ed.gov/elementComment.aspx?elementName=Reconstituted Status &amp;elementID=5230", "Click here to submit comment")</f>
        <v>Click here to submit comment</v>
      </c>
    </row>
    <row r="1127" spans="1:14">
      <c r="A1127" s="3" t="s">
        <v>4992</v>
      </c>
      <c r="B1127" s="3" t="s">
        <v>4993</v>
      </c>
      <c r="C1127" s="3" t="s">
        <v>13</v>
      </c>
      <c r="D1127" s="3" t="s">
        <v>4994</v>
      </c>
      <c r="E1127" s="3"/>
      <c r="F1127" s="3" t="s">
        <v>54</v>
      </c>
      <c r="G1127" s="3" t="s">
        <v>73</v>
      </c>
      <c r="H1127" s="3"/>
      <c r="I1127" s="3"/>
      <c r="J1127" s="3" t="s">
        <v>4995</v>
      </c>
      <c r="K1127" s="3"/>
      <c r="L1127" s="3" t="s">
        <v>4996</v>
      </c>
      <c r="M1127" s="3" t="str">
        <f>HYPERLINK("https://ceds.ed.gov/cedselementdetails.aspx?termid=6453")</f>
        <v>https://ceds.ed.gov/cedselementdetails.aspx?termid=6453</v>
      </c>
      <c r="N1127" s="3" t="str">
        <f>HYPERLINK("https://ceds.ed.gov/elementComment.aspx?elementName=Referral Date &amp;elementID=6453", "Click here to submit comment")</f>
        <v>Click here to submit comment</v>
      </c>
    </row>
    <row r="1128" spans="1:14" ht="135">
      <c r="A1128" s="3" t="s">
        <v>4997</v>
      </c>
      <c r="B1128" s="3" t="s">
        <v>4998</v>
      </c>
      <c r="C1128" s="4" t="s">
        <v>6640</v>
      </c>
      <c r="D1128" s="3" t="s">
        <v>4994</v>
      </c>
      <c r="E1128" s="3"/>
      <c r="F1128" s="3" t="s">
        <v>54</v>
      </c>
      <c r="G1128" s="3"/>
      <c r="H1128" s="3"/>
      <c r="I1128" s="3"/>
      <c r="J1128" s="3" t="s">
        <v>4999</v>
      </c>
      <c r="K1128" s="3"/>
      <c r="L1128" s="3" t="s">
        <v>5000</v>
      </c>
      <c r="M1128" s="3" t="str">
        <f>HYPERLINK("https://ceds.ed.gov/cedselementdetails.aspx?termid=6454")</f>
        <v>https://ceds.ed.gov/cedselementdetails.aspx?termid=6454</v>
      </c>
      <c r="N1128" s="3" t="str">
        <f>HYPERLINK("https://ceds.ed.gov/elementComment.aspx?elementName=Referral Outcome &amp;elementID=6454", "Click here to submit comment")</f>
        <v>Click here to submit comment</v>
      </c>
    </row>
    <row r="1129" spans="1:14" ht="45">
      <c r="A1129" s="3" t="s">
        <v>5001</v>
      </c>
      <c r="B1129" s="3" t="s">
        <v>5002</v>
      </c>
      <c r="C1129" s="3" t="s">
        <v>5963</v>
      </c>
      <c r="D1129" s="3" t="s">
        <v>2387</v>
      </c>
      <c r="E1129" s="3" t="s">
        <v>65</v>
      </c>
      <c r="F1129" s="3"/>
      <c r="G1129" s="3"/>
      <c r="H1129" s="3"/>
      <c r="I1129" s="3"/>
      <c r="J1129" s="3" t="s">
        <v>5003</v>
      </c>
      <c r="K1129" s="3"/>
      <c r="L1129" s="3" t="s">
        <v>5004</v>
      </c>
      <c r="M1129" s="3" t="str">
        <f>HYPERLINK("https://ceds.ed.gov/cedselementdetails.aspx?termid=5850")</f>
        <v>https://ceds.ed.gov/cedselementdetails.aspx?termid=5850</v>
      </c>
      <c r="N1129" s="3" t="str">
        <f>HYPERLINK("https://ceds.ed.gov/elementComment.aspx?elementName=Referral Policy &amp;elementID=5850", "Click here to submit comment")</f>
        <v>Click here to submit comment</v>
      </c>
    </row>
    <row r="1130" spans="1:14">
      <c r="A1130" s="3" t="s">
        <v>5005</v>
      </c>
      <c r="B1130" s="3" t="s">
        <v>5006</v>
      </c>
      <c r="C1130" s="3" t="s">
        <v>13</v>
      </c>
      <c r="D1130" s="3" t="s">
        <v>4994</v>
      </c>
      <c r="E1130" s="3"/>
      <c r="F1130" s="3" t="s">
        <v>54</v>
      </c>
      <c r="G1130" s="3" t="s">
        <v>319</v>
      </c>
      <c r="H1130" s="3"/>
      <c r="I1130" s="3"/>
      <c r="J1130" s="3" t="s">
        <v>5007</v>
      </c>
      <c r="K1130" s="3"/>
      <c r="L1130" s="3" t="s">
        <v>5008</v>
      </c>
      <c r="M1130" s="3" t="str">
        <f>HYPERLINK("https://ceds.ed.gov/cedselementdetails.aspx?termid=6455")</f>
        <v>https://ceds.ed.gov/cedselementdetails.aspx?termid=6455</v>
      </c>
      <c r="N1130" s="3" t="str">
        <f>HYPERLINK("https://ceds.ed.gov/elementComment.aspx?elementName=Referral Reason &amp;elementID=6455", "Click here to submit comment")</f>
        <v>Click here to submit comment</v>
      </c>
    </row>
    <row r="1131" spans="1:14" ht="30">
      <c r="A1131" s="3" t="s">
        <v>5009</v>
      </c>
      <c r="B1131" s="3" t="s">
        <v>5010</v>
      </c>
      <c r="C1131" s="3" t="s">
        <v>13</v>
      </c>
      <c r="D1131" s="3" t="s">
        <v>4994</v>
      </c>
      <c r="E1131" s="3"/>
      <c r="F1131" s="3" t="s">
        <v>54</v>
      </c>
      <c r="G1131" s="3" t="s">
        <v>106</v>
      </c>
      <c r="H1131" s="3"/>
      <c r="I1131" s="3"/>
      <c r="J1131" s="3" t="s">
        <v>5011</v>
      </c>
      <c r="K1131" s="3"/>
      <c r="L1131" s="3" t="s">
        <v>5012</v>
      </c>
      <c r="M1131" s="3" t="str">
        <f>HYPERLINK("https://ceds.ed.gov/cedselementdetails.aspx?termid=6456")</f>
        <v>https://ceds.ed.gov/cedselementdetails.aspx?termid=6456</v>
      </c>
      <c r="N1131" s="3" t="str">
        <f>HYPERLINK("https://ceds.ed.gov/elementComment.aspx?elementName=Referral Source &amp;elementID=6456", "Click here to submit comment")</f>
        <v>Click here to submit comment</v>
      </c>
    </row>
    <row r="1132" spans="1:14">
      <c r="A1132" s="3" t="s">
        <v>5013</v>
      </c>
      <c r="B1132" s="3" t="s">
        <v>5014</v>
      </c>
      <c r="C1132" s="3" t="s">
        <v>13</v>
      </c>
      <c r="D1132" s="3" t="s">
        <v>4994</v>
      </c>
      <c r="E1132" s="3"/>
      <c r="F1132" s="3" t="s">
        <v>54</v>
      </c>
      <c r="G1132" s="3" t="s">
        <v>106</v>
      </c>
      <c r="H1132" s="3"/>
      <c r="I1132" s="3"/>
      <c r="J1132" s="3" t="s">
        <v>5015</v>
      </c>
      <c r="K1132" s="3"/>
      <c r="L1132" s="3" t="s">
        <v>5016</v>
      </c>
      <c r="M1132" s="3" t="str">
        <f>HYPERLINK("https://ceds.ed.gov/cedselementdetails.aspx?termid=6457")</f>
        <v>https://ceds.ed.gov/cedselementdetails.aspx?termid=6457</v>
      </c>
      <c r="N1132" s="3" t="str">
        <f>HYPERLINK("https://ceds.ed.gov/elementComment.aspx?elementName=Referral Type &amp;elementID=6457", "Click here to submit comment")</f>
        <v>Click here to submit comment</v>
      </c>
    </row>
    <row r="1133" spans="1:14" ht="30">
      <c r="A1133" s="3" t="s">
        <v>5017</v>
      </c>
      <c r="B1133" s="3" t="s">
        <v>5018</v>
      </c>
      <c r="C1133" s="3" t="s">
        <v>13</v>
      </c>
      <c r="D1133" s="3" t="s">
        <v>4994</v>
      </c>
      <c r="E1133" s="3"/>
      <c r="F1133" s="3" t="s">
        <v>54</v>
      </c>
      <c r="G1133" s="3" t="s">
        <v>106</v>
      </c>
      <c r="H1133" s="3"/>
      <c r="I1133" s="3"/>
      <c r="J1133" s="3" t="s">
        <v>5019</v>
      </c>
      <c r="K1133" s="3"/>
      <c r="L1133" s="3" t="s">
        <v>5020</v>
      </c>
      <c r="M1133" s="3" t="str">
        <f>HYPERLINK("https://ceds.ed.gov/cedselementdetails.aspx?termid=6458")</f>
        <v>https://ceds.ed.gov/cedselementdetails.aspx?termid=6458</v>
      </c>
      <c r="N1133" s="3" t="str">
        <f>HYPERLINK("https://ceds.ed.gov/elementComment.aspx?elementName=Referred To &amp;elementID=6458", "Click here to submit comment")</f>
        <v>Click here to submit comment</v>
      </c>
    </row>
    <row r="1134" spans="1:14" ht="45">
      <c r="A1134" s="3" t="s">
        <v>5021</v>
      </c>
      <c r="B1134" s="3" t="s">
        <v>5022</v>
      </c>
      <c r="C1134" s="3" t="s">
        <v>13</v>
      </c>
      <c r="D1134" s="3" t="s">
        <v>6303</v>
      </c>
      <c r="E1134" s="3"/>
      <c r="F1134" s="3"/>
      <c r="G1134" s="3" t="s">
        <v>106</v>
      </c>
      <c r="H1134" s="3"/>
      <c r="I1134" s="3"/>
      <c r="J1134" s="3" t="s">
        <v>5023</v>
      </c>
      <c r="K1134" s="3"/>
      <c r="L1134" s="3" t="s">
        <v>5024</v>
      </c>
      <c r="M1134" s="3" t="str">
        <f>HYPERLINK("https://ceds.ed.gov/cedselementdetails.aspx?termid=5231")</f>
        <v>https://ceds.ed.gov/cedselementdetails.aspx?termid=5231</v>
      </c>
      <c r="N1134" s="3" t="str">
        <f>HYPERLINK("https://ceds.ed.gov/elementComment.aspx?elementName=Related Learning Standards &amp;elementID=5231", "Click here to submit comment")</f>
        <v>Click here to submit comment</v>
      </c>
    </row>
    <row r="1135" spans="1:14" ht="75">
      <c r="A1135" s="3" t="s">
        <v>5025</v>
      </c>
      <c r="B1135" s="3" t="s">
        <v>5026</v>
      </c>
      <c r="C1135" s="3" t="s">
        <v>5963</v>
      </c>
      <c r="D1135" s="3" t="s">
        <v>6138</v>
      </c>
      <c r="E1135" s="3"/>
      <c r="F1135" s="3"/>
      <c r="G1135" s="3"/>
      <c r="H1135" s="3"/>
      <c r="I1135" s="3"/>
      <c r="J1135" s="3" t="s">
        <v>5027</v>
      </c>
      <c r="K1135" s="3"/>
      <c r="L1135" s="3" t="s">
        <v>5028</v>
      </c>
      <c r="M1135" s="3" t="str">
        <f>HYPERLINK("https://ceds.ed.gov/cedselementdetails.aspx?termid=5503")</f>
        <v>https://ceds.ed.gov/cedselementdetails.aspx?termid=5503</v>
      </c>
      <c r="N1135" s="3" t="str">
        <f>HYPERLINK("https://ceds.ed.gov/elementComment.aspx?elementName=Related to Zero Tolerance Policy &amp;elementID=5503", "Click here to submit comment")</f>
        <v>Click here to submit comment</v>
      </c>
    </row>
    <row r="1136" spans="1:14" ht="75">
      <c r="A1136" s="3" t="s">
        <v>5029</v>
      </c>
      <c r="B1136" s="3" t="s">
        <v>5030</v>
      </c>
      <c r="C1136" s="3" t="s">
        <v>13</v>
      </c>
      <c r="D1136" s="3" t="s">
        <v>2760</v>
      </c>
      <c r="E1136" s="3"/>
      <c r="F1136" s="3"/>
      <c r="G1136" s="3" t="s">
        <v>149</v>
      </c>
      <c r="H1136" s="3"/>
      <c r="I1136" s="3"/>
      <c r="J1136" s="3" t="s">
        <v>5031</v>
      </c>
      <c r="K1136" s="3"/>
      <c r="L1136" s="3" t="s">
        <v>5032</v>
      </c>
      <c r="M1136" s="3" t="str">
        <f>HYPERLINK("https://ceds.ed.gov/cedselementdetails.aspx?termid=5498")</f>
        <v>https://ceds.ed.gov/cedselementdetails.aspx?termid=5498</v>
      </c>
      <c r="N1136" s="3" t="str">
        <f>HYPERLINK("https://ceds.ed.gov/elementComment.aspx?elementName=Reporter Identifier &amp;elementID=5498", "Click here to submit comment")</f>
        <v>Click here to submit comment</v>
      </c>
    </row>
    <row r="1137" spans="1:14" ht="345">
      <c r="A1137" s="3" t="s">
        <v>5033</v>
      </c>
      <c r="B1137" s="3" t="s">
        <v>5034</v>
      </c>
      <c r="C1137" s="4" t="s">
        <v>6540</v>
      </c>
      <c r="D1137" s="3" t="s">
        <v>2387</v>
      </c>
      <c r="E1137" s="3" t="s">
        <v>2158</v>
      </c>
      <c r="F1137" s="3"/>
      <c r="G1137" s="3"/>
      <c r="H1137" s="3"/>
      <c r="I1137" s="3"/>
      <c r="J1137" s="3" t="s">
        <v>5035</v>
      </c>
      <c r="K1137" s="3"/>
      <c r="L1137" s="3" t="s">
        <v>5036</v>
      </c>
      <c r="M1137" s="3" t="str">
        <f>HYPERLINK("https://ceds.ed.gov/cedselementdetails.aspx?termid=5307")</f>
        <v>https://ceds.ed.gov/cedselementdetails.aspx?termid=5307</v>
      </c>
      <c r="N1137" s="3" t="str">
        <f>HYPERLINK("https://ceds.ed.gov/elementComment.aspx?elementName=Required Immunization &amp;elementID=5307", "Click here to submit comment")</f>
        <v>Click here to submit comment</v>
      </c>
    </row>
    <row r="1138" spans="1:14" ht="75">
      <c r="A1138" s="3" t="s">
        <v>5037</v>
      </c>
      <c r="B1138" s="3" t="s">
        <v>5038</v>
      </c>
      <c r="C1138" s="3" t="s">
        <v>13</v>
      </c>
      <c r="D1138" s="3" t="s">
        <v>1494</v>
      </c>
      <c r="E1138" s="3" t="s">
        <v>1495</v>
      </c>
      <c r="F1138" s="3"/>
      <c r="G1138" s="3" t="s">
        <v>1461</v>
      </c>
      <c r="H1138" s="3"/>
      <c r="I1138" s="3" t="s">
        <v>358</v>
      </c>
      <c r="J1138" s="3" t="s">
        <v>5039</v>
      </c>
      <c r="K1138" s="3"/>
      <c r="L1138" s="3" t="s">
        <v>5040</v>
      </c>
      <c r="M1138" s="3" t="str">
        <f>HYPERLINK("https://ceds.ed.gov/cedselementdetails.aspx?termid=5726")</f>
        <v>https://ceds.ed.gov/cedselementdetails.aspx?termid=5726</v>
      </c>
      <c r="N1138" s="3" t="str">
        <f>HYPERLINK("https://ceds.ed.gov/elementComment.aspx?elementName=Required Student Fees &amp;elementID=5726", "Click here to submit comment")</f>
        <v>Click here to submit comment</v>
      </c>
    </row>
    <row r="1139" spans="1:14" ht="45">
      <c r="A1139" s="3" t="s">
        <v>5041</v>
      </c>
      <c r="B1139" s="3" t="s">
        <v>5042</v>
      </c>
      <c r="C1139" s="3" t="s">
        <v>13</v>
      </c>
      <c r="D1139" s="3" t="s">
        <v>1542</v>
      </c>
      <c r="E1139" s="3" t="s">
        <v>202</v>
      </c>
      <c r="F1139" s="3"/>
      <c r="G1139" s="3" t="s">
        <v>389</v>
      </c>
      <c r="H1139" s="3"/>
      <c r="I1139" s="3"/>
      <c r="J1139" s="3" t="s">
        <v>5043</v>
      </c>
      <c r="K1139" s="3"/>
      <c r="L1139" s="3" t="s">
        <v>5044</v>
      </c>
      <c r="M1139" s="3" t="str">
        <f>HYPERLINK("https://ceds.ed.gov/cedselementdetails.aspx?termid=5803")</f>
        <v>https://ceds.ed.gov/cedselementdetails.aspx?termid=5803</v>
      </c>
      <c r="N1139" s="3" t="str">
        <f>HYPERLINK("https://ceds.ed.gov/elementComment.aspx?elementName=Required Training Clock Hours &amp;elementID=5803", "Click here to submit comment")</f>
        <v>Click here to submit comment</v>
      </c>
    </row>
    <row r="1140" spans="1:14" ht="45">
      <c r="A1140" s="3" t="s">
        <v>5045</v>
      </c>
      <c r="B1140" s="3" t="s">
        <v>5046</v>
      </c>
      <c r="C1140" s="3" t="s">
        <v>13</v>
      </c>
      <c r="D1140" s="3" t="s">
        <v>154</v>
      </c>
      <c r="E1140" s="3" t="s">
        <v>218</v>
      </c>
      <c r="F1140" s="3"/>
      <c r="G1140" s="3" t="s">
        <v>100</v>
      </c>
      <c r="H1140" s="3"/>
      <c r="I1140" s="3"/>
      <c r="J1140" s="3" t="s">
        <v>5047</v>
      </c>
      <c r="K1140" s="3"/>
      <c r="L1140" s="3" t="s">
        <v>5048</v>
      </c>
      <c r="M1140" s="3" t="str">
        <f>HYPERLINK("https://ceds.ed.gov/cedselementdetails.aspx?termid=5639")</f>
        <v>https://ceds.ed.gov/cedselementdetails.aspx?termid=5639</v>
      </c>
      <c r="N1140" s="3" t="str">
        <f>HYPERLINK("https://ceds.ed.gov/elementComment.aspx?elementName=Responsible District Identifier &amp;elementID=5639", "Click here to submit comment")</f>
        <v>Click here to submit comment</v>
      </c>
    </row>
    <row r="1141" spans="1:14" ht="120">
      <c r="A1141" s="3" t="s">
        <v>5049</v>
      </c>
      <c r="B1141" s="3" t="s">
        <v>5050</v>
      </c>
      <c r="C1141" s="4" t="s">
        <v>6641</v>
      </c>
      <c r="D1141" s="3" t="s">
        <v>6304</v>
      </c>
      <c r="E1141" s="3" t="s">
        <v>218</v>
      </c>
      <c r="F1141" s="3" t="s">
        <v>3</v>
      </c>
      <c r="G1141" s="3"/>
      <c r="H1141" s="3"/>
      <c r="I1141" s="3"/>
      <c r="J1141" s="3" t="s">
        <v>5051</v>
      </c>
      <c r="K1141" s="3"/>
      <c r="L1141" s="3" t="s">
        <v>5052</v>
      </c>
      <c r="M1141" s="3" t="str">
        <f>HYPERLINK("https://ceds.ed.gov/cedselementdetails.aspx?termid=5587")</f>
        <v>https://ceds.ed.gov/cedselementdetails.aspx?termid=5587</v>
      </c>
      <c r="N1141" s="3" t="str">
        <f>HYPERLINK("https://ceds.ed.gov/elementComment.aspx?elementName=Responsible District Type &amp;elementID=5587", "Click here to submit comment")</f>
        <v>Click here to submit comment</v>
      </c>
    </row>
    <row r="1142" spans="1:14" ht="75">
      <c r="A1142" s="3" t="s">
        <v>5053</v>
      </c>
      <c r="B1142" s="3" t="s">
        <v>5054</v>
      </c>
      <c r="C1142" s="3" t="s">
        <v>13</v>
      </c>
      <c r="D1142" s="3" t="s">
        <v>5055</v>
      </c>
      <c r="E1142" s="3"/>
      <c r="F1142" s="3" t="s">
        <v>54</v>
      </c>
      <c r="G1142" s="3" t="s">
        <v>100</v>
      </c>
      <c r="H1142" s="3"/>
      <c r="I1142" s="3" t="s">
        <v>5056</v>
      </c>
      <c r="J1142" s="3" t="s">
        <v>5057</v>
      </c>
      <c r="K1142" s="3"/>
      <c r="L1142" s="3" t="s">
        <v>5058</v>
      </c>
      <c r="M1142" s="3" t="str">
        <f>HYPERLINK("https://ceds.ed.gov/cedselementdetails.aspx?termid=6438")</f>
        <v>https://ceds.ed.gov/cedselementdetails.aspx?termid=6438</v>
      </c>
      <c r="N1142" s="3" t="str">
        <f>HYPERLINK("https://ceds.ed.gov/elementComment.aspx?elementName=Responsible Organization Identifier &amp;elementID=6438", "Click here to submit comment")</f>
        <v>Click here to submit comment</v>
      </c>
    </row>
    <row r="1143" spans="1:14" ht="60">
      <c r="A1143" s="3" t="s">
        <v>5059</v>
      </c>
      <c r="B1143" s="3" t="s">
        <v>5060</v>
      </c>
      <c r="C1143" s="3" t="s">
        <v>13</v>
      </c>
      <c r="D1143" s="3" t="s">
        <v>6305</v>
      </c>
      <c r="E1143" s="3" t="s">
        <v>6104</v>
      </c>
      <c r="F1143" s="3" t="s">
        <v>3</v>
      </c>
      <c r="G1143" s="3" t="s">
        <v>106</v>
      </c>
      <c r="H1143" s="3"/>
      <c r="I1143" s="3"/>
      <c r="J1143" s="3" t="s">
        <v>5061</v>
      </c>
      <c r="K1143" s="3"/>
      <c r="L1143" s="3" t="s">
        <v>5062</v>
      </c>
      <c r="M1143" s="3" t="str">
        <f>HYPERLINK("https://ceds.ed.gov/cedselementdetails.aspx?termid=5624")</f>
        <v>https://ceds.ed.gov/cedselementdetails.aspx?termid=5624</v>
      </c>
      <c r="N1143" s="3" t="str">
        <f>HYPERLINK("https://ceds.ed.gov/elementComment.aspx?elementName=Responsible Organization Name &amp;elementID=5624", "Click here to submit comment")</f>
        <v>Click here to submit comment</v>
      </c>
    </row>
    <row r="1144" spans="1:14" ht="120">
      <c r="A1144" s="3" t="s">
        <v>5063</v>
      </c>
      <c r="B1144" s="3" t="s">
        <v>5050</v>
      </c>
      <c r="C1144" s="4" t="s">
        <v>6641</v>
      </c>
      <c r="D1144" s="3" t="s">
        <v>5055</v>
      </c>
      <c r="E1144" s="3"/>
      <c r="F1144" s="3" t="s">
        <v>54</v>
      </c>
      <c r="G1144" s="3"/>
      <c r="H1144" s="3"/>
      <c r="I1144" s="3" t="s">
        <v>5056</v>
      </c>
      <c r="J1144" s="3" t="s">
        <v>5064</v>
      </c>
      <c r="K1144" s="3"/>
      <c r="L1144" s="3" t="s">
        <v>5065</v>
      </c>
      <c r="M1144" s="3" t="str">
        <f>HYPERLINK("https://ceds.ed.gov/cedselementdetails.aspx?termid=6439")</f>
        <v>https://ceds.ed.gov/cedselementdetails.aspx?termid=6439</v>
      </c>
      <c r="N1144" s="3" t="str">
        <f>HYPERLINK("https://ceds.ed.gov/elementComment.aspx?elementName=Responsible Organization Type &amp;elementID=6439", "Click here to submit comment")</f>
        <v>Click here to submit comment</v>
      </c>
    </row>
    <row r="1145" spans="1:14" ht="45">
      <c r="A1145" s="3" t="s">
        <v>5066</v>
      </c>
      <c r="B1145" s="3" t="s">
        <v>5067</v>
      </c>
      <c r="C1145" s="3" t="s">
        <v>13</v>
      </c>
      <c r="D1145" s="3" t="s">
        <v>154</v>
      </c>
      <c r="E1145" s="3" t="s">
        <v>218</v>
      </c>
      <c r="F1145" s="3"/>
      <c r="G1145" s="3" t="s">
        <v>100</v>
      </c>
      <c r="H1145" s="3"/>
      <c r="I1145" s="3"/>
      <c r="J1145" s="3" t="s">
        <v>5068</v>
      </c>
      <c r="K1145" s="3"/>
      <c r="L1145" s="3" t="s">
        <v>5069</v>
      </c>
      <c r="M1145" s="3" t="str">
        <f>HYPERLINK("https://ceds.ed.gov/cedselementdetails.aspx?termid=5640")</f>
        <v>https://ceds.ed.gov/cedselementdetails.aspx?termid=5640</v>
      </c>
      <c r="N1145" s="3" t="str">
        <f>HYPERLINK("https://ceds.ed.gov/elementComment.aspx?elementName=Responsible School Identifier &amp;elementID=5640", "Click here to submit comment")</f>
        <v>Click here to submit comment</v>
      </c>
    </row>
    <row r="1146" spans="1:14" ht="120">
      <c r="A1146" s="3" t="s">
        <v>5070</v>
      </c>
      <c r="B1146" s="3" t="s">
        <v>5071</v>
      </c>
      <c r="C1146" s="4" t="s">
        <v>6641</v>
      </c>
      <c r="D1146" s="3" t="s">
        <v>6304</v>
      </c>
      <c r="E1146" s="3" t="s">
        <v>218</v>
      </c>
      <c r="F1146" s="3" t="s">
        <v>66</v>
      </c>
      <c r="G1146" s="3"/>
      <c r="H1146" s="3" t="s">
        <v>94</v>
      </c>
      <c r="I1146" s="3"/>
      <c r="J1146" s="3" t="s">
        <v>5072</v>
      </c>
      <c r="K1146" s="3"/>
      <c r="L1146" s="3" t="s">
        <v>5073</v>
      </c>
      <c r="M1146" s="3" t="str">
        <f>HYPERLINK("https://ceds.ed.gov/cedselementdetails.aspx?termid=5588")</f>
        <v>https://ceds.ed.gov/cedselementdetails.aspx?termid=5588</v>
      </c>
      <c r="N1146" s="3" t="str">
        <f>HYPERLINK("https://ceds.ed.gov/elementComment.aspx?elementName=Responsible School Type &amp;elementID=5588", "Click here to submit comment")</f>
        <v>Click here to submit comment</v>
      </c>
    </row>
    <row r="1147" spans="1:14" ht="165">
      <c r="A1147" s="3" t="s">
        <v>5074</v>
      </c>
      <c r="B1147" s="3" t="s">
        <v>5075</v>
      </c>
      <c r="C1147" s="4" t="s">
        <v>6642</v>
      </c>
      <c r="D1147" s="3" t="s">
        <v>1806</v>
      </c>
      <c r="E1147" s="3" t="s">
        <v>218</v>
      </c>
      <c r="F1147" s="3"/>
      <c r="G1147" s="3"/>
      <c r="H1147" s="3"/>
      <c r="I1147" s="3"/>
      <c r="J1147" s="3" t="s">
        <v>5076</v>
      </c>
      <c r="K1147" s="3"/>
      <c r="L1147" s="3" t="s">
        <v>5077</v>
      </c>
      <c r="M1147" s="3" t="str">
        <f>HYPERLINK("https://ceds.ed.gov/cedselementdetails.aspx?termid=5232")</f>
        <v>https://ceds.ed.gov/cedselementdetails.aspx?termid=5232</v>
      </c>
      <c r="N1147" s="3" t="str">
        <f>HYPERLINK("https://ceds.ed.gov/elementComment.aspx?elementName=Restructuring Action &amp;elementID=5232", "Click here to submit comment")</f>
        <v>Click here to submit comment</v>
      </c>
    </row>
    <row r="1148" spans="1:14" ht="60">
      <c r="A1148" s="3" t="s">
        <v>5078</v>
      </c>
      <c r="B1148" s="3" t="s">
        <v>5079</v>
      </c>
      <c r="C1148" s="3" t="s">
        <v>13</v>
      </c>
      <c r="D1148" s="3" t="s">
        <v>1494</v>
      </c>
      <c r="E1148" s="3" t="s">
        <v>1495</v>
      </c>
      <c r="F1148" s="3"/>
      <c r="G1148" s="3" t="s">
        <v>1461</v>
      </c>
      <c r="H1148" s="3"/>
      <c r="I1148" s="3" t="s">
        <v>358</v>
      </c>
      <c r="J1148" s="3" t="s">
        <v>5080</v>
      </c>
      <c r="K1148" s="3"/>
      <c r="L1148" s="3" t="s">
        <v>5081</v>
      </c>
      <c r="M1148" s="3" t="str">
        <f>HYPERLINK("https://ceds.ed.gov/cedselementdetails.aspx?termid=5728")</f>
        <v>https://ceds.ed.gov/cedselementdetails.aspx?termid=5728</v>
      </c>
      <c r="N1148" s="3" t="str">
        <f>HYPERLINK("https://ceds.ed.gov/elementComment.aspx?elementName=Room Charges &amp;elementID=5728", "Click here to submit comment")</f>
        <v>Click here to submit comment</v>
      </c>
    </row>
    <row r="1149" spans="1:14" ht="90">
      <c r="A1149" s="3" t="s">
        <v>5082</v>
      </c>
      <c r="B1149" s="3" t="s">
        <v>5083</v>
      </c>
      <c r="C1149" s="3" t="s">
        <v>13</v>
      </c>
      <c r="D1149" s="3" t="s">
        <v>6306</v>
      </c>
      <c r="E1149" s="3"/>
      <c r="F1149" s="3" t="s">
        <v>54</v>
      </c>
      <c r="G1149" s="3" t="s">
        <v>100</v>
      </c>
      <c r="H1149" s="3"/>
      <c r="I1149" s="3"/>
      <c r="J1149" s="3" t="s">
        <v>5084</v>
      </c>
      <c r="K1149" s="3"/>
      <c r="L1149" s="3" t="s">
        <v>5085</v>
      </c>
      <c r="M1149" s="3" t="str">
        <f>HYPERLINK("https://ceds.ed.gov/cedselementdetails.aspx?termid=6441")</f>
        <v>https://ceds.ed.gov/cedselementdetails.aspx?termid=6441</v>
      </c>
      <c r="N1149" s="3" t="str">
        <f>HYPERLINK("https://ceds.ed.gov/elementComment.aspx?elementName=Rubric Criterion Category &amp;elementID=6441", "Click here to submit comment")</f>
        <v>Click here to submit comment</v>
      </c>
    </row>
    <row r="1150" spans="1:14" ht="90">
      <c r="A1150" s="3" t="s">
        <v>5086</v>
      </c>
      <c r="B1150" s="3" t="s">
        <v>5087</v>
      </c>
      <c r="C1150" s="3" t="s">
        <v>13</v>
      </c>
      <c r="D1150" s="3" t="s">
        <v>6306</v>
      </c>
      <c r="E1150" s="3"/>
      <c r="F1150" s="3" t="s">
        <v>54</v>
      </c>
      <c r="G1150" s="3" t="s">
        <v>319</v>
      </c>
      <c r="H1150" s="3"/>
      <c r="I1150" s="3"/>
      <c r="J1150" s="3" t="s">
        <v>5088</v>
      </c>
      <c r="K1150" s="3"/>
      <c r="L1150" s="3" t="s">
        <v>5089</v>
      </c>
      <c r="M1150" s="3" t="str">
        <f>HYPERLINK("https://ceds.ed.gov/cedselementdetails.aspx?termid=6442")</f>
        <v>https://ceds.ed.gov/cedselementdetails.aspx?termid=6442</v>
      </c>
      <c r="N1150" s="3" t="str">
        <f>HYPERLINK("https://ceds.ed.gov/elementComment.aspx?elementName=Rubric Criterion Description &amp;elementID=6442", "Click here to submit comment")</f>
        <v>Click here to submit comment</v>
      </c>
    </row>
    <row r="1151" spans="1:14" ht="90">
      <c r="A1151" s="3" t="s">
        <v>5090</v>
      </c>
      <c r="B1151" s="3" t="s">
        <v>5091</v>
      </c>
      <c r="C1151" s="3" t="s">
        <v>13</v>
      </c>
      <c r="D1151" s="3" t="s">
        <v>6306</v>
      </c>
      <c r="E1151" s="3"/>
      <c r="F1151" s="3" t="s">
        <v>54</v>
      </c>
      <c r="G1151" s="3" t="s">
        <v>319</v>
      </c>
      <c r="H1151" s="3"/>
      <c r="I1151" s="3"/>
      <c r="J1151" s="3" t="s">
        <v>5092</v>
      </c>
      <c r="K1151" s="3"/>
      <c r="L1151" s="3" t="s">
        <v>5093</v>
      </c>
      <c r="M1151" s="3" t="str">
        <f>HYPERLINK("https://ceds.ed.gov/cedselementdetails.aspx?termid=6443")</f>
        <v>https://ceds.ed.gov/cedselementdetails.aspx?termid=6443</v>
      </c>
      <c r="N1151" s="3" t="str">
        <f>HYPERLINK("https://ceds.ed.gov/elementComment.aspx?elementName=Rubric Criterion Level Description &amp;elementID=6443", "Click here to submit comment")</f>
        <v>Click here to submit comment</v>
      </c>
    </row>
    <row r="1152" spans="1:14" ht="90">
      <c r="A1152" s="3" t="s">
        <v>5094</v>
      </c>
      <c r="B1152" s="3" t="s">
        <v>5095</v>
      </c>
      <c r="C1152" s="3" t="s">
        <v>13</v>
      </c>
      <c r="D1152" s="3" t="s">
        <v>6306</v>
      </c>
      <c r="E1152" s="3"/>
      <c r="F1152" s="3" t="s">
        <v>54</v>
      </c>
      <c r="G1152" s="3" t="s">
        <v>319</v>
      </c>
      <c r="H1152" s="3"/>
      <c r="I1152" s="3"/>
      <c r="J1152" s="3" t="s">
        <v>5096</v>
      </c>
      <c r="K1152" s="3"/>
      <c r="L1152" s="3" t="s">
        <v>5097</v>
      </c>
      <c r="M1152" s="3" t="str">
        <f>HYPERLINK("https://ceds.ed.gov/cedselementdetails.aspx?termid=6444")</f>
        <v>https://ceds.ed.gov/cedselementdetails.aspx?termid=6444</v>
      </c>
      <c r="N1152" s="3" t="str">
        <f>HYPERLINK("https://ceds.ed.gov/elementComment.aspx?elementName=Rubric Criterion Level Feedback &amp;elementID=6444", "Click here to submit comment")</f>
        <v>Click here to submit comment</v>
      </c>
    </row>
    <row r="1153" spans="1:14" ht="90">
      <c r="A1153" s="3" t="s">
        <v>5098</v>
      </c>
      <c r="B1153" s="3" t="s">
        <v>5099</v>
      </c>
      <c r="C1153" s="3" t="s">
        <v>13</v>
      </c>
      <c r="D1153" s="3" t="s">
        <v>6306</v>
      </c>
      <c r="E1153" s="3"/>
      <c r="F1153" s="3" t="s">
        <v>54</v>
      </c>
      <c r="G1153" s="3" t="s">
        <v>545</v>
      </c>
      <c r="H1153" s="3"/>
      <c r="I1153" s="3"/>
      <c r="J1153" s="3" t="s">
        <v>5100</v>
      </c>
      <c r="K1153" s="3"/>
      <c r="L1153" s="3" t="s">
        <v>5101</v>
      </c>
      <c r="M1153" s="3" t="str">
        <f>HYPERLINK("https://ceds.ed.gov/cedselementdetails.aspx?termid=6445")</f>
        <v>https://ceds.ed.gov/cedselementdetails.aspx?termid=6445</v>
      </c>
      <c r="N1153" s="3" t="str">
        <f>HYPERLINK("https://ceds.ed.gov/elementComment.aspx?elementName=Rubric Criterion Level Position &amp;elementID=6445", "Click here to submit comment")</f>
        <v>Click here to submit comment</v>
      </c>
    </row>
    <row r="1154" spans="1:14" ht="90">
      <c r="A1154" s="3" t="s">
        <v>5102</v>
      </c>
      <c r="B1154" s="3" t="s">
        <v>5103</v>
      </c>
      <c r="C1154" s="3" t="s">
        <v>13</v>
      </c>
      <c r="D1154" s="3" t="s">
        <v>6306</v>
      </c>
      <c r="E1154" s="3"/>
      <c r="F1154" s="3" t="s">
        <v>54</v>
      </c>
      <c r="G1154" s="3" t="s">
        <v>106</v>
      </c>
      <c r="H1154" s="3"/>
      <c r="I1154" s="3"/>
      <c r="J1154" s="3" t="s">
        <v>5104</v>
      </c>
      <c r="K1154" s="3"/>
      <c r="L1154" s="3" t="s">
        <v>5105</v>
      </c>
      <c r="M1154" s="3" t="str">
        <f>HYPERLINK("https://ceds.ed.gov/cedselementdetails.aspx?termid=6446")</f>
        <v>https://ceds.ed.gov/cedselementdetails.aspx?termid=6446</v>
      </c>
      <c r="N1154" s="3" t="str">
        <f>HYPERLINK("https://ceds.ed.gov/elementComment.aspx?elementName=Rubric Criterion Level Quality Label &amp;elementID=6446", "Click here to submit comment")</f>
        <v>Click here to submit comment</v>
      </c>
    </row>
    <row r="1155" spans="1:14" ht="90">
      <c r="A1155" s="3" t="s">
        <v>5106</v>
      </c>
      <c r="B1155" s="3" t="s">
        <v>5107</v>
      </c>
      <c r="C1155" s="3" t="s">
        <v>13</v>
      </c>
      <c r="D1155" s="3" t="s">
        <v>6306</v>
      </c>
      <c r="E1155" s="3"/>
      <c r="F1155" s="3" t="s">
        <v>54</v>
      </c>
      <c r="G1155" s="3" t="s">
        <v>545</v>
      </c>
      <c r="H1155" s="3"/>
      <c r="I1155" s="3"/>
      <c r="J1155" s="3" t="s">
        <v>5108</v>
      </c>
      <c r="K1155" s="3"/>
      <c r="L1155" s="3" t="s">
        <v>5109</v>
      </c>
      <c r="M1155" s="3" t="str">
        <f>HYPERLINK("https://ceds.ed.gov/cedselementdetails.aspx?termid=6447")</f>
        <v>https://ceds.ed.gov/cedselementdetails.aspx?termid=6447</v>
      </c>
      <c r="N1155" s="3" t="str">
        <f>HYPERLINK("https://ceds.ed.gov/elementComment.aspx?elementName=Rubric Criterion Level Score &amp;elementID=6447", "Click here to submit comment")</f>
        <v>Click here to submit comment</v>
      </c>
    </row>
    <row r="1156" spans="1:14" ht="90">
      <c r="A1156" s="3" t="s">
        <v>5110</v>
      </c>
      <c r="B1156" s="3" t="s">
        <v>5111</v>
      </c>
      <c r="C1156" s="3" t="s">
        <v>13</v>
      </c>
      <c r="D1156" s="3" t="s">
        <v>6306</v>
      </c>
      <c r="E1156" s="3"/>
      <c r="F1156" s="3" t="s">
        <v>54</v>
      </c>
      <c r="G1156" s="3" t="s">
        <v>545</v>
      </c>
      <c r="H1156" s="3"/>
      <c r="I1156" s="3"/>
      <c r="J1156" s="3" t="s">
        <v>5112</v>
      </c>
      <c r="K1156" s="3"/>
      <c r="L1156" s="3" t="s">
        <v>5113</v>
      </c>
      <c r="M1156" s="3" t="str">
        <f>HYPERLINK("https://ceds.ed.gov/cedselementdetails.aspx?termid=6448")</f>
        <v>https://ceds.ed.gov/cedselementdetails.aspx?termid=6448</v>
      </c>
      <c r="N1156" s="3" t="str">
        <f>HYPERLINK("https://ceds.ed.gov/elementComment.aspx?elementName=Rubric Criterion Position &amp;elementID=6448", "Click here to submit comment")</f>
        <v>Click here to submit comment</v>
      </c>
    </row>
    <row r="1157" spans="1:14" ht="90">
      <c r="A1157" s="3" t="s">
        <v>5114</v>
      </c>
      <c r="B1157" s="3" t="s">
        <v>5115</v>
      </c>
      <c r="C1157" s="3" t="s">
        <v>13</v>
      </c>
      <c r="D1157" s="3" t="s">
        <v>6306</v>
      </c>
      <c r="E1157" s="3"/>
      <c r="F1157" s="3" t="s">
        <v>54</v>
      </c>
      <c r="G1157" s="3" t="s">
        <v>106</v>
      </c>
      <c r="H1157" s="3"/>
      <c r="I1157" s="3"/>
      <c r="J1157" s="3" t="s">
        <v>5116</v>
      </c>
      <c r="K1157" s="3"/>
      <c r="L1157" s="3" t="s">
        <v>5117</v>
      </c>
      <c r="M1157" s="3" t="str">
        <f>HYPERLINK("https://ceds.ed.gov/cedselementdetails.aspx?termid=6449")</f>
        <v>https://ceds.ed.gov/cedselementdetails.aspx?termid=6449</v>
      </c>
      <c r="N1157" s="3" t="str">
        <f>HYPERLINK("https://ceds.ed.gov/elementComment.aspx?elementName=Rubric Criterion Title &amp;elementID=6449", "Click here to submit comment")</f>
        <v>Click here to submit comment</v>
      </c>
    </row>
    <row r="1158" spans="1:14" ht="90">
      <c r="A1158" s="3" t="s">
        <v>5118</v>
      </c>
      <c r="B1158" s="3" t="s">
        <v>5119</v>
      </c>
      <c r="C1158" s="3" t="s">
        <v>13</v>
      </c>
      <c r="D1158" s="3" t="s">
        <v>6306</v>
      </c>
      <c r="E1158" s="3"/>
      <c r="F1158" s="3" t="s">
        <v>54</v>
      </c>
      <c r="G1158" s="3" t="s">
        <v>545</v>
      </c>
      <c r="H1158" s="3"/>
      <c r="I1158" s="3"/>
      <c r="J1158" s="3" t="s">
        <v>5120</v>
      </c>
      <c r="K1158" s="3"/>
      <c r="L1158" s="3" t="s">
        <v>5121</v>
      </c>
      <c r="M1158" s="3" t="str">
        <f>HYPERLINK("https://ceds.ed.gov/cedselementdetails.aspx?termid=6450")</f>
        <v>https://ceds.ed.gov/cedselementdetails.aspx?termid=6450</v>
      </c>
      <c r="N1158" s="3" t="str">
        <f>HYPERLINK("https://ceds.ed.gov/elementComment.aspx?elementName=Rubric Criterion Weight &amp;elementID=6450", "Click here to submit comment")</f>
        <v>Click here to submit comment</v>
      </c>
    </row>
    <row r="1159" spans="1:14" ht="90">
      <c r="A1159" s="3" t="s">
        <v>5122</v>
      </c>
      <c r="B1159" s="3" t="s">
        <v>5123</v>
      </c>
      <c r="C1159" s="3" t="s">
        <v>13</v>
      </c>
      <c r="D1159" s="3" t="s">
        <v>6306</v>
      </c>
      <c r="E1159" s="3"/>
      <c r="F1159" s="3" t="s">
        <v>54</v>
      </c>
      <c r="G1159" s="3" t="s">
        <v>319</v>
      </c>
      <c r="H1159" s="3"/>
      <c r="I1159" s="3"/>
      <c r="J1159" s="3" t="s">
        <v>5124</v>
      </c>
      <c r="K1159" s="3"/>
      <c r="L1159" s="3" t="s">
        <v>5125</v>
      </c>
      <c r="M1159" s="3" t="str">
        <f>HYPERLINK("https://ceds.ed.gov/cedselementdetails.aspx?termid=6451")</f>
        <v>https://ceds.ed.gov/cedselementdetails.aspx?termid=6451</v>
      </c>
      <c r="N1159" s="3" t="str">
        <f>HYPERLINK("https://ceds.ed.gov/elementComment.aspx?elementName=Rubric Description &amp;elementID=6451", "Click here to submit comment")</f>
        <v>Click here to submit comment</v>
      </c>
    </row>
    <row r="1160" spans="1:14" ht="105">
      <c r="A1160" s="3" t="s">
        <v>5126</v>
      </c>
      <c r="B1160" s="3" t="s">
        <v>5127</v>
      </c>
      <c r="C1160" s="4" t="s">
        <v>6371</v>
      </c>
      <c r="D1160" s="3" t="s">
        <v>1471</v>
      </c>
      <c r="E1160" s="3" t="s">
        <v>218</v>
      </c>
      <c r="F1160" s="3"/>
      <c r="G1160" s="3"/>
      <c r="H1160" s="3"/>
      <c r="I1160" s="3"/>
      <c r="J1160" s="3" t="s">
        <v>5128</v>
      </c>
      <c r="K1160" s="3" t="s">
        <v>5129</v>
      </c>
      <c r="L1160" s="3" t="s">
        <v>5130</v>
      </c>
      <c r="M1160" s="3" t="str">
        <f>HYPERLINK("https://ceds.ed.gov/cedselementdetails.aspx?termid=5552")</f>
        <v>https://ceds.ed.gov/cedselementdetails.aspx?termid=5552</v>
      </c>
      <c r="N1160" s="3" t="str">
        <f>HYPERLINK("https://ceds.ed.gov/elementComment.aspx?elementName=Rural Education Achievement Program Alternative Funding Status &amp;elementID=5552", "Click here to submit comment")</f>
        <v>Click here to submit comment</v>
      </c>
    </row>
    <row r="1161" spans="1:14" ht="90">
      <c r="A1161" s="3" t="s">
        <v>5131</v>
      </c>
      <c r="B1161" s="3" t="s">
        <v>5132</v>
      </c>
      <c r="C1161" s="3" t="s">
        <v>5963</v>
      </c>
      <c r="D1161" s="3" t="s">
        <v>2248</v>
      </c>
      <c r="E1161" s="3"/>
      <c r="F1161" s="3"/>
      <c r="G1161" s="3"/>
      <c r="H1161" s="3"/>
      <c r="I1161" s="3"/>
      <c r="J1161" s="3" t="s">
        <v>5133</v>
      </c>
      <c r="K1161" s="3"/>
      <c r="L1161" s="3" t="s">
        <v>5134</v>
      </c>
      <c r="M1161" s="3" t="str">
        <f>HYPERLINK("https://ceds.ed.gov/cedselementdetails.aspx?termid=5761")</f>
        <v>https://ceds.ed.gov/cedselementdetails.aspx?termid=5761</v>
      </c>
      <c r="N1161" s="3" t="str">
        <f>HYPERLINK("https://ceds.ed.gov/elementComment.aspx?elementName=Rural Residency Status &amp;elementID=5761", "Click here to submit comment")</f>
        <v>Click here to submit comment</v>
      </c>
    </row>
    <row r="1162" spans="1:14" ht="60">
      <c r="A1162" s="3" t="s">
        <v>5135</v>
      </c>
      <c r="B1162" s="3" t="s">
        <v>5136</v>
      </c>
      <c r="C1162" s="3" t="s">
        <v>13</v>
      </c>
      <c r="D1162" s="3" t="s">
        <v>5137</v>
      </c>
      <c r="E1162" s="3" t="s">
        <v>207</v>
      </c>
      <c r="F1162" s="3"/>
      <c r="G1162" s="3" t="s">
        <v>106</v>
      </c>
      <c r="H1162" s="3"/>
      <c r="I1162" s="3"/>
      <c r="J1162" s="3" t="s">
        <v>5138</v>
      </c>
      <c r="K1162" s="3"/>
      <c r="L1162" s="3" t="s">
        <v>5139</v>
      </c>
      <c r="M1162" s="3" t="str">
        <f>HYPERLINK("https://ceds.ed.gov/cedselementdetails.aspx?termid=5468")</f>
        <v>https://ceds.ed.gov/cedselementdetails.aspx?termid=5468</v>
      </c>
      <c r="N1162" s="3" t="str">
        <f>HYPERLINK("https://ceds.ed.gov/elementComment.aspx?elementName=Safe and Drug Free Baseline &amp;elementID=5468", "Click here to submit comment")</f>
        <v>Click here to submit comment</v>
      </c>
    </row>
    <row r="1163" spans="1:14" ht="30">
      <c r="A1163" s="3" t="s">
        <v>5140</v>
      </c>
      <c r="B1163" s="3" t="s">
        <v>5141</v>
      </c>
      <c r="C1163" s="3" t="s">
        <v>13</v>
      </c>
      <c r="D1163" s="3" t="s">
        <v>5137</v>
      </c>
      <c r="E1163" s="3" t="s">
        <v>207</v>
      </c>
      <c r="F1163" s="3"/>
      <c r="G1163" s="3" t="s">
        <v>1127</v>
      </c>
      <c r="H1163" s="3"/>
      <c r="I1163" s="3"/>
      <c r="J1163" s="3" t="s">
        <v>5142</v>
      </c>
      <c r="K1163" s="3"/>
      <c r="L1163" s="3" t="s">
        <v>5143</v>
      </c>
      <c r="M1163" s="3" t="str">
        <f>HYPERLINK("https://ceds.ed.gov/cedselementdetails.aspx?termid=5469")</f>
        <v>https://ceds.ed.gov/cedselementdetails.aspx?termid=5469</v>
      </c>
      <c r="N1163" s="3" t="str">
        <f>HYPERLINK("https://ceds.ed.gov/elementComment.aspx?elementName=Safe and Drug Free Baseline Year &amp;elementID=5469", "Click here to submit comment")</f>
        <v>Click here to submit comment</v>
      </c>
    </row>
    <row r="1164" spans="1:14" ht="60">
      <c r="A1164" s="3" t="s">
        <v>5144</v>
      </c>
      <c r="B1164" s="3" t="s">
        <v>5145</v>
      </c>
      <c r="C1164" s="3" t="s">
        <v>13</v>
      </c>
      <c r="D1164" s="3" t="s">
        <v>5137</v>
      </c>
      <c r="E1164" s="3" t="s">
        <v>207</v>
      </c>
      <c r="F1164" s="3"/>
      <c r="G1164" s="3" t="s">
        <v>106</v>
      </c>
      <c r="H1164" s="3"/>
      <c r="I1164" s="3"/>
      <c r="J1164" s="3" t="s">
        <v>5146</v>
      </c>
      <c r="K1164" s="3"/>
      <c r="L1164" s="3" t="s">
        <v>5147</v>
      </c>
      <c r="M1164" s="3" t="str">
        <f>HYPERLINK("https://ceds.ed.gov/cedselementdetails.aspx?termid=5463")</f>
        <v>https://ceds.ed.gov/cedselementdetails.aspx?termid=5463</v>
      </c>
      <c r="N1164" s="3" t="str">
        <f>HYPERLINK("https://ceds.ed.gov/elementComment.aspx?elementName=Safe and Drug Free Collection Frequency &amp;elementID=5463", "Click here to submit comment")</f>
        <v>Click here to submit comment</v>
      </c>
    </row>
    <row r="1165" spans="1:14" ht="60">
      <c r="A1165" s="3" t="s">
        <v>5148</v>
      </c>
      <c r="B1165" s="3" t="s">
        <v>5149</v>
      </c>
      <c r="C1165" s="3" t="s">
        <v>13</v>
      </c>
      <c r="D1165" s="3" t="s">
        <v>5137</v>
      </c>
      <c r="E1165" s="3" t="s">
        <v>207</v>
      </c>
      <c r="F1165" s="3"/>
      <c r="G1165" s="3" t="s">
        <v>106</v>
      </c>
      <c r="H1165" s="3"/>
      <c r="I1165" s="3"/>
      <c r="J1165" s="3" t="s">
        <v>5150</v>
      </c>
      <c r="K1165" s="3"/>
      <c r="L1165" s="3" t="s">
        <v>5151</v>
      </c>
      <c r="M1165" s="3" t="str">
        <f>HYPERLINK("https://ceds.ed.gov/cedselementdetails.aspx?termid=5461")</f>
        <v>https://ceds.ed.gov/cedselementdetails.aspx?termid=5461</v>
      </c>
      <c r="N1165" s="3" t="str">
        <f>HYPERLINK("https://ceds.ed.gov/elementComment.aspx?elementName=Safe and Drug Free Indicator Name &amp;elementID=5461", "Click here to submit comment")</f>
        <v>Click here to submit comment</v>
      </c>
    </row>
    <row r="1166" spans="1:14" ht="75">
      <c r="A1166" s="3" t="s">
        <v>5152</v>
      </c>
      <c r="B1166" s="3" t="s">
        <v>5153</v>
      </c>
      <c r="C1166" s="3" t="s">
        <v>13</v>
      </c>
      <c r="D1166" s="3" t="s">
        <v>5137</v>
      </c>
      <c r="E1166" s="3" t="s">
        <v>207</v>
      </c>
      <c r="F1166" s="3"/>
      <c r="G1166" s="3" t="s">
        <v>745</v>
      </c>
      <c r="H1166" s="3"/>
      <c r="I1166" s="3"/>
      <c r="J1166" s="3" t="s">
        <v>5154</v>
      </c>
      <c r="K1166" s="3"/>
      <c r="L1166" s="3" t="s">
        <v>5155</v>
      </c>
      <c r="M1166" s="3" t="str">
        <f>HYPERLINK("https://ceds.ed.gov/cedselementdetails.aspx?termid=5462")</f>
        <v>https://ceds.ed.gov/cedselementdetails.aspx?termid=5462</v>
      </c>
      <c r="N1166" s="3" t="str">
        <f>HYPERLINK("https://ceds.ed.gov/elementComment.aspx?elementName=Safe and Drug Free Instrument &amp;elementID=5462", "Click here to submit comment")</f>
        <v>Click here to submit comment</v>
      </c>
    </row>
    <row r="1167" spans="1:14" ht="60">
      <c r="A1167" s="3" t="s">
        <v>5156</v>
      </c>
      <c r="B1167" s="3" t="s">
        <v>5157</v>
      </c>
      <c r="C1167" s="3" t="s">
        <v>13</v>
      </c>
      <c r="D1167" s="3" t="s">
        <v>5137</v>
      </c>
      <c r="E1167" s="3" t="s">
        <v>207</v>
      </c>
      <c r="F1167" s="3"/>
      <c r="G1167" s="3" t="s">
        <v>1127</v>
      </c>
      <c r="H1167" s="3"/>
      <c r="I1167" s="3"/>
      <c r="J1167" s="3" t="s">
        <v>5158</v>
      </c>
      <c r="K1167" s="3"/>
      <c r="L1167" s="3" t="s">
        <v>5159</v>
      </c>
      <c r="M1167" s="3" t="str">
        <f>HYPERLINK("https://ceds.ed.gov/cedselementdetails.aspx?termid=5466")</f>
        <v>https://ceds.ed.gov/cedselementdetails.aspx?termid=5466</v>
      </c>
      <c r="N1167" s="3" t="str">
        <f>HYPERLINK("https://ceds.ed.gov/elementComment.aspx?elementName=Safe and Drug Free Performance &amp;elementID=5466", "Click here to submit comment")</f>
        <v>Click here to submit comment</v>
      </c>
    </row>
    <row r="1168" spans="1:14" ht="60">
      <c r="A1168" s="3" t="s">
        <v>5160</v>
      </c>
      <c r="B1168" s="3" t="s">
        <v>5161</v>
      </c>
      <c r="C1168" s="3" t="s">
        <v>13</v>
      </c>
      <c r="D1168" s="3" t="s">
        <v>5137</v>
      </c>
      <c r="E1168" s="3" t="s">
        <v>207</v>
      </c>
      <c r="F1168" s="3"/>
      <c r="G1168" s="3" t="s">
        <v>1127</v>
      </c>
      <c r="H1168" s="3"/>
      <c r="I1168" s="3"/>
      <c r="J1168" s="3" t="s">
        <v>5162</v>
      </c>
      <c r="K1168" s="3"/>
      <c r="L1168" s="3" t="s">
        <v>5163</v>
      </c>
      <c r="M1168" s="3" t="str">
        <f>HYPERLINK("https://ceds.ed.gov/cedselementdetails.aspx?termid=5465")</f>
        <v>https://ceds.ed.gov/cedselementdetails.aspx?termid=5465</v>
      </c>
      <c r="N1168" s="3" t="str">
        <f>HYPERLINK("https://ceds.ed.gov/elementComment.aspx?elementName=Safe and Drug Free Target &amp;elementID=5465", "Click here to submit comment")</f>
        <v>Click here to submit comment</v>
      </c>
    </row>
    <row r="1169" spans="1:14" ht="60">
      <c r="A1169" s="3" t="s">
        <v>5164</v>
      </c>
      <c r="B1169" s="3" t="s">
        <v>5165</v>
      </c>
      <c r="C1169" s="3" t="s">
        <v>13</v>
      </c>
      <c r="D1169" s="3" t="s">
        <v>5137</v>
      </c>
      <c r="E1169" s="3" t="s">
        <v>207</v>
      </c>
      <c r="F1169" s="3"/>
      <c r="G1169" s="3" t="s">
        <v>1127</v>
      </c>
      <c r="H1169" s="3"/>
      <c r="I1169" s="3"/>
      <c r="J1169" s="3" t="s">
        <v>5166</v>
      </c>
      <c r="K1169" s="3"/>
      <c r="L1169" s="3" t="s">
        <v>5167</v>
      </c>
      <c r="M1169" s="3" t="str">
        <f>HYPERLINK("https://ceds.ed.gov/cedselementdetails.aspx?termid=5464")</f>
        <v>https://ceds.ed.gov/cedselementdetails.aspx?termid=5464</v>
      </c>
      <c r="N1169" s="3" t="str">
        <f>HYPERLINK("https://ceds.ed.gov/elementComment.aspx?elementName=Safe and Drug Free Year Most Recent Collection &amp;elementID=5464", "Click here to submit comment")</f>
        <v>Click here to submit comment</v>
      </c>
    </row>
    <row r="1170" spans="1:14" ht="45">
      <c r="A1170" s="3" t="s">
        <v>5168</v>
      </c>
      <c r="B1170" s="3" t="s">
        <v>5169</v>
      </c>
      <c r="C1170" s="3" t="s">
        <v>5963</v>
      </c>
      <c r="D1170" s="3" t="s">
        <v>1779</v>
      </c>
      <c r="E1170" s="3" t="s">
        <v>1780</v>
      </c>
      <c r="F1170" s="3"/>
      <c r="G1170" s="3"/>
      <c r="H1170" s="3"/>
      <c r="I1170" s="3"/>
      <c r="J1170" s="3" t="s">
        <v>5170</v>
      </c>
      <c r="K1170" s="3"/>
      <c r="L1170" s="3" t="s">
        <v>5171</v>
      </c>
      <c r="M1170" s="3" t="str">
        <f>HYPERLINK("https://ceds.ed.gov/cedselementdetails.aspx?termid=5234")</f>
        <v>https://ceds.ed.gov/cedselementdetails.aspx?termid=5234</v>
      </c>
      <c r="N1170" s="3" t="str">
        <f>HYPERLINK("https://ceds.ed.gov/elementComment.aspx?elementName=Salary For Teaching Assignment Only Indicator &amp;elementID=5234", "Click here to submit comment")</f>
        <v>Click here to submit comment</v>
      </c>
    </row>
    <row r="1171" spans="1:14" ht="105">
      <c r="A1171" s="3" t="s">
        <v>5172</v>
      </c>
      <c r="B1171" s="3" t="s">
        <v>5173</v>
      </c>
      <c r="C1171" s="3" t="s">
        <v>5963</v>
      </c>
      <c r="D1171" s="3" t="s">
        <v>5174</v>
      </c>
      <c r="E1171" s="3" t="s">
        <v>218</v>
      </c>
      <c r="F1171" s="3"/>
      <c r="G1171" s="3"/>
      <c r="H1171" s="3"/>
      <c r="I1171" s="3"/>
      <c r="J1171" s="3" t="s">
        <v>5175</v>
      </c>
      <c r="K1171" s="3"/>
      <c r="L1171" s="3" t="s">
        <v>5176</v>
      </c>
      <c r="M1171" s="3" t="str">
        <f>HYPERLINK("https://ceds.ed.gov/cedselementdetails.aspx?termid=5235")</f>
        <v>https://ceds.ed.gov/cedselementdetails.aspx?termid=5235</v>
      </c>
      <c r="N1171" s="3" t="str">
        <f>HYPERLINK("https://ceds.ed.gov/elementComment.aspx?elementName=School Choice Applied for Transfer Status &amp;elementID=5235", "Click here to submit comment")</f>
        <v>Click here to submit comment</v>
      </c>
    </row>
    <row r="1172" spans="1:14" ht="165">
      <c r="A1172" s="3" t="s">
        <v>5177</v>
      </c>
      <c r="B1172" s="3" t="s">
        <v>5178</v>
      </c>
      <c r="C1172" s="3" t="s">
        <v>5963</v>
      </c>
      <c r="D1172" s="3" t="s">
        <v>5174</v>
      </c>
      <c r="E1172" s="3" t="s">
        <v>218</v>
      </c>
      <c r="F1172" s="3"/>
      <c r="G1172" s="3"/>
      <c r="H1172" s="3"/>
      <c r="I1172" s="3" t="s">
        <v>5179</v>
      </c>
      <c r="J1172" s="3" t="s">
        <v>5180</v>
      </c>
      <c r="K1172" s="3"/>
      <c r="L1172" s="3" t="s">
        <v>5181</v>
      </c>
      <c r="M1172" s="3" t="str">
        <f>HYPERLINK("https://ceds.ed.gov/cedselementdetails.aspx?termid=5236")</f>
        <v>https://ceds.ed.gov/cedselementdetails.aspx?termid=5236</v>
      </c>
      <c r="N1172" s="3" t="str">
        <f>HYPERLINK("https://ceds.ed.gov/elementComment.aspx?elementName=School Choice Eligible for Transfer Status &amp;elementID=5236", "Click here to submit comment")</f>
        <v>Click here to submit comment</v>
      </c>
    </row>
    <row r="1173" spans="1:14" ht="90">
      <c r="A1173" s="3" t="s">
        <v>5182</v>
      </c>
      <c r="B1173" s="3" t="s">
        <v>5183</v>
      </c>
      <c r="C1173" s="3" t="s">
        <v>5963</v>
      </c>
      <c r="D1173" s="3" t="s">
        <v>5174</v>
      </c>
      <c r="E1173" s="3" t="s">
        <v>5968</v>
      </c>
      <c r="F1173" s="3"/>
      <c r="G1173" s="3"/>
      <c r="H1173" s="3"/>
      <c r="I1173" s="3"/>
      <c r="J1173" s="3" t="s">
        <v>5184</v>
      </c>
      <c r="K1173" s="3"/>
      <c r="L1173" s="3" t="s">
        <v>5185</v>
      </c>
      <c r="M1173" s="3" t="str">
        <f>HYPERLINK("https://ceds.ed.gov/cedselementdetails.aspx?termid=5237")</f>
        <v>https://ceds.ed.gov/cedselementdetails.aspx?termid=5237</v>
      </c>
      <c r="N1173" s="3" t="str">
        <f>HYPERLINK("https://ceds.ed.gov/elementComment.aspx?elementName=School Choice Transfer Status &amp;elementID=5237", "Click here to submit comment")</f>
        <v>Click here to submit comment</v>
      </c>
    </row>
    <row r="1174" spans="1:14" ht="120">
      <c r="A1174" s="3" t="s">
        <v>5186</v>
      </c>
      <c r="B1174" s="3" t="s">
        <v>5187</v>
      </c>
      <c r="C1174" s="5" t="s">
        <v>5188</v>
      </c>
      <c r="D1174" s="3" t="s">
        <v>6105</v>
      </c>
      <c r="E1174" s="3"/>
      <c r="F1174" s="3" t="s">
        <v>54</v>
      </c>
      <c r="G1174" s="3" t="s">
        <v>5189</v>
      </c>
      <c r="H1174" s="3"/>
      <c r="I1174" s="3" t="s">
        <v>5190</v>
      </c>
      <c r="J1174" s="3" t="s">
        <v>5191</v>
      </c>
      <c r="K1174" s="3" t="s">
        <v>5192</v>
      </c>
      <c r="L1174" s="3" t="s">
        <v>5193</v>
      </c>
      <c r="M1174" s="3" t="str">
        <f>HYPERLINK("https://ceds.ed.gov/cedselementdetails.aspx?termid=6490")</f>
        <v>https://ceds.ed.gov/cedselementdetails.aspx?termid=6490</v>
      </c>
      <c r="N1174" s="3" t="str">
        <f>HYPERLINK("https://ceds.ed.gov/elementComment.aspx?elementName=School Codes for the Exchange of Data Course Code &amp;elementID=6490", "Click here to submit comment")</f>
        <v>Click here to submit comment</v>
      </c>
    </row>
    <row r="1175" spans="1:14" ht="105">
      <c r="A1175" s="3" t="s">
        <v>5194</v>
      </c>
      <c r="B1175" s="3" t="s">
        <v>5195</v>
      </c>
      <c r="C1175" s="4" t="s">
        <v>6643</v>
      </c>
      <c r="D1175" s="3" t="s">
        <v>6105</v>
      </c>
      <c r="E1175" s="3"/>
      <c r="F1175" s="3" t="s">
        <v>54</v>
      </c>
      <c r="G1175" s="3" t="s">
        <v>5196</v>
      </c>
      <c r="H1175" s="3"/>
      <c r="I1175" s="3"/>
      <c r="J1175" s="3" t="s">
        <v>5197</v>
      </c>
      <c r="K1175" s="3" t="s">
        <v>5198</v>
      </c>
      <c r="L1175" s="3" t="s">
        <v>5199</v>
      </c>
      <c r="M1175" s="3" t="str">
        <f>HYPERLINK("https://ceds.ed.gov/cedselementdetails.aspx?termid=6488")</f>
        <v>https://ceds.ed.gov/cedselementdetails.aspx?termid=6488</v>
      </c>
      <c r="N1175" s="3" t="str">
        <f>HYPERLINK("https://ceds.ed.gov/elementComment.aspx?elementName=School Codes for the Exchange of Data Course Level &amp;elementID=6488", "Click here to submit comment")</f>
        <v>Click here to submit comment</v>
      </c>
    </row>
    <row r="1176" spans="1:14" ht="409.5">
      <c r="A1176" s="3" t="s">
        <v>5200</v>
      </c>
      <c r="B1176" s="3" t="s">
        <v>5201</v>
      </c>
      <c r="C1176" s="4" t="s">
        <v>6644</v>
      </c>
      <c r="D1176" s="3" t="s">
        <v>6105</v>
      </c>
      <c r="E1176" s="3"/>
      <c r="F1176" s="3" t="s">
        <v>54</v>
      </c>
      <c r="G1176" s="3" t="s">
        <v>5202</v>
      </c>
      <c r="H1176" s="3"/>
      <c r="I1176" s="3" t="s">
        <v>5203</v>
      </c>
      <c r="J1176" s="3" t="s">
        <v>5204</v>
      </c>
      <c r="K1176" s="3" t="s">
        <v>5205</v>
      </c>
      <c r="L1176" s="3" t="s">
        <v>5206</v>
      </c>
      <c r="M1176" s="3" t="str">
        <f>HYPERLINK("https://ceds.ed.gov/cedselementdetails.aspx?termid=6491")</f>
        <v>https://ceds.ed.gov/cedselementdetails.aspx?termid=6491</v>
      </c>
      <c r="N1176" s="3" t="str">
        <f>HYPERLINK("https://ceds.ed.gov/elementComment.aspx?elementName=School Codes for the Exchange of Data Course Subject Area &amp;elementID=6491", "Click here to submit comment")</f>
        <v>Click here to submit comment</v>
      </c>
    </row>
    <row r="1177" spans="1:14" ht="105">
      <c r="A1177" s="3" t="s">
        <v>5207</v>
      </c>
      <c r="B1177" s="3" t="s">
        <v>5208</v>
      </c>
      <c r="C1177" s="3" t="s">
        <v>13</v>
      </c>
      <c r="D1177" s="3" t="s">
        <v>3394</v>
      </c>
      <c r="E1177" s="3"/>
      <c r="F1177" s="3" t="s">
        <v>54</v>
      </c>
      <c r="G1177" s="3" t="s">
        <v>5209</v>
      </c>
      <c r="H1177" s="3"/>
      <c r="I1177" s="3" t="s">
        <v>5210</v>
      </c>
      <c r="J1177" s="3" t="s">
        <v>5211</v>
      </c>
      <c r="K1177" s="3" t="s">
        <v>5212</v>
      </c>
      <c r="L1177" s="3" t="s">
        <v>5213</v>
      </c>
      <c r="M1177" s="3" t="str">
        <f>HYPERLINK("https://ceds.ed.gov/cedselementdetails.aspx?termid=6452")</f>
        <v>https://ceds.ed.gov/cedselementdetails.aspx?termid=6452</v>
      </c>
      <c r="N1177" s="3" t="str">
        <f>HYPERLINK("https://ceds.ed.gov/elementComment.aspx?elementName=School Codes for the Exchange of Data Grade Span &amp;elementID=6452", "Click here to submit comment")</f>
        <v>Click here to submit comment</v>
      </c>
    </row>
    <row r="1178" spans="1:14" ht="120">
      <c r="A1178" s="3" t="s">
        <v>5214</v>
      </c>
      <c r="B1178" s="3" t="s">
        <v>5215</v>
      </c>
      <c r="C1178" s="3" t="s">
        <v>13</v>
      </c>
      <c r="D1178" s="3" t="s">
        <v>6077</v>
      </c>
      <c r="E1178" s="3" t="s">
        <v>6078</v>
      </c>
      <c r="F1178" s="3" t="s">
        <v>66</v>
      </c>
      <c r="G1178" s="3" t="s">
        <v>2031</v>
      </c>
      <c r="H1178" s="3" t="s">
        <v>5216</v>
      </c>
      <c r="I1178" s="3" t="s">
        <v>5217</v>
      </c>
      <c r="J1178" s="3" t="s">
        <v>5218</v>
      </c>
      <c r="K1178" s="3" t="s">
        <v>5219</v>
      </c>
      <c r="L1178" s="3" t="s">
        <v>5220</v>
      </c>
      <c r="M1178" s="3" t="str">
        <f>HYPERLINK("https://ceds.ed.gov/cedselementdetails.aspx?termid=5250")</f>
        <v>https://ceds.ed.gov/cedselementdetails.aspx?termid=5250</v>
      </c>
      <c r="N1178" s="3" t="str">
        <f>HYPERLINK("https://ceds.ed.gov/elementComment.aspx?elementName=School Codes for the Exchange of Data Sequence of Course &amp;elementID=5250", "Click here to submit comment")</f>
        <v>Click here to submit comment</v>
      </c>
    </row>
    <row r="1179" spans="1:14" ht="375">
      <c r="A1179" s="3" t="s">
        <v>5221</v>
      </c>
      <c r="B1179" s="3" t="s">
        <v>265</v>
      </c>
      <c r="C1179" s="4" t="s">
        <v>6645</v>
      </c>
      <c r="D1179" s="3" t="s">
        <v>6307</v>
      </c>
      <c r="E1179" s="3" t="s">
        <v>6308</v>
      </c>
      <c r="F1179" s="3"/>
      <c r="G1179" s="3"/>
      <c r="H1179" s="3"/>
      <c r="I1179" s="3"/>
      <c r="J1179" s="3" t="s">
        <v>5222</v>
      </c>
      <c r="K1179" s="3"/>
      <c r="L1179" s="3" t="s">
        <v>5223</v>
      </c>
      <c r="M1179" s="3" t="str">
        <f>HYPERLINK("https://ceds.ed.gov/cedselementdetails.aspx?termid=5161")</f>
        <v>https://ceds.ed.gov/cedselementdetails.aspx?termid=5161</v>
      </c>
      <c r="N1179" s="3" t="str">
        <f>HYPERLINK("https://ceds.ed.gov/elementComment.aspx?elementName=School Identification System &amp;elementID=5161", "Click here to submit comment")</f>
        <v>Click here to submit comment</v>
      </c>
    </row>
    <row r="1180" spans="1:14" ht="375">
      <c r="A1180" s="3" t="s">
        <v>5224</v>
      </c>
      <c r="B1180" s="3" t="s">
        <v>269</v>
      </c>
      <c r="C1180" s="3" t="s">
        <v>13</v>
      </c>
      <c r="D1180" s="3" t="s">
        <v>6307</v>
      </c>
      <c r="E1180" s="3" t="s">
        <v>6308</v>
      </c>
      <c r="F1180" s="3"/>
      <c r="G1180" s="3" t="s">
        <v>100</v>
      </c>
      <c r="H1180" s="3"/>
      <c r="I1180" s="3"/>
      <c r="J1180" s="3" t="s">
        <v>5225</v>
      </c>
      <c r="K1180" s="3"/>
      <c r="L1180" s="3" t="s">
        <v>5226</v>
      </c>
      <c r="M1180" s="3" t="str">
        <f>HYPERLINK("https://ceds.ed.gov/cedselementdetails.aspx?termid=5155")</f>
        <v>https://ceds.ed.gov/cedselementdetails.aspx?termid=5155</v>
      </c>
      <c r="N1180" s="3" t="str">
        <f>HYPERLINK("https://ceds.ed.gov/elementComment.aspx?elementName=School Identifier &amp;elementID=5155", "Click here to submit comment")</f>
        <v>Click here to submit comment</v>
      </c>
    </row>
    <row r="1181" spans="1:14" ht="30">
      <c r="A1181" s="3" t="s">
        <v>5227</v>
      </c>
      <c r="B1181" s="3" t="s">
        <v>5228</v>
      </c>
      <c r="C1181" s="3" t="s">
        <v>13</v>
      </c>
      <c r="D1181" s="3" t="s">
        <v>2822</v>
      </c>
      <c r="E1181" s="3" t="s">
        <v>207</v>
      </c>
      <c r="F1181" s="3"/>
      <c r="G1181" s="3" t="s">
        <v>1461</v>
      </c>
      <c r="H1181" s="3"/>
      <c r="I1181" s="3"/>
      <c r="J1181" s="3" t="s">
        <v>5229</v>
      </c>
      <c r="K1181" s="3"/>
      <c r="L1181" s="3" t="s">
        <v>5230</v>
      </c>
      <c r="M1181" s="3" t="str">
        <f>HYPERLINK("https://ceds.ed.gov/cedselementdetails.aspx?termid=5471")</f>
        <v>https://ceds.ed.gov/cedselementdetails.aspx?termid=5471</v>
      </c>
      <c r="N1181" s="3" t="str">
        <f>HYPERLINK("https://ceds.ed.gov/elementComment.aspx?elementName=School Improvement Allocation &amp;elementID=5471", "Click here to submit comment")</f>
        <v>Click here to submit comment</v>
      </c>
    </row>
    <row r="1182" spans="1:14" ht="30">
      <c r="A1182" s="3" t="s">
        <v>5231</v>
      </c>
      <c r="B1182" s="3" t="s">
        <v>5232</v>
      </c>
      <c r="C1182" s="3" t="s">
        <v>13</v>
      </c>
      <c r="D1182" s="3" t="s">
        <v>1806</v>
      </c>
      <c r="E1182" s="3" t="s">
        <v>207</v>
      </c>
      <c r="F1182" s="3"/>
      <c r="G1182" s="3" t="s">
        <v>73</v>
      </c>
      <c r="H1182" s="3"/>
      <c r="I1182" s="3"/>
      <c r="J1182" s="3" t="s">
        <v>5233</v>
      </c>
      <c r="K1182" s="3"/>
      <c r="L1182" s="3" t="s">
        <v>5234</v>
      </c>
      <c r="M1182" s="3" t="str">
        <f>HYPERLINK("https://ceds.ed.gov/cedselementdetails.aspx?termid=5472")</f>
        <v>https://ceds.ed.gov/cedselementdetails.aspx?termid=5472</v>
      </c>
      <c r="N1182" s="3" t="str">
        <f>HYPERLINK("https://ceds.ed.gov/elementComment.aspx?elementName=School Improvement Exit Date &amp;elementID=5472", "Click here to submit comment")</f>
        <v>Click here to submit comment</v>
      </c>
    </row>
    <row r="1183" spans="1:14" ht="45">
      <c r="A1183" s="3" t="s">
        <v>5235</v>
      </c>
      <c r="B1183" s="3" t="s">
        <v>5236</v>
      </c>
      <c r="C1183" s="3" t="s">
        <v>5963</v>
      </c>
      <c r="D1183" s="3" t="s">
        <v>1806</v>
      </c>
      <c r="E1183" s="3" t="s">
        <v>218</v>
      </c>
      <c r="F1183" s="3"/>
      <c r="G1183" s="3"/>
      <c r="H1183" s="3"/>
      <c r="I1183" s="3"/>
      <c r="J1183" s="3" t="s">
        <v>5237</v>
      </c>
      <c r="K1183" s="3"/>
      <c r="L1183" s="3" t="s">
        <v>5238</v>
      </c>
      <c r="M1183" s="3" t="str">
        <f>HYPERLINK("https://ceds.ed.gov/cedselementdetails.aspx?termid=5238")</f>
        <v>https://ceds.ed.gov/cedselementdetails.aspx?termid=5238</v>
      </c>
      <c r="N1183" s="3" t="str">
        <f>HYPERLINK("https://ceds.ed.gov/elementComment.aspx?elementName=School Improvement Funds Status &amp;elementID=5238", "Click here to submit comment")</f>
        <v>Click here to submit comment</v>
      </c>
    </row>
    <row r="1184" spans="1:14" ht="90">
      <c r="A1184" s="3" t="s">
        <v>5239</v>
      </c>
      <c r="B1184" s="3" t="s">
        <v>5240</v>
      </c>
      <c r="C1184" s="4" t="s">
        <v>6646</v>
      </c>
      <c r="D1184" s="3" t="s">
        <v>1764</v>
      </c>
      <c r="E1184" s="3" t="s">
        <v>218</v>
      </c>
      <c r="F1184" s="3"/>
      <c r="G1184" s="3"/>
      <c r="H1184" s="3"/>
      <c r="I1184" s="3"/>
      <c r="J1184" s="3" t="s">
        <v>5241</v>
      </c>
      <c r="K1184" s="3"/>
      <c r="L1184" s="3" t="s">
        <v>5242</v>
      </c>
      <c r="M1184" s="3" t="str">
        <f>HYPERLINK("https://ceds.ed.gov/cedselementdetails.aspx?termid=5239")</f>
        <v>https://ceds.ed.gov/cedselementdetails.aspx?termid=5239</v>
      </c>
      <c r="N1184" s="3" t="str">
        <f>HYPERLINK("https://ceds.ed.gov/elementComment.aspx?elementName=School Improvement Grant Intervention Type &amp;elementID=5239", "Click here to submit comment")</f>
        <v>Click here to submit comment</v>
      </c>
    </row>
    <row r="1185" spans="1:14" ht="105">
      <c r="A1185" s="3" t="s">
        <v>5243</v>
      </c>
      <c r="B1185" s="3" t="s">
        <v>5244</v>
      </c>
      <c r="C1185" s="3" t="s">
        <v>13</v>
      </c>
      <c r="D1185" s="3" t="s">
        <v>2822</v>
      </c>
      <c r="E1185" s="3" t="s">
        <v>207</v>
      </c>
      <c r="F1185" s="3"/>
      <c r="G1185" s="3" t="s">
        <v>740</v>
      </c>
      <c r="H1185" s="3"/>
      <c r="I1185" s="3"/>
      <c r="J1185" s="3" t="s">
        <v>5245</v>
      </c>
      <c r="K1185" s="3"/>
      <c r="L1185" s="3" t="s">
        <v>5246</v>
      </c>
      <c r="M1185" s="3" t="str">
        <f>HYPERLINK("https://ceds.ed.gov/cedselementdetails.aspx?termid=5470")</f>
        <v>https://ceds.ed.gov/cedselementdetails.aspx?termid=5470</v>
      </c>
      <c r="N1185" s="3" t="str">
        <f>HYPERLINK("https://ceds.ed.gov/elementComment.aspx?elementName=School Improvement Reserved Funds Percentage &amp;elementID=5470", "Click here to submit comment")</f>
        <v>Click here to submit comment</v>
      </c>
    </row>
    <row r="1186" spans="1:14" ht="105">
      <c r="A1186" s="3" t="s">
        <v>5247</v>
      </c>
      <c r="B1186" s="3" t="s">
        <v>5248</v>
      </c>
      <c r="C1186" s="4" t="s">
        <v>6647</v>
      </c>
      <c r="D1186" s="3" t="s">
        <v>224</v>
      </c>
      <c r="E1186" s="3" t="s">
        <v>218</v>
      </c>
      <c r="F1186" s="3"/>
      <c r="G1186" s="3"/>
      <c r="H1186" s="3"/>
      <c r="I1186" s="3"/>
      <c r="J1186" s="3" t="s">
        <v>5249</v>
      </c>
      <c r="K1186" s="3"/>
      <c r="L1186" s="3" t="s">
        <v>5250</v>
      </c>
      <c r="M1186" s="3" t="str">
        <f>HYPERLINK("https://ceds.ed.gov/cedselementdetails.aspx?termid=5240")</f>
        <v>https://ceds.ed.gov/cedselementdetails.aspx?termid=5240</v>
      </c>
      <c r="N1186" s="3" t="str">
        <f>HYPERLINK("https://ceds.ed.gov/elementComment.aspx?elementName=School Improvement Status &amp;elementID=5240", "Click here to submit comment")</f>
        <v>Click here to submit comment</v>
      </c>
    </row>
    <row r="1187" spans="1:14" ht="225">
      <c r="A1187" s="3" t="s">
        <v>5251</v>
      </c>
      <c r="B1187" s="3" t="s">
        <v>5252</v>
      </c>
      <c r="C1187" s="4" t="s">
        <v>6648</v>
      </c>
      <c r="D1187" s="3" t="s">
        <v>224</v>
      </c>
      <c r="E1187" s="3"/>
      <c r="F1187" s="3"/>
      <c r="G1187" s="3"/>
      <c r="H1187" s="3"/>
      <c r="I1187" s="3"/>
      <c r="J1187" s="3" t="s">
        <v>5253</v>
      </c>
      <c r="K1187" s="3"/>
      <c r="L1187" s="3" t="s">
        <v>5254</v>
      </c>
      <c r="M1187" s="3" t="str">
        <f>HYPERLINK("https://ceds.ed.gov/cedselementdetails.aspx?termid=5241")</f>
        <v>https://ceds.ed.gov/cedselementdetails.aspx?termid=5241</v>
      </c>
      <c r="N1187" s="3" t="str">
        <f>HYPERLINK("https://ceds.ed.gov/elementComment.aspx?elementName=School Level &amp;elementID=5241", "Click here to submit comment")</f>
        <v>Click here to submit comment</v>
      </c>
    </row>
    <row r="1188" spans="1:14" ht="135">
      <c r="A1188" s="3" t="s">
        <v>5255</v>
      </c>
      <c r="B1188" s="3" t="s">
        <v>5256</v>
      </c>
      <c r="C1188" s="4" t="s">
        <v>6649</v>
      </c>
      <c r="D1188" s="3" t="s">
        <v>224</v>
      </c>
      <c r="E1188" s="3" t="s">
        <v>218</v>
      </c>
      <c r="F1188" s="3"/>
      <c r="G1188" s="3"/>
      <c r="H1188" s="3"/>
      <c r="I1188" s="3"/>
      <c r="J1188" s="3" t="s">
        <v>5257</v>
      </c>
      <c r="K1188" s="3"/>
      <c r="L1188" s="3" t="s">
        <v>5258</v>
      </c>
      <c r="M1188" s="3" t="str">
        <f>HYPERLINK("https://ceds.ed.gov/cedselementdetails.aspx?termid=5524")</f>
        <v>https://ceds.ed.gov/cedselementdetails.aspx?termid=5524</v>
      </c>
      <c r="N1188" s="3" t="str">
        <f>HYPERLINK("https://ceds.ed.gov/elementComment.aspx?elementName=School Operational Status &amp;elementID=5524", "Click here to submit comment")</f>
        <v>Click here to submit comment</v>
      </c>
    </row>
    <row r="1189" spans="1:14" ht="90">
      <c r="A1189" s="3" t="s">
        <v>5259</v>
      </c>
      <c r="B1189" s="3" t="s">
        <v>5260</v>
      </c>
      <c r="C1189" s="4" t="s">
        <v>6650</v>
      </c>
      <c r="D1189" s="3" t="s">
        <v>224</v>
      </c>
      <c r="E1189" s="3" t="s">
        <v>5968</v>
      </c>
      <c r="F1189" s="3"/>
      <c r="G1189" s="3"/>
      <c r="H1189" s="3"/>
      <c r="I1189" s="3"/>
      <c r="J1189" s="3" t="s">
        <v>5261</v>
      </c>
      <c r="K1189" s="3"/>
      <c r="L1189" s="3" t="s">
        <v>5262</v>
      </c>
      <c r="M1189" s="3" t="str">
        <f>HYPERLINK("https://ceds.ed.gov/cedselementdetails.aspx?termid=5242")</f>
        <v>https://ceds.ed.gov/cedselementdetails.aspx?termid=5242</v>
      </c>
      <c r="N1189" s="3" t="str">
        <f>HYPERLINK("https://ceds.ed.gov/elementComment.aspx?elementName=School Type &amp;elementID=5242", "Click here to submit comment")</f>
        <v>Click here to submit comment</v>
      </c>
    </row>
    <row r="1190" spans="1:14" ht="45">
      <c r="A1190" s="3" t="s">
        <v>5263</v>
      </c>
      <c r="B1190" s="3" t="s">
        <v>5264</v>
      </c>
      <c r="C1190" s="3" t="s">
        <v>13</v>
      </c>
      <c r="D1190" s="3" t="s">
        <v>6309</v>
      </c>
      <c r="E1190" s="3" t="s">
        <v>1780</v>
      </c>
      <c r="F1190" s="3"/>
      <c r="G1190" s="3" t="s">
        <v>1736</v>
      </c>
      <c r="H1190" s="3"/>
      <c r="I1190" s="3" t="s">
        <v>5265</v>
      </c>
      <c r="J1190" s="3" t="s">
        <v>5266</v>
      </c>
      <c r="K1190" s="3"/>
      <c r="L1190" s="3" t="s">
        <v>5267</v>
      </c>
      <c r="M1190" s="3" t="str">
        <f>HYPERLINK("https://ceds.ed.gov/cedselementdetails.aspx?termid=5243")</f>
        <v>https://ceds.ed.gov/cedselementdetails.aspx?termid=5243</v>
      </c>
      <c r="N1190" s="3" t="str">
        <f>HYPERLINK("https://ceds.ed.gov/elementComment.aspx?elementName=School Year &amp;elementID=5243", "Click here to submit comment")</f>
        <v>Click here to submit comment</v>
      </c>
    </row>
    <row r="1191" spans="1:14" ht="105">
      <c r="A1191" s="3" t="s">
        <v>5268</v>
      </c>
      <c r="B1191" s="3" t="s">
        <v>5269</v>
      </c>
      <c r="C1191" s="3" t="s">
        <v>13</v>
      </c>
      <c r="D1191" s="3" t="s">
        <v>2116</v>
      </c>
      <c r="E1191" s="3" t="s">
        <v>218</v>
      </c>
      <c r="F1191" s="3"/>
      <c r="G1191" s="3" t="s">
        <v>308</v>
      </c>
      <c r="H1191" s="3"/>
      <c r="I1191" s="3"/>
      <c r="J1191" s="3" t="s">
        <v>5270</v>
      </c>
      <c r="K1191" s="3"/>
      <c r="L1191" s="3" t="s">
        <v>5271</v>
      </c>
      <c r="M1191" s="3" t="str">
        <f>HYPERLINK("https://ceds.ed.gov/cedselementdetails.aspx?termid=5244")</f>
        <v>https://ceds.ed.gov/cedselementdetails.aspx?termid=5244</v>
      </c>
      <c r="N1191" s="3" t="str">
        <f>HYPERLINK("https://ceds.ed.gov/elementComment.aspx?elementName=School Year Minutes &amp;elementID=5244", "Click here to submit comment")</f>
        <v>Click here to submit comment</v>
      </c>
    </row>
    <row r="1192" spans="1:14" ht="150">
      <c r="A1192" s="3" t="s">
        <v>5285</v>
      </c>
      <c r="B1192" s="3" t="s">
        <v>5286</v>
      </c>
      <c r="C1192" s="4" t="s">
        <v>6653</v>
      </c>
      <c r="D1192" s="3" t="s">
        <v>2760</v>
      </c>
      <c r="E1192" s="3"/>
      <c r="F1192" s="3"/>
      <c r="G1192" s="3"/>
      <c r="H1192" s="3"/>
      <c r="I1192" s="3"/>
      <c r="J1192" s="3" t="s">
        <v>5287</v>
      </c>
      <c r="K1192" s="3"/>
      <c r="L1192" s="3" t="s">
        <v>5288</v>
      </c>
      <c r="M1192" s="3" t="str">
        <f>HYPERLINK("https://ceds.ed.gov/cedselementdetails.aspx?termid=5620")</f>
        <v>https://ceds.ed.gov/cedselementdetails.aspx?termid=5620</v>
      </c>
      <c r="N1192" s="3" t="str">
        <f>HYPERLINK("https://ceds.ed.gov/elementComment.aspx?elementName=Secondary Incident Behavior &amp;elementID=5620", "Click here to submit comment")</f>
        <v>Click here to submit comment</v>
      </c>
    </row>
    <row r="1193" spans="1:14" ht="90">
      <c r="A1193" s="3" t="s">
        <v>5289</v>
      </c>
      <c r="B1193" s="3" t="s">
        <v>5290</v>
      </c>
      <c r="C1193" s="3" t="s">
        <v>5963</v>
      </c>
      <c r="D1193" s="3" t="s">
        <v>1466</v>
      </c>
      <c r="E1193" s="3" t="s">
        <v>6200</v>
      </c>
      <c r="F1193" s="3"/>
      <c r="G1193" s="3"/>
      <c r="H1193" s="3"/>
      <c r="I1193" s="3"/>
      <c r="J1193" s="3" t="s">
        <v>5291</v>
      </c>
      <c r="K1193" s="3"/>
      <c r="L1193" s="3" t="s">
        <v>5292</v>
      </c>
      <c r="M1193" s="3" t="str">
        <f>HYPERLINK("https://ceds.ed.gov/cedselementdetails.aspx?termid=5249")</f>
        <v>https://ceds.ed.gov/cedselementdetails.aspx?termid=5249</v>
      </c>
      <c r="N1193" s="3" t="str">
        <f>HYPERLINK("https://ceds.ed.gov/elementComment.aspx?elementName=Section 504 Status &amp;elementID=5249", "Click here to submit comment")</f>
        <v>Click here to submit comment</v>
      </c>
    </row>
    <row r="1194" spans="1:14" ht="45">
      <c r="A1194" s="3" t="s">
        <v>5293</v>
      </c>
      <c r="B1194" s="3" t="s">
        <v>5294</v>
      </c>
      <c r="C1194" s="3" t="s">
        <v>5963</v>
      </c>
      <c r="D1194" s="3" t="s">
        <v>2356</v>
      </c>
      <c r="E1194" s="3" t="s">
        <v>6097</v>
      </c>
      <c r="F1194" s="3"/>
      <c r="G1194" s="3"/>
      <c r="H1194" s="3"/>
      <c r="I1194" s="3"/>
      <c r="J1194" s="3" t="s">
        <v>5295</v>
      </c>
      <c r="K1194" s="3"/>
      <c r="L1194" s="3" t="s">
        <v>5296</v>
      </c>
      <c r="M1194" s="3" t="str">
        <f>HYPERLINK("https://ceds.ed.gov/cedselementdetails.aspx?termid=5821")</f>
        <v>https://ceds.ed.gov/cedselementdetails.aspx?termid=5821</v>
      </c>
      <c r="N1194" s="3" t="str">
        <f>HYPERLINK("https://ceds.ed.gov/elementComment.aspx?elementName=Serves Children with Special Needs &amp;elementID=5821", "Click here to submit comment")</f>
        <v>Click here to submit comment</v>
      </c>
    </row>
    <row r="1195" spans="1:14" ht="60">
      <c r="A1195" s="3" t="s">
        <v>5297</v>
      </c>
      <c r="B1195" s="3" t="s">
        <v>5298</v>
      </c>
      <c r="C1195" s="3" t="s">
        <v>13</v>
      </c>
      <c r="D1195" s="3" t="s">
        <v>383</v>
      </c>
      <c r="E1195" s="3"/>
      <c r="F1195" s="3"/>
      <c r="G1195" s="3" t="s">
        <v>73</v>
      </c>
      <c r="H1195" s="3"/>
      <c r="I1195" s="3"/>
      <c r="J1195" s="3" t="s">
        <v>5299</v>
      </c>
      <c r="K1195" s="3"/>
      <c r="L1195" s="3" t="s">
        <v>5300</v>
      </c>
      <c r="M1195" s="3" t="str">
        <f>HYPERLINK("https://ceds.ed.gov/cedselementdetails.aspx?termid=5326")</f>
        <v>https://ceds.ed.gov/cedselementdetails.aspx?termid=5326</v>
      </c>
      <c r="N1195" s="3" t="str">
        <f>HYPERLINK("https://ceds.ed.gov/elementComment.aspx?elementName=Service Entry Date &amp;elementID=5326", "Click here to submit comment")</f>
        <v>Click here to submit comment</v>
      </c>
    </row>
    <row r="1196" spans="1:14" ht="60">
      <c r="A1196" s="3" t="s">
        <v>5301</v>
      </c>
      <c r="B1196" s="3" t="s">
        <v>5302</v>
      </c>
      <c r="C1196" s="3" t="s">
        <v>13</v>
      </c>
      <c r="D1196" s="3" t="s">
        <v>383</v>
      </c>
      <c r="E1196" s="3"/>
      <c r="F1196" s="3"/>
      <c r="G1196" s="3" t="s">
        <v>73</v>
      </c>
      <c r="H1196" s="3"/>
      <c r="I1196" s="3"/>
      <c r="J1196" s="3" t="s">
        <v>5303</v>
      </c>
      <c r="K1196" s="3"/>
      <c r="L1196" s="3" t="s">
        <v>5304</v>
      </c>
      <c r="M1196" s="3" t="str">
        <f>HYPERLINK("https://ceds.ed.gov/cedselementdetails.aspx?termid=5327")</f>
        <v>https://ceds.ed.gov/cedselementdetails.aspx?termid=5327</v>
      </c>
      <c r="N1196" s="3" t="str">
        <f>HYPERLINK("https://ceds.ed.gov/elementComment.aspx?elementName=Service Exit Date &amp;elementID=5327", "Click here to submit comment")</f>
        <v>Click here to submit comment</v>
      </c>
    </row>
    <row r="1197" spans="1:14" ht="105">
      <c r="A1197" s="3" t="s">
        <v>5305</v>
      </c>
      <c r="B1197" s="3" t="s">
        <v>5306</v>
      </c>
      <c r="C1197" s="4" t="s">
        <v>6654</v>
      </c>
      <c r="D1197" s="3" t="s">
        <v>6128</v>
      </c>
      <c r="E1197" s="3" t="s">
        <v>6129</v>
      </c>
      <c r="F1197" s="3"/>
      <c r="G1197" s="3"/>
      <c r="H1197" s="3"/>
      <c r="I1197" s="3"/>
      <c r="J1197" s="3" t="s">
        <v>5307</v>
      </c>
      <c r="K1197" s="3"/>
      <c r="L1197" s="3" t="s">
        <v>5308</v>
      </c>
      <c r="M1197" s="3" t="str">
        <f>HYPERLINK("https://ceds.ed.gov/cedselementdetails.aspx?termid=5352")</f>
        <v>https://ceds.ed.gov/cedselementdetails.aspx?termid=5352</v>
      </c>
      <c r="N1197" s="3" t="str">
        <f>HYPERLINK("https://ceds.ed.gov/elementComment.aspx?elementName=Service Option Variation &amp;elementID=5352", "Click here to submit comment")</f>
        <v>Click here to submit comment</v>
      </c>
    </row>
    <row r="1198" spans="1:14" ht="45">
      <c r="A1198" s="3" t="s">
        <v>5309</v>
      </c>
      <c r="B1198" s="3" t="s">
        <v>5310</v>
      </c>
      <c r="C1198" s="3" t="s">
        <v>5963</v>
      </c>
      <c r="D1198" s="3" t="s">
        <v>2116</v>
      </c>
      <c r="E1198" s="3"/>
      <c r="F1198" s="3"/>
      <c r="G1198" s="3"/>
      <c r="H1198" s="3"/>
      <c r="I1198" s="3"/>
      <c r="J1198" s="3" t="s">
        <v>5311</v>
      </c>
      <c r="K1198" s="3"/>
      <c r="L1198" s="3" t="s">
        <v>5312</v>
      </c>
      <c r="M1198" s="3" t="str">
        <f>HYPERLINK("https://ceds.ed.gov/cedselementdetails.aspx?termid=6240")</f>
        <v>https://ceds.ed.gov/cedselementdetails.aspx?termid=6240</v>
      </c>
      <c r="N1198" s="3" t="str">
        <f>HYPERLINK("https://ceds.ed.gov/elementComment.aspx?elementName=Session Attendance Term Indicator &amp;elementID=6240", "Click here to submit comment")</f>
        <v>Click here to submit comment</v>
      </c>
    </row>
    <row r="1199" spans="1:14" ht="120">
      <c r="A1199" s="3" t="s">
        <v>5313</v>
      </c>
      <c r="B1199" s="3" t="s">
        <v>5314</v>
      </c>
      <c r="C1199" s="3" t="s">
        <v>13</v>
      </c>
      <c r="D1199" s="3" t="s">
        <v>6098</v>
      </c>
      <c r="E1199" s="3" t="s">
        <v>6078</v>
      </c>
      <c r="F1199" s="3"/>
      <c r="G1199" s="3" t="s">
        <v>73</v>
      </c>
      <c r="H1199" s="3"/>
      <c r="I1199" s="3"/>
      <c r="J1199" s="3" t="s">
        <v>5315</v>
      </c>
      <c r="K1199" s="3"/>
      <c r="L1199" s="3" t="s">
        <v>5316</v>
      </c>
      <c r="M1199" s="3" t="str">
        <f>HYPERLINK("https://ceds.ed.gov/cedselementdetails.aspx?termid=5251")</f>
        <v>https://ceds.ed.gov/cedselementdetails.aspx?termid=5251</v>
      </c>
      <c r="N1199" s="3" t="str">
        <f>HYPERLINK("https://ceds.ed.gov/elementComment.aspx?elementName=Session Begin Date &amp;elementID=5251", "Click here to submit comment")</f>
        <v>Click here to submit comment</v>
      </c>
    </row>
    <row r="1200" spans="1:14" ht="60">
      <c r="A1200" s="3" t="s">
        <v>5317</v>
      </c>
      <c r="B1200" s="3" t="s">
        <v>5318</v>
      </c>
      <c r="C1200" s="3" t="s">
        <v>13</v>
      </c>
      <c r="D1200" s="3" t="s">
        <v>6309</v>
      </c>
      <c r="E1200" s="3"/>
      <c r="F1200" s="3"/>
      <c r="G1200" s="3" t="s">
        <v>100</v>
      </c>
      <c r="H1200" s="3"/>
      <c r="I1200" s="3"/>
      <c r="J1200" s="3" t="s">
        <v>5319</v>
      </c>
      <c r="K1200" s="3"/>
      <c r="L1200" s="3" t="s">
        <v>5320</v>
      </c>
      <c r="M1200" s="3" t="str">
        <f>HYPERLINK("https://ceds.ed.gov/cedselementdetails.aspx?termid=6236")</f>
        <v>https://ceds.ed.gov/cedselementdetails.aspx?termid=6236</v>
      </c>
      <c r="N1200" s="3" t="str">
        <f>HYPERLINK("https://ceds.ed.gov/elementComment.aspx?elementName=Session Code &amp;elementID=6236", "Click here to submit comment")</f>
        <v>Click here to submit comment</v>
      </c>
    </row>
    <row r="1201" spans="1:14" ht="45">
      <c r="A1201" s="3" t="s">
        <v>5321</v>
      </c>
      <c r="B1201" s="3" t="s">
        <v>5322</v>
      </c>
      <c r="C1201" s="3" t="s">
        <v>13</v>
      </c>
      <c r="D1201" s="3" t="s">
        <v>6309</v>
      </c>
      <c r="E1201" s="3"/>
      <c r="F1201" s="3"/>
      <c r="G1201" s="3" t="s">
        <v>319</v>
      </c>
      <c r="H1201" s="3"/>
      <c r="I1201" s="3"/>
      <c r="J1201" s="3" t="s">
        <v>5323</v>
      </c>
      <c r="K1201" s="3"/>
      <c r="L1201" s="3" t="s">
        <v>5324</v>
      </c>
      <c r="M1201" s="3" t="str">
        <f>HYPERLINK("https://ceds.ed.gov/cedselementdetails.aspx?termid=6237")</f>
        <v>https://ceds.ed.gov/cedselementdetails.aspx?termid=6237</v>
      </c>
      <c r="N1201" s="3" t="str">
        <f>HYPERLINK("https://ceds.ed.gov/elementComment.aspx?elementName=Session Description &amp;elementID=6237", "Click here to submit comment")</f>
        <v>Click here to submit comment</v>
      </c>
    </row>
    <row r="1202" spans="1:14" ht="90">
      <c r="A1202" s="3" t="s">
        <v>5325</v>
      </c>
      <c r="B1202" s="3" t="s">
        <v>5326</v>
      </c>
      <c r="C1202" s="3" t="s">
        <v>13</v>
      </c>
      <c r="D1202" s="3" t="s">
        <v>6310</v>
      </c>
      <c r="E1202" s="3" t="s">
        <v>6093</v>
      </c>
      <c r="F1202" s="3"/>
      <c r="G1202" s="3" t="s">
        <v>2191</v>
      </c>
      <c r="H1202" s="3"/>
      <c r="I1202" s="3"/>
      <c r="J1202" s="3" t="s">
        <v>5327</v>
      </c>
      <c r="K1202" s="3"/>
      <c r="L1202" s="3" t="s">
        <v>5328</v>
      </c>
      <c r="M1202" s="3" t="str">
        <f>HYPERLINK("https://ceds.ed.gov/cedselementdetails.aspx?termid=5252")</f>
        <v>https://ceds.ed.gov/cedselementdetails.aspx?termid=5252</v>
      </c>
      <c r="N1202" s="3" t="str">
        <f>HYPERLINK("https://ceds.ed.gov/elementComment.aspx?elementName=Session Designator &amp;elementID=5252", "Click here to submit comment")</f>
        <v>Click here to submit comment</v>
      </c>
    </row>
    <row r="1203" spans="1:14" ht="120">
      <c r="A1203" s="3" t="s">
        <v>5329</v>
      </c>
      <c r="B1203" s="3" t="s">
        <v>5330</v>
      </c>
      <c r="C1203" s="3" t="s">
        <v>13</v>
      </c>
      <c r="D1203" s="3" t="s">
        <v>6098</v>
      </c>
      <c r="E1203" s="3" t="s">
        <v>6078</v>
      </c>
      <c r="F1203" s="3"/>
      <c r="G1203" s="3" t="s">
        <v>73</v>
      </c>
      <c r="H1203" s="3"/>
      <c r="I1203" s="3"/>
      <c r="J1203" s="3" t="s">
        <v>5331</v>
      </c>
      <c r="K1203" s="3"/>
      <c r="L1203" s="3" t="s">
        <v>5332</v>
      </c>
      <c r="M1203" s="3" t="str">
        <f>HYPERLINK("https://ceds.ed.gov/cedselementdetails.aspx?termid=5253")</f>
        <v>https://ceds.ed.gov/cedselementdetails.aspx?termid=5253</v>
      </c>
      <c r="N1203" s="3" t="str">
        <f>HYPERLINK("https://ceds.ed.gov/elementComment.aspx?elementName=Session End Date &amp;elementID=5253", "Click here to submit comment")</f>
        <v>Click here to submit comment</v>
      </c>
    </row>
    <row r="1204" spans="1:14" ht="30">
      <c r="A1204" s="3" t="s">
        <v>5333</v>
      </c>
      <c r="B1204" s="3" t="s">
        <v>5334</v>
      </c>
      <c r="C1204" s="3" t="s">
        <v>13</v>
      </c>
      <c r="D1204" s="3" t="s">
        <v>2186</v>
      </c>
      <c r="E1204" s="3" t="s">
        <v>6097</v>
      </c>
      <c r="F1204" s="3"/>
      <c r="G1204" s="3" t="s">
        <v>426</v>
      </c>
      <c r="H1204" s="3"/>
      <c r="I1204" s="3"/>
      <c r="J1204" s="3" t="s">
        <v>5335</v>
      </c>
      <c r="K1204" s="3"/>
      <c r="L1204" s="3" t="s">
        <v>5336</v>
      </c>
      <c r="M1204" s="3" t="str">
        <f>HYPERLINK("https://ceds.ed.gov/cedselementdetails.aspx?termid=5988")</f>
        <v>https://ceds.ed.gov/cedselementdetails.aspx?termid=5988</v>
      </c>
      <c r="N1204" s="3" t="str">
        <f>HYPERLINK("https://ceds.ed.gov/elementComment.aspx?elementName=Session End Time &amp;elementID=5988", "Click here to submit comment")</f>
        <v>Click here to submit comment</v>
      </c>
    </row>
    <row r="1205" spans="1:14" ht="45">
      <c r="A1205" s="3" t="s">
        <v>5337</v>
      </c>
      <c r="B1205" s="3" t="s">
        <v>5338</v>
      </c>
      <c r="C1205" s="3" t="s">
        <v>5963</v>
      </c>
      <c r="D1205" s="3" t="s">
        <v>6309</v>
      </c>
      <c r="E1205" s="3"/>
      <c r="F1205" s="3"/>
      <c r="G1205" s="3"/>
      <c r="H1205" s="3"/>
      <c r="I1205" s="3"/>
      <c r="J1205" s="3" t="s">
        <v>5339</v>
      </c>
      <c r="K1205" s="3"/>
      <c r="L1205" s="3" t="s">
        <v>5340</v>
      </c>
      <c r="M1205" s="3" t="str">
        <f>HYPERLINK("https://ceds.ed.gov/cedselementdetails.aspx?termid=6238")</f>
        <v>https://ceds.ed.gov/cedselementdetails.aspx?termid=6238</v>
      </c>
      <c r="N1205" s="3" t="str">
        <f>HYPERLINK("https://ceds.ed.gov/elementComment.aspx?elementName=Session Marking Term Indicator &amp;elementID=6238", "Click here to submit comment")</f>
        <v>Click here to submit comment</v>
      </c>
    </row>
    <row r="1206" spans="1:14" ht="45">
      <c r="A1206" s="3" t="s">
        <v>5341</v>
      </c>
      <c r="B1206" s="3" t="s">
        <v>5342</v>
      </c>
      <c r="C1206" s="3" t="s">
        <v>5963</v>
      </c>
      <c r="D1206" s="3" t="s">
        <v>6309</v>
      </c>
      <c r="E1206" s="3"/>
      <c r="F1206" s="3"/>
      <c r="G1206" s="3"/>
      <c r="H1206" s="3"/>
      <c r="I1206" s="3"/>
      <c r="J1206" s="3" t="s">
        <v>5343</v>
      </c>
      <c r="K1206" s="3"/>
      <c r="L1206" s="3" t="s">
        <v>5344</v>
      </c>
      <c r="M1206" s="3" t="str">
        <f>HYPERLINK("https://ceds.ed.gov/cedselementdetails.aspx?termid=6239")</f>
        <v>https://ceds.ed.gov/cedselementdetails.aspx?termid=6239</v>
      </c>
      <c r="N1206" s="3" t="str">
        <f>HYPERLINK("https://ceds.ed.gov/elementComment.aspx?elementName=Session Scheduling Term Indicator &amp;elementID=6239", "Click here to submit comment")</f>
        <v>Click here to submit comment</v>
      </c>
    </row>
    <row r="1207" spans="1:14" ht="30">
      <c r="A1207" s="3" t="s">
        <v>5345</v>
      </c>
      <c r="B1207" s="3" t="s">
        <v>5346</v>
      </c>
      <c r="C1207" s="3" t="s">
        <v>13</v>
      </c>
      <c r="D1207" s="3" t="s">
        <v>2186</v>
      </c>
      <c r="E1207" s="3" t="s">
        <v>6097</v>
      </c>
      <c r="F1207" s="3"/>
      <c r="G1207" s="3" t="s">
        <v>426</v>
      </c>
      <c r="H1207" s="3"/>
      <c r="I1207" s="3"/>
      <c r="J1207" s="3" t="s">
        <v>5347</v>
      </c>
      <c r="K1207" s="3"/>
      <c r="L1207" s="3" t="s">
        <v>5348</v>
      </c>
      <c r="M1207" s="3" t="str">
        <f>HYPERLINK("https://ceds.ed.gov/cedselementdetails.aspx?termid=5986")</f>
        <v>https://ceds.ed.gov/cedselementdetails.aspx?termid=5986</v>
      </c>
      <c r="N1207" s="3" t="str">
        <f>HYPERLINK("https://ceds.ed.gov/elementComment.aspx?elementName=Session Start Time &amp;elementID=5986", "Click here to submit comment")</f>
        <v>Click here to submit comment</v>
      </c>
    </row>
    <row r="1208" spans="1:14" ht="180">
      <c r="A1208" s="3" t="s">
        <v>5349</v>
      </c>
      <c r="B1208" s="3" t="s">
        <v>5350</v>
      </c>
      <c r="C1208" s="4" t="s">
        <v>6655</v>
      </c>
      <c r="D1208" s="3" t="s">
        <v>6098</v>
      </c>
      <c r="E1208" s="3" t="s">
        <v>6078</v>
      </c>
      <c r="F1208" s="3"/>
      <c r="G1208" s="3"/>
      <c r="H1208" s="3"/>
      <c r="I1208" s="3"/>
      <c r="J1208" s="3" t="s">
        <v>5351</v>
      </c>
      <c r="K1208" s="3"/>
      <c r="L1208" s="3" t="s">
        <v>5352</v>
      </c>
      <c r="M1208" s="3" t="str">
        <f>HYPERLINK("https://ceds.ed.gov/cedselementdetails.aspx?termid=5254")</f>
        <v>https://ceds.ed.gov/cedselementdetails.aspx?termid=5254</v>
      </c>
      <c r="N1208" s="3" t="str">
        <f>HYPERLINK("https://ceds.ed.gov/elementComment.aspx?elementName=Session Type &amp;elementID=5254", "Click here to submit comment")</f>
        <v>Click here to submit comment</v>
      </c>
    </row>
    <row r="1209" spans="1:14" ht="360">
      <c r="A1209" s="3" t="s">
        <v>5353</v>
      </c>
      <c r="B1209" s="3" t="s">
        <v>5354</v>
      </c>
      <c r="C1209" s="4" t="s">
        <v>6656</v>
      </c>
      <c r="D1209" s="3" t="s">
        <v>6311</v>
      </c>
      <c r="E1209" s="3" t="s">
        <v>6312</v>
      </c>
      <c r="F1209" s="3" t="s">
        <v>3</v>
      </c>
      <c r="G1209" s="3"/>
      <c r="H1209" s="3"/>
      <c r="I1209" s="3" t="s">
        <v>5355</v>
      </c>
      <c r="J1209" s="3" t="s">
        <v>5356</v>
      </c>
      <c r="K1209" s="3"/>
      <c r="L1209" s="3" t="s">
        <v>5353</v>
      </c>
      <c r="M1209" s="3" t="str">
        <f>HYPERLINK("https://ceds.ed.gov/cedselementdetails.aspx?termid=5255")</f>
        <v>https://ceds.ed.gov/cedselementdetails.aspx?termid=5255</v>
      </c>
      <c r="N1209" s="3" t="str">
        <f>HYPERLINK("https://ceds.ed.gov/elementComment.aspx?elementName=Sex &amp;elementID=5255", "Click here to submit comment")</f>
        <v>Click here to submit comment</v>
      </c>
    </row>
    <row r="1210" spans="1:14" ht="90">
      <c r="A1210" s="3" t="s">
        <v>5357</v>
      </c>
      <c r="B1210" s="3" t="s">
        <v>5358</v>
      </c>
      <c r="C1210" s="3" t="s">
        <v>5963</v>
      </c>
      <c r="D1210" s="3" t="s">
        <v>224</v>
      </c>
      <c r="E1210" s="3" t="s">
        <v>218</v>
      </c>
      <c r="F1210" s="3"/>
      <c r="G1210" s="3"/>
      <c r="H1210" s="3"/>
      <c r="I1210" s="3"/>
      <c r="J1210" s="3" t="s">
        <v>5359</v>
      </c>
      <c r="K1210" s="3"/>
      <c r="L1210" s="3" t="s">
        <v>5360</v>
      </c>
      <c r="M1210" s="3" t="str">
        <f>HYPERLINK("https://ceds.ed.gov/cedselementdetails.aspx?termid=5257")</f>
        <v>https://ceds.ed.gov/cedselementdetails.aspx?termid=5257</v>
      </c>
      <c r="N1210" s="3" t="str">
        <f>HYPERLINK("https://ceds.ed.gov/elementComment.aspx?elementName=Shared Time Indicator &amp;elementID=5257", "Click here to submit comment")</f>
        <v>Click here to submit comment</v>
      </c>
    </row>
    <row r="1211" spans="1:14" ht="165">
      <c r="A1211" s="3" t="s">
        <v>5361</v>
      </c>
      <c r="B1211" s="3" t="s">
        <v>5362</v>
      </c>
      <c r="C1211" s="3" t="s">
        <v>13</v>
      </c>
      <c r="D1211" s="3" t="s">
        <v>6256</v>
      </c>
      <c r="E1211" s="3"/>
      <c r="F1211" s="3" t="s">
        <v>54</v>
      </c>
      <c r="G1211" s="3" t="s">
        <v>100</v>
      </c>
      <c r="H1211" s="3"/>
      <c r="I1211" s="3" t="s">
        <v>5363</v>
      </c>
      <c r="J1211" s="3" t="s">
        <v>5364</v>
      </c>
      <c r="K1211" s="3"/>
      <c r="L1211" s="3" t="s">
        <v>5365</v>
      </c>
      <c r="M1211" s="3" t="str">
        <f>HYPERLINK("https://ceds.ed.gov/cedselementdetails.aspx?termid=6459")</f>
        <v>https://ceds.ed.gov/cedselementdetails.aspx?termid=6459</v>
      </c>
      <c r="N1211" s="3" t="str">
        <f>HYPERLINK("https://ceds.ed.gov/elementComment.aspx?elementName=Short Name of Institution &amp;elementID=6459", "Click here to submit comment")</f>
        <v>Click here to submit comment</v>
      </c>
    </row>
    <row r="1212" spans="1:14" ht="60">
      <c r="A1212" s="3" t="s">
        <v>5366</v>
      </c>
      <c r="B1212" s="3" t="s">
        <v>5367</v>
      </c>
      <c r="C1212" s="3" t="s">
        <v>5963</v>
      </c>
      <c r="D1212" s="3" t="s">
        <v>6138</v>
      </c>
      <c r="E1212" s="3"/>
      <c r="F1212" s="3"/>
      <c r="G1212" s="3"/>
      <c r="H1212" s="3"/>
      <c r="I1212" s="3"/>
      <c r="J1212" s="3" t="s">
        <v>5368</v>
      </c>
      <c r="K1212" s="3"/>
      <c r="L1212" s="3" t="s">
        <v>5369</v>
      </c>
      <c r="M1212" s="3" t="str">
        <f>HYPERLINK("https://ceds.ed.gov/cedselementdetails.aspx?termid=5505")</f>
        <v>https://ceds.ed.gov/cedselementdetails.aspx?termid=5505</v>
      </c>
      <c r="N1212" s="3" t="str">
        <f>HYPERLINK("https://ceds.ed.gov/elementComment.aspx?elementName=Shortened Expulsion &amp;elementID=5505", "Click here to submit comment")</f>
        <v>Click here to submit comment</v>
      </c>
    </row>
    <row r="1213" spans="1:14" ht="135">
      <c r="A1213" s="3" t="s">
        <v>5370</v>
      </c>
      <c r="B1213" s="3" t="s">
        <v>5371</v>
      </c>
      <c r="C1213" s="3" t="s">
        <v>5963</v>
      </c>
      <c r="D1213" s="3" t="s">
        <v>6313</v>
      </c>
      <c r="E1213" s="3" t="s">
        <v>6101</v>
      </c>
      <c r="F1213" s="3" t="s">
        <v>3</v>
      </c>
      <c r="G1213" s="3"/>
      <c r="H1213" s="3"/>
      <c r="I1213" s="3"/>
      <c r="J1213" s="3" t="s">
        <v>5372</v>
      </c>
      <c r="K1213" s="3"/>
      <c r="L1213" s="3" t="s">
        <v>5373</v>
      </c>
      <c r="M1213" s="3" t="str">
        <f>HYPERLINK("https://ceds.ed.gov/cedselementdetails.aspx?termid=5573")</f>
        <v>https://ceds.ed.gov/cedselementdetails.aspx?termid=5573</v>
      </c>
      <c r="N1213" s="3" t="str">
        <f>HYPERLINK("https://ceds.ed.gov/elementComment.aspx?elementName=Single Parent Or Single Pregnant Woman Status &amp;elementID=5573", "Click here to submit comment")</f>
        <v>Click here to submit comment</v>
      </c>
    </row>
    <row r="1214" spans="1:14" ht="30">
      <c r="A1214" s="3" t="s">
        <v>5374</v>
      </c>
      <c r="B1214" s="3" t="s">
        <v>5375</v>
      </c>
      <c r="C1214" s="3" t="s">
        <v>13</v>
      </c>
      <c r="D1214" s="3" t="s">
        <v>5376</v>
      </c>
      <c r="E1214" s="3" t="s">
        <v>6104</v>
      </c>
      <c r="F1214" s="3"/>
      <c r="G1214" s="3" t="s">
        <v>106</v>
      </c>
      <c r="H1214" s="3"/>
      <c r="I1214" s="3"/>
      <c r="J1214" s="3" t="s">
        <v>5377</v>
      </c>
      <c r="K1214" s="3"/>
      <c r="L1214" s="3" t="s">
        <v>5378</v>
      </c>
      <c r="M1214" s="3" t="str">
        <f>HYPERLINK("https://ceds.ed.gov/cedselementdetails.aspx?termid=5625")</f>
        <v>https://ceds.ed.gov/cedselementdetails.aspx?termid=5625</v>
      </c>
      <c r="N1214" s="3" t="str">
        <f>HYPERLINK("https://ceds.ed.gov/elementComment.aspx?elementName=Site Name &amp;elementID=5625", "Click here to submit comment")</f>
        <v>Click here to submit comment</v>
      </c>
    </row>
    <row r="1215" spans="1:14" ht="120">
      <c r="A1215" s="3" t="s">
        <v>5379</v>
      </c>
      <c r="B1215" s="3" t="s">
        <v>5380</v>
      </c>
      <c r="C1215" s="3" t="s">
        <v>13</v>
      </c>
      <c r="D1215" s="3" t="s">
        <v>6192</v>
      </c>
      <c r="E1215" s="3" t="s">
        <v>6193</v>
      </c>
      <c r="F1215" s="3"/>
      <c r="G1215" s="3" t="s">
        <v>308</v>
      </c>
      <c r="H1215" s="3"/>
      <c r="I1215" s="3"/>
      <c r="J1215" s="3" t="s">
        <v>5381</v>
      </c>
      <c r="K1215" s="3"/>
      <c r="L1215" s="3" t="s">
        <v>5382</v>
      </c>
      <c r="M1215" s="3" t="str">
        <f>HYPERLINK("https://ceds.ed.gov/cedselementdetails.aspx?termid=5294")</f>
        <v>https://ceds.ed.gov/cedselementdetails.aspx?termid=5294</v>
      </c>
      <c r="N1215" s="3" t="str">
        <f>HYPERLINK("https://ceds.ed.gov/elementComment.aspx?elementName=Size of High School Graduating Class &amp;elementID=5294", "Click here to submit comment")</f>
        <v>Click here to submit comment</v>
      </c>
    </row>
    <row r="1216" spans="1:14" ht="409.5">
      <c r="A1216" s="3" t="s">
        <v>5383</v>
      </c>
      <c r="B1216" s="3" t="s">
        <v>5384</v>
      </c>
      <c r="C1216" s="3" t="s">
        <v>13</v>
      </c>
      <c r="D1216" s="3" t="s">
        <v>6314</v>
      </c>
      <c r="E1216" s="3" t="s">
        <v>6315</v>
      </c>
      <c r="F1216" s="3" t="s">
        <v>3</v>
      </c>
      <c r="G1216" s="3" t="s">
        <v>5385</v>
      </c>
      <c r="H1216" s="3"/>
      <c r="I1216" s="3" t="s">
        <v>5386</v>
      </c>
      <c r="J1216" s="3" t="s">
        <v>5387</v>
      </c>
      <c r="K1216" s="3" t="s">
        <v>5388</v>
      </c>
      <c r="L1216" s="3" t="s">
        <v>5389</v>
      </c>
      <c r="M1216" s="3" t="str">
        <f>HYPERLINK("https://ceds.ed.gov/cedselementdetails.aspx?termid=5259")</f>
        <v>https://ceds.ed.gov/cedselementdetails.aspx?termid=5259</v>
      </c>
      <c r="N1216" s="3" t="str">
        <f>HYPERLINK("https://ceds.ed.gov/elementComment.aspx?elementName=Social Security Number &amp;elementID=5259", "Click here to submit comment")</f>
        <v>Click here to submit comment</v>
      </c>
    </row>
    <row r="1217" spans="1:14" ht="60">
      <c r="A1217" s="3" t="s">
        <v>5390</v>
      </c>
      <c r="B1217" s="3" t="s">
        <v>5391</v>
      </c>
      <c r="C1217" s="3" t="s">
        <v>5963</v>
      </c>
      <c r="D1217" s="3" t="s">
        <v>1708</v>
      </c>
      <c r="E1217" s="3" t="s">
        <v>237</v>
      </c>
      <c r="F1217" s="3" t="s">
        <v>66</v>
      </c>
      <c r="G1217" s="3"/>
      <c r="H1217" s="3" t="s">
        <v>94</v>
      </c>
      <c r="I1217" s="3"/>
      <c r="J1217" s="3" t="s">
        <v>5392</v>
      </c>
      <c r="K1217" s="3"/>
      <c r="L1217" s="3" t="s">
        <v>5393</v>
      </c>
      <c r="M1217" s="3" t="str">
        <f>HYPERLINK("https://ceds.ed.gov/cedselementdetails.aspx?termid=5744")</f>
        <v>https://ceds.ed.gov/cedselementdetails.aspx?termid=5744</v>
      </c>
      <c r="N1217" s="3" t="str">
        <f>HYPERLINK("https://ceds.ed.gov/elementComment.aspx?elementName=Sorority Participation Status &amp;elementID=5744", "Click here to submit comment")</f>
        <v>Click here to submit comment</v>
      </c>
    </row>
    <row r="1218" spans="1:14" ht="180">
      <c r="A1218" s="3" t="s">
        <v>5394</v>
      </c>
      <c r="B1218" s="3" t="s">
        <v>5395</v>
      </c>
      <c r="C1218" s="4" t="s">
        <v>6657</v>
      </c>
      <c r="D1218" s="3" t="s">
        <v>2644</v>
      </c>
      <c r="E1218" s="3" t="s">
        <v>5988</v>
      </c>
      <c r="F1218" s="3"/>
      <c r="G1218" s="3"/>
      <c r="H1218" s="3"/>
      <c r="I1218" s="3"/>
      <c r="J1218" s="3" t="s">
        <v>5396</v>
      </c>
      <c r="K1218" s="3"/>
      <c r="L1218" s="3" t="s">
        <v>5397</v>
      </c>
      <c r="M1218" s="3" t="str">
        <f>HYPERLINK("https://ceds.ed.gov/cedselementdetails.aspx?termid=5332")</f>
        <v>https://ceds.ed.gov/cedselementdetails.aspx?termid=5332</v>
      </c>
      <c r="N1218" s="3" t="str">
        <f>HYPERLINK("https://ceds.ed.gov/elementComment.aspx?elementName=Source of Family Income &amp;elementID=5332", "Click here to submit comment")</f>
        <v>Click here to submit comment</v>
      </c>
    </row>
    <row r="1219" spans="1:14" ht="135">
      <c r="A1219" s="3" t="s">
        <v>5398</v>
      </c>
      <c r="B1219" s="3" t="s">
        <v>5399</v>
      </c>
      <c r="C1219" s="4" t="s">
        <v>6658</v>
      </c>
      <c r="D1219" s="3" t="s">
        <v>2439</v>
      </c>
      <c r="E1219" s="3" t="s">
        <v>65</v>
      </c>
      <c r="F1219" s="3"/>
      <c r="G1219" s="3"/>
      <c r="H1219" s="3"/>
      <c r="I1219" s="3"/>
      <c r="J1219" s="3" t="s">
        <v>5400</v>
      </c>
      <c r="K1219" s="3"/>
      <c r="L1219" s="3" t="s">
        <v>5401</v>
      </c>
      <c r="M1219" s="3" t="str">
        <f>HYPERLINK("https://ceds.ed.gov/cedselementdetails.aspx?termid=5852")</f>
        <v>https://ceds.ed.gov/cedselementdetails.aspx?termid=5852</v>
      </c>
      <c r="N1219" s="3" t="str">
        <f>HYPERLINK("https://ceds.ed.gov/elementComment.aspx?elementName=Special Circumstances Population Served &amp;elementID=5852", "Click here to submit comment")</f>
        <v>Click here to submit comment</v>
      </c>
    </row>
    <row r="1220" spans="1:14" ht="45">
      <c r="A1220" s="3" t="s">
        <v>5402</v>
      </c>
      <c r="B1220" s="3" t="s">
        <v>5403</v>
      </c>
      <c r="C1220" s="4" t="s">
        <v>6659</v>
      </c>
      <c r="D1220" s="3" t="s">
        <v>1723</v>
      </c>
      <c r="E1220" s="3" t="s">
        <v>218</v>
      </c>
      <c r="F1220" s="3"/>
      <c r="G1220" s="3"/>
      <c r="H1220" s="3"/>
      <c r="I1220" s="3"/>
      <c r="J1220" s="3" t="s">
        <v>5404</v>
      </c>
      <c r="K1220" s="3"/>
      <c r="L1220" s="3" t="s">
        <v>5405</v>
      </c>
      <c r="M1220" s="3" t="str">
        <f>HYPERLINK("https://ceds.ed.gov/cedselementdetails.aspx?termid=5556")</f>
        <v>https://ceds.ed.gov/cedselementdetails.aspx?termid=5556</v>
      </c>
      <c r="N1220" s="3" t="str">
        <f>HYPERLINK("https://ceds.ed.gov/elementComment.aspx?elementName=Special Education Age Group Taught &amp;elementID=5556", "Click here to submit comment")</f>
        <v>Click here to submit comment</v>
      </c>
    </row>
    <row r="1221" spans="1:14" ht="409.5">
      <c r="A1221" s="3" t="s">
        <v>5406</v>
      </c>
      <c r="B1221" s="3" t="s">
        <v>5407</v>
      </c>
      <c r="C1221" s="4" t="s">
        <v>6660</v>
      </c>
      <c r="D1221" s="3" t="s">
        <v>6316</v>
      </c>
      <c r="E1221" s="3" t="s">
        <v>218</v>
      </c>
      <c r="F1221" s="3" t="s">
        <v>66</v>
      </c>
      <c r="G1221" s="3"/>
      <c r="H1221" s="3" t="s">
        <v>5408</v>
      </c>
      <c r="I1221" s="3"/>
      <c r="J1221" s="3" t="s">
        <v>5409</v>
      </c>
      <c r="K1221" s="3"/>
      <c r="L1221" s="3" t="s">
        <v>5410</v>
      </c>
      <c r="M1221" s="3" t="str">
        <f>HYPERLINK("https://ceds.ed.gov/cedselementdetails.aspx?termid=5260")</f>
        <v>https://ceds.ed.gov/cedselementdetails.aspx?termid=5260</v>
      </c>
      <c r="N1221" s="3" t="str">
        <f>HYPERLINK("https://ceds.ed.gov/elementComment.aspx?elementName=Special Education Exit Reason &amp;elementID=5260", "Click here to submit comment")</f>
        <v>Click here to submit comment</v>
      </c>
    </row>
    <row r="1222" spans="1:14" ht="90">
      <c r="A1222" s="3" t="s">
        <v>5411</v>
      </c>
      <c r="B1222" s="3" t="s">
        <v>5412</v>
      </c>
      <c r="C1222" s="3" t="s">
        <v>13</v>
      </c>
      <c r="D1222" s="3" t="s">
        <v>6317</v>
      </c>
      <c r="E1222" s="3"/>
      <c r="F1222" s="3"/>
      <c r="G1222" s="3" t="s">
        <v>5413</v>
      </c>
      <c r="H1222" s="3"/>
      <c r="I1222" s="3"/>
      <c r="J1222" s="3" t="s">
        <v>5414</v>
      </c>
      <c r="K1222" s="3" t="s">
        <v>5415</v>
      </c>
      <c r="L1222" s="3" t="s">
        <v>5416</v>
      </c>
      <c r="M1222" s="3" t="str">
        <f>HYPERLINK("https://ceds.ed.gov/cedselementdetails.aspx?termid=6208")</f>
        <v>https://ceds.ed.gov/cedselementdetails.aspx?termid=6208</v>
      </c>
      <c r="N1222" s="3" t="str">
        <f>HYPERLINK("https://ceds.ed.gov/elementComment.aspx?elementName=Special Education Full Time Equivalency &amp;elementID=6208", "Click here to submit comment")</f>
        <v>Click here to submit comment</v>
      </c>
    </row>
    <row r="1223" spans="1:14" ht="60">
      <c r="A1223" s="3" t="s">
        <v>5417</v>
      </c>
      <c r="B1223" s="3" t="s">
        <v>5418</v>
      </c>
      <c r="C1223" s="3" t="s">
        <v>5963</v>
      </c>
      <c r="D1223" s="3" t="s">
        <v>1723</v>
      </c>
      <c r="E1223" s="3" t="s">
        <v>218</v>
      </c>
      <c r="F1223" s="3"/>
      <c r="G1223" s="3"/>
      <c r="H1223" s="3"/>
      <c r="I1223" s="3"/>
      <c r="J1223" s="3" t="s">
        <v>5419</v>
      </c>
      <c r="K1223" s="3"/>
      <c r="L1223" s="3" t="s">
        <v>5420</v>
      </c>
      <c r="M1223" s="3" t="str">
        <f>HYPERLINK("https://ceds.ed.gov/cedselementdetails.aspx?termid=5261")</f>
        <v>https://ceds.ed.gov/cedselementdetails.aspx?termid=5261</v>
      </c>
      <c r="N1223" s="3" t="str">
        <f>HYPERLINK("https://ceds.ed.gov/elementComment.aspx?elementName=Special Education Paraprofessional &amp;elementID=5261", "Click here to submit comment")</f>
        <v>Click here to submit comment</v>
      </c>
    </row>
    <row r="1224" spans="1:14" ht="60">
      <c r="A1224" s="3" t="s">
        <v>5421</v>
      </c>
      <c r="B1224" s="3" t="s">
        <v>5422</v>
      </c>
      <c r="C1224" s="3" t="s">
        <v>5963</v>
      </c>
      <c r="D1224" s="3" t="s">
        <v>1723</v>
      </c>
      <c r="E1224" s="3" t="s">
        <v>218</v>
      </c>
      <c r="F1224" s="3"/>
      <c r="G1224" s="3"/>
      <c r="H1224" s="3"/>
      <c r="I1224" s="3"/>
      <c r="J1224" s="3" t="s">
        <v>5423</v>
      </c>
      <c r="K1224" s="3"/>
      <c r="L1224" s="3" t="s">
        <v>5424</v>
      </c>
      <c r="M1224" s="3" t="str">
        <f>HYPERLINK("https://ceds.ed.gov/cedselementdetails.aspx?termid=5262")</f>
        <v>https://ceds.ed.gov/cedselementdetails.aspx?termid=5262</v>
      </c>
      <c r="N1224" s="3" t="str">
        <f>HYPERLINK("https://ceds.ed.gov/elementComment.aspx?elementName=Special Education Related Services Personnel &amp;elementID=5262", "Click here to submit comment")</f>
        <v>Click here to submit comment</v>
      </c>
    </row>
    <row r="1225" spans="1:14" ht="45">
      <c r="A1225" s="3" t="s">
        <v>5425</v>
      </c>
      <c r="B1225" s="3" t="s">
        <v>5426</v>
      </c>
      <c r="C1225" s="3" t="s">
        <v>13</v>
      </c>
      <c r="D1225" s="3" t="s">
        <v>5427</v>
      </c>
      <c r="E1225" s="3" t="s">
        <v>218</v>
      </c>
      <c r="F1225" s="3"/>
      <c r="G1225" s="3" t="s">
        <v>73</v>
      </c>
      <c r="H1225" s="3"/>
      <c r="I1225" s="3"/>
      <c r="J1225" s="3" t="s">
        <v>5428</v>
      </c>
      <c r="K1225" s="3"/>
      <c r="L1225" s="3" t="s">
        <v>5429</v>
      </c>
      <c r="M1225" s="3" t="str">
        <f>HYPERLINK("https://ceds.ed.gov/cedselementdetails.aspx?termid=5263")</f>
        <v>https://ceds.ed.gov/cedselementdetails.aspx?termid=5263</v>
      </c>
      <c r="N1225" s="3" t="str">
        <f>HYPERLINK("https://ceds.ed.gov/elementComment.aspx?elementName=Special Education Services Exit Date &amp;elementID=5263", "Click here to submit comment")</f>
        <v>Click here to submit comment</v>
      </c>
    </row>
    <row r="1226" spans="1:14" ht="270">
      <c r="A1226" s="3" t="s">
        <v>5430</v>
      </c>
      <c r="B1226" s="3" t="s">
        <v>5431</v>
      </c>
      <c r="C1226" s="4" t="s">
        <v>6661</v>
      </c>
      <c r="D1226" s="3" t="s">
        <v>1723</v>
      </c>
      <c r="E1226" s="3" t="s">
        <v>218</v>
      </c>
      <c r="F1226" s="3"/>
      <c r="G1226" s="3"/>
      <c r="H1226" s="3"/>
      <c r="I1226" s="3"/>
      <c r="J1226" s="3" t="s">
        <v>5432</v>
      </c>
      <c r="K1226" s="3"/>
      <c r="L1226" s="3" t="s">
        <v>5433</v>
      </c>
      <c r="M1226" s="3" t="str">
        <f>HYPERLINK("https://ceds.ed.gov/cedselementdetails.aspx?termid=5549")</f>
        <v>https://ceds.ed.gov/cedselementdetails.aspx?termid=5549</v>
      </c>
      <c r="N1226" s="3" t="str">
        <f>HYPERLINK("https://ceds.ed.gov/elementComment.aspx?elementName=Special Education Staff Category &amp;elementID=5549", "Click here to submit comment")</f>
        <v>Click here to submit comment</v>
      </c>
    </row>
    <row r="1227" spans="1:14" ht="60">
      <c r="A1227" s="3" t="s">
        <v>5434</v>
      </c>
      <c r="B1227" s="3" t="s">
        <v>5435</v>
      </c>
      <c r="C1227" s="3" t="s">
        <v>5963</v>
      </c>
      <c r="D1227" s="3" t="s">
        <v>1723</v>
      </c>
      <c r="E1227" s="3" t="s">
        <v>218</v>
      </c>
      <c r="F1227" s="3"/>
      <c r="G1227" s="3"/>
      <c r="H1227" s="3"/>
      <c r="I1227" s="3"/>
      <c r="J1227" s="3" t="s">
        <v>5436</v>
      </c>
      <c r="K1227" s="3"/>
      <c r="L1227" s="3" t="s">
        <v>5437</v>
      </c>
      <c r="M1227" s="3" t="str">
        <f>HYPERLINK("https://ceds.ed.gov/cedselementdetails.aspx?termid=5264")</f>
        <v>https://ceds.ed.gov/cedselementdetails.aspx?termid=5264</v>
      </c>
      <c r="N1227" s="3" t="str">
        <f>HYPERLINK("https://ceds.ed.gov/elementComment.aspx?elementName=Special Education Teacher &amp;elementID=5264", "Click here to submit comment")</f>
        <v>Click here to submit comment</v>
      </c>
    </row>
    <row r="1228" spans="1:14" ht="75">
      <c r="A1228" s="3" t="s">
        <v>5438</v>
      </c>
      <c r="B1228" s="3" t="s">
        <v>5439</v>
      </c>
      <c r="C1228" s="3" t="s">
        <v>5963</v>
      </c>
      <c r="D1228" s="3" t="s">
        <v>5440</v>
      </c>
      <c r="E1228" s="3" t="s">
        <v>65</v>
      </c>
      <c r="F1228" s="3"/>
      <c r="G1228" s="3"/>
      <c r="H1228" s="3"/>
      <c r="I1228" s="3"/>
      <c r="J1228" s="3" t="s">
        <v>5441</v>
      </c>
      <c r="K1228" s="3"/>
      <c r="L1228" s="3" t="s">
        <v>5442</v>
      </c>
      <c r="M1228" s="3" t="str">
        <f>HYPERLINK("https://ceds.ed.gov/cedselementdetails.aspx?termid=6004")</f>
        <v>https://ceds.ed.gov/cedselementdetails.aspx?termid=6004</v>
      </c>
      <c r="N1228" s="3" t="str">
        <f>HYPERLINK("https://ceds.ed.gov/elementComment.aspx?elementName=Special Needs Policy &amp;elementID=6004", "Click here to submit comment")</f>
        <v>Click here to submit comment</v>
      </c>
    </row>
    <row r="1229" spans="1:14" ht="90">
      <c r="A1229" s="3" t="s">
        <v>5443</v>
      </c>
      <c r="B1229" s="3" t="s">
        <v>5444</v>
      </c>
      <c r="C1229" s="3" t="s">
        <v>13</v>
      </c>
      <c r="D1229" s="3" t="s">
        <v>6290</v>
      </c>
      <c r="E1229" s="3"/>
      <c r="F1229" s="3" t="s">
        <v>54</v>
      </c>
      <c r="G1229" s="3" t="s">
        <v>106</v>
      </c>
      <c r="H1229" s="3"/>
      <c r="I1229" s="3"/>
      <c r="J1229" s="3" t="s">
        <v>5445</v>
      </c>
      <c r="K1229" s="3"/>
      <c r="L1229" s="3" t="s">
        <v>5446</v>
      </c>
      <c r="M1229" s="3" t="str">
        <f>HYPERLINK("https://ceds.ed.gov/cedselementdetails.aspx?termid=6461")</f>
        <v>https://ceds.ed.gov/cedselementdetails.aspx?termid=6461</v>
      </c>
      <c r="N1229" s="3" t="str">
        <f>HYPERLINK("https://ceds.ed.gov/elementComment.aspx?elementName=Sponsoring Agency Name &amp;elementID=6461", "Click here to submit comment")</f>
        <v>Click here to submit comment</v>
      </c>
    </row>
    <row r="1230" spans="1:14" ht="225">
      <c r="A1230" s="3" t="s">
        <v>5447</v>
      </c>
      <c r="B1230" s="3" t="s">
        <v>5448</v>
      </c>
      <c r="C1230" s="3" t="s">
        <v>13</v>
      </c>
      <c r="D1230" s="3" t="s">
        <v>6153</v>
      </c>
      <c r="E1230" s="3" t="s">
        <v>1780</v>
      </c>
      <c r="F1230" s="3" t="s">
        <v>3</v>
      </c>
      <c r="G1230" s="3" t="s">
        <v>1461</v>
      </c>
      <c r="H1230" s="3"/>
      <c r="I1230" s="3" t="s">
        <v>5449</v>
      </c>
      <c r="J1230" s="3" t="s">
        <v>5450</v>
      </c>
      <c r="K1230" s="3"/>
      <c r="L1230" s="3" t="s">
        <v>5451</v>
      </c>
      <c r="M1230" s="3" t="str">
        <f>HYPERLINK("https://ceds.ed.gov/cedselementdetails.aspx?termid=5032")</f>
        <v>https://ceds.ed.gov/cedselementdetails.aspx?termid=5032</v>
      </c>
      <c r="N1230" s="3" t="str">
        <f>HYPERLINK("https://ceds.ed.gov/elementComment.aspx?elementName=Staff Compensation Base Salary &amp;elementID=5032", "Click here to submit comment")</f>
        <v>Click here to submit comment</v>
      </c>
    </row>
    <row r="1231" spans="1:14" ht="105">
      <c r="A1231" s="3" t="s">
        <v>5452</v>
      </c>
      <c r="B1231" s="3" t="s">
        <v>5453</v>
      </c>
      <c r="C1231" s="3" t="s">
        <v>13</v>
      </c>
      <c r="D1231" s="3" t="s">
        <v>1779</v>
      </c>
      <c r="E1231" s="3" t="s">
        <v>1780</v>
      </c>
      <c r="F1231" s="3"/>
      <c r="G1231" s="3" t="s">
        <v>1461</v>
      </c>
      <c r="H1231" s="3"/>
      <c r="I1231" s="3"/>
      <c r="J1231" s="3" t="s">
        <v>5454</v>
      </c>
      <c r="K1231" s="3"/>
      <c r="L1231" s="3" t="s">
        <v>5455</v>
      </c>
      <c r="M1231" s="3" t="str">
        <f>HYPERLINK("https://ceds.ed.gov/cedselementdetails.aspx?termid=5136")</f>
        <v>https://ceds.ed.gov/cedselementdetails.aspx?termid=5136</v>
      </c>
      <c r="N1231" s="3" t="str">
        <f>HYPERLINK("https://ceds.ed.gov/elementComment.aspx?elementName=Staff Compensation Health Benefits &amp;elementID=5136", "Click here to submit comment")</f>
        <v>Click here to submit comment</v>
      </c>
    </row>
    <row r="1232" spans="1:14" ht="120">
      <c r="A1232" s="3" t="s">
        <v>5456</v>
      </c>
      <c r="B1232" s="3" t="s">
        <v>5457</v>
      </c>
      <c r="C1232" s="3" t="s">
        <v>13</v>
      </c>
      <c r="D1232" s="3" t="s">
        <v>1779</v>
      </c>
      <c r="E1232" s="3" t="s">
        <v>1780</v>
      </c>
      <c r="F1232" s="3"/>
      <c r="G1232" s="3" t="s">
        <v>1461</v>
      </c>
      <c r="H1232" s="3"/>
      <c r="I1232" s="3"/>
      <c r="J1232" s="3" t="s">
        <v>5458</v>
      </c>
      <c r="K1232" s="3"/>
      <c r="L1232" s="3" t="s">
        <v>5459</v>
      </c>
      <c r="M1232" s="3" t="str">
        <f>HYPERLINK("https://ceds.ed.gov/cedselementdetails.aspx?termid=5205")</f>
        <v>https://ceds.ed.gov/cedselementdetails.aspx?termid=5205</v>
      </c>
      <c r="N1232" s="3" t="str">
        <f>HYPERLINK("https://ceds.ed.gov/elementComment.aspx?elementName=Staff Compensation Other Benefits &amp;elementID=5205", "Click here to submit comment")</f>
        <v>Click here to submit comment</v>
      </c>
    </row>
    <row r="1233" spans="1:14" ht="105">
      <c r="A1233" s="3" t="s">
        <v>5460</v>
      </c>
      <c r="B1233" s="3" t="s">
        <v>5461</v>
      </c>
      <c r="C1233" s="3" t="s">
        <v>13</v>
      </c>
      <c r="D1233" s="3" t="s">
        <v>1779</v>
      </c>
      <c r="E1233" s="3" t="s">
        <v>1780</v>
      </c>
      <c r="F1233" s="3"/>
      <c r="G1233" s="3" t="s">
        <v>1461</v>
      </c>
      <c r="H1233" s="3"/>
      <c r="I1233" s="3"/>
      <c r="J1233" s="3" t="s">
        <v>5462</v>
      </c>
      <c r="K1233" s="3"/>
      <c r="L1233" s="3" t="s">
        <v>5463</v>
      </c>
      <c r="M1233" s="3" t="str">
        <f>HYPERLINK("https://ceds.ed.gov/cedselementdetails.aspx?termid=5233")</f>
        <v>https://ceds.ed.gov/cedselementdetails.aspx?termid=5233</v>
      </c>
      <c r="N1233" s="3" t="str">
        <f>HYPERLINK("https://ceds.ed.gov/elementComment.aspx?elementName=Staff Compensation Retirement Benefits &amp;elementID=5233", "Click here to submit comment")</f>
        <v>Click here to submit comment</v>
      </c>
    </row>
    <row r="1234" spans="1:14" ht="90">
      <c r="A1234" s="3" t="s">
        <v>5464</v>
      </c>
      <c r="B1234" s="3" t="s">
        <v>5465</v>
      </c>
      <c r="C1234" s="3" t="s">
        <v>13</v>
      </c>
      <c r="D1234" s="3" t="s">
        <v>1779</v>
      </c>
      <c r="E1234" s="3" t="s">
        <v>1780</v>
      </c>
      <c r="F1234" s="3"/>
      <c r="G1234" s="3" t="s">
        <v>1461</v>
      </c>
      <c r="H1234" s="3"/>
      <c r="I1234" s="3"/>
      <c r="J1234" s="3" t="s">
        <v>5466</v>
      </c>
      <c r="K1234" s="3"/>
      <c r="L1234" s="3" t="s">
        <v>5467</v>
      </c>
      <c r="M1234" s="3" t="str">
        <f>HYPERLINK("https://ceds.ed.gov/cedselementdetails.aspx?termid=5293")</f>
        <v>https://ceds.ed.gov/cedselementdetails.aspx?termid=5293</v>
      </c>
      <c r="N1234" s="3" t="str">
        <f>HYPERLINK("https://ceds.ed.gov/elementComment.aspx?elementName=Staff Compensation Total Benefits &amp;elementID=5293", "Click here to submit comment")</f>
        <v>Click here to submit comment</v>
      </c>
    </row>
    <row r="1235" spans="1:14" ht="60">
      <c r="A1235" s="3" t="s">
        <v>5468</v>
      </c>
      <c r="B1235" s="3" t="s">
        <v>5469</v>
      </c>
      <c r="C1235" s="3" t="s">
        <v>13</v>
      </c>
      <c r="D1235" s="3" t="s">
        <v>1779</v>
      </c>
      <c r="E1235" s="3" t="s">
        <v>1780</v>
      </c>
      <c r="F1235" s="3"/>
      <c r="G1235" s="3" t="s">
        <v>1461</v>
      </c>
      <c r="H1235" s="3"/>
      <c r="I1235" s="3"/>
      <c r="J1235" s="3" t="s">
        <v>5470</v>
      </c>
      <c r="K1235" s="3"/>
      <c r="L1235" s="3" t="s">
        <v>5471</v>
      </c>
      <c r="M1235" s="3" t="str">
        <f>HYPERLINK("https://ceds.ed.gov/cedselementdetails.aspx?termid=5295")</f>
        <v>https://ceds.ed.gov/cedselementdetails.aspx?termid=5295</v>
      </c>
      <c r="N1235" s="3" t="str">
        <f>HYPERLINK("https://ceds.ed.gov/elementComment.aspx?elementName=Staff Compensation Total Salary &amp;elementID=5295", "Click here to submit comment")</f>
        <v>Click here to submit comment</v>
      </c>
    </row>
    <row r="1236" spans="1:14" ht="75">
      <c r="A1236" s="3" t="s">
        <v>5472</v>
      </c>
      <c r="B1236" s="3" t="s">
        <v>5473</v>
      </c>
      <c r="C1236" s="3" t="s">
        <v>13</v>
      </c>
      <c r="D1236" s="3" t="s">
        <v>388</v>
      </c>
      <c r="E1236" s="3" t="s">
        <v>202</v>
      </c>
      <c r="F1236" s="3"/>
      <c r="G1236" s="3" t="s">
        <v>73</v>
      </c>
      <c r="H1236" s="3"/>
      <c r="I1236" s="3"/>
      <c r="J1236" s="3" t="s">
        <v>5474</v>
      </c>
      <c r="K1236" s="3"/>
      <c r="L1236" s="3" t="s">
        <v>5475</v>
      </c>
      <c r="M1236" s="3" t="str">
        <f>HYPERLINK("https://ceds.ed.gov/cedselementdetails.aspx?termid=5792")</f>
        <v>https://ceds.ed.gov/cedselementdetails.aspx?termid=5792</v>
      </c>
      <c r="N1236" s="3" t="str">
        <f>HYPERLINK("https://ceds.ed.gov/elementComment.aspx?elementName=Staff Education Entry Date &amp;elementID=5792", "Click here to submit comment")</f>
        <v>Click here to submit comment</v>
      </c>
    </row>
    <row r="1237" spans="1:14" ht="75">
      <c r="A1237" s="3" t="s">
        <v>5476</v>
      </c>
      <c r="B1237" s="3" t="s">
        <v>5477</v>
      </c>
      <c r="C1237" s="3" t="s">
        <v>13</v>
      </c>
      <c r="D1237" s="3" t="s">
        <v>388</v>
      </c>
      <c r="E1237" s="3" t="s">
        <v>202</v>
      </c>
      <c r="F1237" s="3"/>
      <c r="G1237" s="3" t="s">
        <v>73</v>
      </c>
      <c r="H1237" s="3"/>
      <c r="I1237" s="3"/>
      <c r="J1237" s="3" t="s">
        <v>5478</v>
      </c>
      <c r="K1237" s="3"/>
      <c r="L1237" s="3" t="s">
        <v>5479</v>
      </c>
      <c r="M1237" s="3" t="str">
        <f>HYPERLINK("https://ceds.ed.gov/cedselementdetails.aspx?termid=5793")</f>
        <v>https://ceds.ed.gov/cedselementdetails.aspx?termid=5793</v>
      </c>
      <c r="N1237" s="3" t="str">
        <f>HYPERLINK("https://ceds.ed.gov/elementComment.aspx?elementName=Staff Education Withdrawal Date &amp;elementID=5793", "Click here to submit comment")</f>
        <v>Click here to submit comment</v>
      </c>
    </row>
    <row r="1238" spans="1:14" ht="30">
      <c r="A1238" s="3" t="s">
        <v>5480</v>
      </c>
      <c r="B1238" s="3" t="s">
        <v>5481</v>
      </c>
      <c r="C1238" s="3" t="s">
        <v>13</v>
      </c>
      <c r="D1238" s="3" t="s">
        <v>2625</v>
      </c>
      <c r="E1238" s="3"/>
      <c r="F1238" s="3"/>
      <c r="G1238" s="3" t="s">
        <v>25</v>
      </c>
      <c r="H1238" s="3"/>
      <c r="I1238" s="3"/>
      <c r="J1238" s="3" t="s">
        <v>5482</v>
      </c>
      <c r="K1238" s="3"/>
      <c r="L1238" s="3" t="s">
        <v>5483</v>
      </c>
      <c r="M1238" s="3" t="str">
        <f>HYPERLINK("https://ceds.ed.gov/cedselementdetails.aspx?termid=5102")</f>
        <v>https://ceds.ed.gov/cedselementdetails.aspx?termid=5102</v>
      </c>
      <c r="N1238" s="3" t="str">
        <f>HYPERLINK("https://ceds.ed.gov/elementComment.aspx?elementName=Staff Evaluation Outcome &amp;elementID=5102", "Click here to submit comment")</f>
        <v>Click here to submit comment</v>
      </c>
    </row>
    <row r="1239" spans="1:14" ht="60">
      <c r="A1239" s="3" t="s">
        <v>5484</v>
      </c>
      <c r="B1239" s="3" t="s">
        <v>5485</v>
      </c>
      <c r="C1239" s="3" t="s">
        <v>13</v>
      </c>
      <c r="D1239" s="3" t="s">
        <v>2625</v>
      </c>
      <c r="E1239" s="3"/>
      <c r="F1239" s="3"/>
      <c r="G1239" s="3" t="s">
        <v>25</v>
      </c>
      <c r="H1239" s="3"/>
      <c r="I1239" s="3"/>
      <c r="J1239" s="3" t="s">
        <v>5486</v>
      </c>
      <c r="K1239" s="3"/>
      <c r="L1239" s="3" t="s">
        <v>5487</v>
      </c>
      <c r="M1239" s="3" t="str">
        <f>HYPERLINK("https://ceds.ed.gov/cedselementdetails.aspx?termid=5103")</f>
        <v>https://ceds.ed.gov/cedselementdetails.aspx?termid=5103</v>
      </c>
      <c r="N1239" s="3" t="str">
        <f>HYPERLINK("https://ceds.ed.gov/elementComment.aspx?elementName=Staff Evaluation Scale &amp;elementID=5103", "Click here to submit comment")</f>
        <v>Click here to submit comment</v>
      </c>
    </row>
    <row r="1240" spans="1:14" ht="30">
      <c r="A1240" s="3" t="s">
        <v>5488</v>
      </c>
      <c r="B1240" s="3" t="s">
        <v>5489</v>
      </c>
      <c r="C1240" s="3" t="s">
        <v>13</v>
      </c>
      <c r="D1240" s="3" t="s">
        <v>2625</v>
      </c>
      <c r="E1240" s="3"/>
      <c r="F1240" s="3"/>
      <c r="G1240" s="3" t="s">
        <v>106</v>
      </c>
      <c r="H1240" s="3"/>
      <c r="I1240" s="3"/>
      <c r="J1240" s="3" t="s">
        <v>5490</v>
      </c>
      <c r="K1240" s="3"/>
      <c r="L1240" s="3" t="s">
        <v>5491</v>
      </c>
      <c r="M1240" s="3" t="str">
        <f>HYPERLINK("https://ceds.ed.gov/cedselementdetails.aspx?termid=5104")</f>
        <v>https://ceds.ed.gov/cedselementdetails.aspx?termid=5104</v>
      </c>
      <c r="N1240" s="3" t="str">
        <f>HYPERLINK("https://ceds.ed.gov/elementComment.aspx?elementName=Staff Evaluation Score or Rating &amp;elementID=5104", "Click here to submit comment")</f>
        <v>Click here to submit comment</v>
      </c>
    </row>
    <row r="1241" spans="1:14" ht="45">
      <c r="A1241" s="3" t="s">
        <v>5492</v>
      </c>
      <c r="B1241" s="3" t="s">
        <v>5493</v>
      </c>
      <c r="C1241" s="3" t="s">
        <v>13</v>
      </c>
      <c r="D1241" s="3" t="s">
        <v>2625</v>
      </c>
      <c r="E1241" s="3"/>
      <c r="F1241" s="3"/>
      <c r="G1241" s="3" t="s">
        <v>106</v>
      </c>
      <c r="H1241" s="3"/>
      <c r="I1241" s="3"/>
      <c r="J1241" s="3" t="s">
        <v>5494</v>
      </c>
      <c r="K1241" s="3"/>
      <c r="L1241" s="3" t="s">
        <v>5495</v>
      </c>
      <c r="M1241" s="3" t="str">
        <f>HYPERLINK("https://ceds.ed.gov/cedselementdetails.aspx?termid=5105")</f>
        <v>https://ceds.ed.gov/cedselementdetails.aspx?termid=5105</v>
      </c>
      <c r="N1241" s="3" t="str">
        <f>HYPERLINK("https://ceds.ed.gov/elementComment.aspx?elementName=Staff Evaluation System &amp;elementID=5105", "Click here to submit comment")</f>
        <v>Click here to submit comment</v>
      </c>
    </row>
    <row r="1242" spans="1:14" ht="60">
      <c r="A1242" s="3" t="s">
        <v>5496</v>
      </c>
      <c r="B1242" s="3" t="s">
        <v>5497</v>
      </c>
      <c r="C1242" s="3" t="s">
        <v>13</v>
      </c>
      <c r="D1242" s="3" t="s">
        <v>6318</v>
      </c>
      <c r="E1242" s="3" t="s">
        <v>6319</v>
      </c>
      <c r="F1242" s="3" t="s">
        <v>3</v>
      </c>
      <c r="G1242" s="3" t="s">
        <v>5498</v>
      </c>
      <c r="H1242" s="3"/>
      <c r="I1242" s="3"/>
      <c r="J1242" s="3" t="s">
        <v>5499</v>
      </c>
      <c r="K1242" s="3" t="s">
        <v>5500</v>
      </c>
      <c r="L1242" s="3" t="s">
        <v>5501</v>
      </c>
      <c r="M1242" s="3" t="str">
        <f>HYPERLINK("https://ceds.ed.gov/cedselementdetails.aspx?termid=5118")</f>
        <v>https://ceds.ed.gov/cedselementdetails.aspx?termid=5118</v>
      </c>
      <c r="N1242" s="3" t="str">
        <f>HYPERLINK("https://ceds.ed.gov/elementComment.aspx?elementName=Staff Full Time Equivalency &amp;elementID=5118", "Click here to submit comment")</f>
        <v>Click here to submit comment</v>
      </c>
    </row>
    <row r="1243" spans="1:14" ht="345">
      <c r="A1243" s="3" t="s">
        <v>5502</v>
      </c>
      <c r="B1243" s="3" t="s">
        <v>5503</v>
      </c>
      <c r="C1243" s="4" t="s">
        <v>6662</v>
      </c>
      <c r="D1243" s="3" t="s">
        <v>6320</v>
      </c>
      <c r="E1243" s="3" t="s">
        <v>6321</v>
      </c>
      <c r="F1243" s="3" t="s">
        <v>3</v>
      </c>
      <c r="G1243" s="3"/>
      <c r="H1243" s="3"/>
      <c r="I1243" s="3"/>
      <c r="J1243" s="3" t="s">
        <v>5504</v>
      </c>
      <c r="K1243" s="3"/>
      <c r="L1243" s="3" t="s">
        <v>5505</v>
      </c>
      <c r="M1243" s="3" t="str">
        <f>HYPERLINK("https://ceds.ed.gov/cedselementdetails.aspx?termid=5162")</f>
        <v>https://ceds.ed.gov/cedselementdetails.aspx?termid=5162</v>
      </c>
      <c r="N1243" s="3" t="str">
        <f>HYPERLINK("https://ceds.ed.gov/elementComment.aspx?elementName=Staff Member Identification System &amp;elementID=5162", "Click here to submit comment")</f>
        <v>Click here to submit comment</v>
      </c>
    </row>
    <row r="1244" spans="1:14" ht="345">
      <c r="A1244" s="3" t="s">
        <v>5506</v>
      </c>
      <c r="B1244" s="3" t="s">
        <v>5507</v>
      </c>
      <c r="C1244" s="3" t="s">
        <v>13</v>
      </c>
      <c r="D1244" s="3" t="s">
        <v>6320</v>
      </c>
      <c r="E1244" s="3" t="s">
        <v>6322</v>
      </c>
      <c r="F1244" s="3" t="s">
        <v>3</v>
      </c>
      <c r="G1244" s="3" t="s">
        <v>100</v>
      </c>
      <c r="H1244" s="3"/>
      <c r="I1244" s="3"/>
      <c r="J1244" s="3" t="s">
        <v>5508</v>
      </c>
      <c r="K1244" s="3"/>
      <c r="L1244" s="3" t="s">
        <v>5509</v>
      </c>
      <c r="M1244" s="3" t="str">
        <f>HYPERLINK("https://ceds.ed.gov/cedselementdetails.aspx?termid=5156")</f>
        <v>https://ceds.ed.gov/cedselementdetails.aspx?termid=5156</v>
      </c>
      <c r="N1244" s="3" t="str">
        <f>HYPERLINK("https://ceds.ed.gov/elementComment.aspx?elementName=Staff Member Identifier &amp;elementID=5156", "Click here to submit comment")</f>
        <v>Click here to submit comment</v>
      </c>
    </row>
    <row r="1245" spans="1:14" ht="60">
      <c r="A1245" s="3" t="s">
        <v>5510</v>
      </c>
      <c r="B1245" s="3" t="s">
        <v>5511</v>
      </c>
      <c r="C1245" s="3" t="s">
        <v>13</v>
      </c>
      <c r="D1245" s="3" t="s">
        <v>1542</v>
      </c>
      <c r="E1245" s="3" t="s">
        <v>202</v>
      </c>
      <c r="F1245" s="3" t="s">
        <v>66</v>
      </c>
      <c r="G1245" s="3" t="s">
        <v>73</v>
      </c>
      <c r="H1245" s="3" t="s">
        <v>5512</v>
      </c>
      <c r="I1245" s="3"/>
      <c r="J1245" s="3" t="s">
        <v>5513</v>
      </c>
      <c r="K1245" s="3"/>
      <c r="L1245" s="3" t="s">
        <v>5514</v>
      </c>
      <c r="M1245" s="3" t="str">
        <f>HYPERLINK("https://ceds.ed.gov/cedselementdetails.aspx?termid=6068")</f>
        <v>https://ceds.ed.gov/cedselementdetails.aspx?termid=6068</v>
      </c>
      <c r="N1245" s="3" t="str">
        <f>HYPERLINK("https://ceds.ed.gov/elementComment.aspx?elementName=Staff Professional Development Activity Completion Date &amp;elementID=6068", "Click here to submit comment")</f>
        <v>Click here to submit comment</v>
      </c>
    </row>
    <row r="1246" spans="1:14" ht="60">
      <c r="A1246" s="3" t="s">
        <v>5515</v>
      </c>
      <c r="B1246" s="3" t="s">
        <v>5516</v>
      </c>
      <c r="C1246" s="3" t="s">
        <v>13</v>
      </c>
      <c r="D1246" s="3" t="s">
        <v>1542</v>
      </c>
      <c r="E1246" s="3" t="s">
        <v>202</v>
      </c>
      <c r="F1246" s="3" t="s">
        <v>66</v>
      </c>
      <c r="G1246" s="3" t="s">
        <v>73</v>
      </c>
      <c r="H1246" s="3" t="s">
        <v>5512</v>
      </c>
      <c r="I1246" s="3"/>
      <c r="J1246" s="3" t="s">
        <v>5517</v>
      </c>
      <c r="K1246" s="3"/>
      <c r="L1246" s="3" t="s">
        <v>5518</v>
      </c>
      <c r="M1246" s="3" t="str">
        <f>HYPERLINK("https://ceds.ed.gov/cedselementdetails.aspx?termid=6067")</f>
        <v>https://ceds.ed.gov/cedselementdetails.aspx?termid=6067</v>
      </c>
      <c r="N1246" s="3" t="str">
        <f>HYPERLINK("https://ceds.ed.gov/elementComment.aspx?elementName=Staff Professional Development Activity Start Date &amp;elementID=6067", "Click here to submit comment")</f>
        <v>Click here to submit comment</v>
      </c>
    </row>
    <row r="1247" spans="1:14" ht="120">
      <c r="A1247" s="3" t="s">
        <v>5519</v>
      </c>
      <c r="B1247" s="3" t="s">
        <v>5520</v>
      </c>
      <c r="C1247" s="3" t="s">
        <v>13</v>
      </c>
      <c r="D1247" s="3" t="s">
        <v>35</v>
      </c>
      <c r="E1247" s="3" t="s">
        <v>36</v>
      </c>
      <c r="F1247" s="3"/>
      <c r="G1247" s="3" t="s">
        <v>5521</v>
      </c>
      <c r="H1247" s="3"/>
      <c r="I1247" s="3"/>
      <c r="J1247" s="3" t="s">
        <v>5522</v>
      </c>
      <c r="K1247" s="3"/>
      <c r="L1247" s="3" t="s">
        <v>5523</v>
      </c>
      <c r="M1247" s="3" t="str">
        <f>HYPERLINK("https://ceds.ed.gov/cedselementdetails.aspx?termid=5707")</f>
        <v>https://ceds.ed.gov/cedselementdetails.aspx?termid=5707</v>
      </c>
      <c r="N1247" s="3" t="str">
        <f>HYPERLINK("https://ceds.ed.gov/elementComment.aspx?elementName=Standard Occupational Classification &amp;elementID=5707", "Click here to submit comment")</f>
        <v>Click here to submit comment</v>
      </c>
    </row>
    <row r="1248" spans="1:14" ht="45">
      <c r="A1248" s="3" t="s">
        <v>5524</v>
      </c>
      <c r="B1248" s="3" t="s">
        <v>5525</v>
      </c>
      <c r="C1248" s="3" t="s">
        <v>13</v>
      </c>
      <c r="D1248" s="3" t="s">
        <v>5526</v>
      </c>
      <c r="E1248" s="3" t="s">
        <v>1537</v>
      </c>
      <c r="F1248" s="3"/>
      <c r="G1248" s="3" t="s">
        <v>545</v>
      </c>
      <c r="H1248" s="3"/>
      <c r="I1248" s="3"/>
      <c r="J1248" s="3" t="s">
        <v>5527</v>
      </c>
      <c r="K1248" s="3"/>
      <c r="L1248" s="3" t="s">
        <v>5528</v>
      </c>
      <c r="M1248" s="3" t="str">
        <f>HYPERLINK("https://ceds.ed.gov/cedselementdetails.aspx?termid=5265")</f>
        <v>https://ceds.ed.gov/cedselementdetails.aspx?termid=5265</v>
      </c>
      <c r="N1248" s="3" t="str">
        <f>HYPERLINK("https://ceds.ed.gov/elementComment.aspx?elementName=Standardized Admission Test Score &amp;elementID=5265", "Click here to submit comment")</f>
        <v>Click here to submit comment</v>
      </c>
    </row>
    <row r="1249" spans="1:14" ht="255">
      <c r="A1249" s="3" t="s">
        <v>5529</v>
      </c>
      <c r="B1249" s="3" t="s">
        <v>5530</v>
      </c>
      <c r="C1249" s="3" t="s">
        <v>6323</v>
      </c>
      <c r="D1249" s="3" t="s">
        <v>5526</v>
      </c>
      <c r="E1249" s="3" t="s">
        <v>1537</v>
      </c>
      <c r="F1249" s="3"/>
      <c r="G1249" s="3"/>
      <c r="H1249" s="3"/>
      <c r="I1249" s="3"/>
      <c r="J1249" s="3" t="s">
        <v>5531</v>
      </c>
      <c r="K1249" s="3"/>
      <c r="L1249" s="3" t="s">
        <v>5532</v>
      </c>
      <c r="M1249" s="3" t="str">
        <f>HYPERLINK("https://ceds.ed.gov/cedselementdetails.aspx?termid=5266")</f>
        <v>https://ceds.ed.gov/cedselementdetails.aspx?termid=5266</v>
      </c>
      <c r="N1249" s="3" t="str">
        <f>HYPERLINK("https://ceds.ed.gov/elementComment.aspx?elementName=Standardized Admission Test Type &amp;elementID=5266", "Click here to submit comment")</f>
        <v>Click here to submit comment</v>
      </c>
    </row>
    <row r="1250" spans="1:14" ht="409.5">
      <c r="A1250" s="3" t="s">
        <v>5533</v>
      </c>
      <c r="B1250" s="3" t="s">
        <v>5534</v>
      </c>
      <c r="C1250" s="4" t="s">
        <v>6633</v>
      </c>
      <c r="D1250" s="3" t="s">
        <v>5972</v>
      </c>
      <c r="E1250" s="3" t="s">
        <v>6324</v>
      </c>
      <c r="F1250" s="3" t="s">
        <v>3</v>
      </c>
      <c r="G1250" s="3"/>
      <c r="H1250" s="3"/>
      <c r="I1250" s="3"/>
      <c r="J1250" s="3" t="s">
        <v>5535</v>
      </c>
      <c r="K1250" s="3"/>
      <c r="L1250" s="3" t="s">
        <v>5536</v>
      </c>
      <c r="M1250" s="3" t="str">
        <f>HYPERLINK("https://ceds.ed.gov/cedselementdetails.aspx?termid=5267")</f>
        <v>https://ceds.ed.gov/cedselementdetails.aspx?termid=5267</v>
      </c>
      <c r="N1250" s="3" t="str">
        <f>HYPERLINK("https://ceds.ed.gov/elementComment.aspx?elementName=State Abbreviation &amp;elementID=5267", "Click here to submit comment")</f>
        <v>Click here to submit comment</v>
      </c>
    </row>
    <row r="1251" spans="1:14" ht="45">
      <c r="A1251" s="3" t="s">
        <v>5537</v>
      </c>
      <c r="B1251" s="3" t="s">
        <v>5538</v>
      </c>
      <c r="C1251" s="3" t="s">
        <v>6325</v>
      </c>
      <c r="D1251" s="3" t="s">
        <v>5539</v>
      </c>
      <c r="E1251" s="3"/>
      <c r="F1251" s="3" t="s">
        <v>54</v>
      </c>
      <c r="G1251" s="3"/>
      <c r="H1251" s="3"/>
      <c r="I1251" s="3"/>
      <c r="J1251" s="3" t="s">
        <v>5540</v>
      </c>
      <c r="K1251" s="3"/>
      <c r="L1251" s="3" t="s">
        <v>5541</v>
      </c>
      <c r="M1251" s="3" t="str">
        <f>HYPERLINK("https://ceds.ed.gov/cedselementdetails.aspx?termid=6463")</f>
        <v>https://ceds.ed.gov/cedselementdetails.aspx?termid=6463</v>
      </c>
      <c r="N1251" s="3" t="str">
        <f>HYPERLINK("https://ceds.ed.gov/elementComment.aspx?elementName=State Agency Identification System &amp;elementID=6463", "Click here to submit comment")</f>
        <v>Click here to submit comment</v>
      </c>
    </row>
    <row r="1252" spans="1:14" ht="30">
      <c r="A1252" s="3" t="s">
        <v>5542</v>
      </c>
      <c r="B1252" s="3" t="s">
        <v>5543</v>
      </c>
      <c r="C1252" s="3" t="s">
        <v>13</v>
      </c>
      <c r="D1252" s="3" t="s">
        <v>5539</v>
      </c>
      <c r="E1252" s="3"/>
      <c r="F1252" s="3" t="s">
        <v>54</v>
      </c>
      <c r="G1252" s="3" t="s">
        <v>100</v>
      </c>
      <c r="H1252" s="3"/>
      <c r="I1252" s="3"/>
      <c r="J1252" s="3" t="s">
        <v>5544</v>
      </c>
      <c r="K1252" s="3"/>
      <c r="L1252" s="3" t="s">
        <v>5545</v>
      </c>
      <c r="M1252" s="3" t="str">
        <f>HYPERLINK("https://ceds.ed.gov/cedselementdetails.aspx?termid=6462")</f>
        <v>https://ceds.ed.gov/cedselementdetails.aspx?termid=6462</v>
      </c>
      <c r="N1252" s="3" t="str">
        <f>HYPERLINK("https://ceds.ed.gov/elementComment.aspx?elementName=State Agency Identifier &amp;elementID=6462", "Click here to submit comment")</f>
        <v>Click here to submit comment</v>
      </c>
    </row>
    <row r="1253" spans="1:14" ht="409.5">
      <c r="A1253" s="3" t="s">
        <v>5546</v>
      </c>
      <c r="B1253" s="3" t="s">
        <v>5547</v>
      </c>
      <c r="C1253" s="4" t="s">
        <v>6663</v>
      </c>
      <c r="D1253" s="3" t="s">
        <v>5548</v>
      </c>
      <c r="E1253" s="3" t="s">
        <v>6326</v>
      </c>
      <c r="F1253" s="3"/>
      <c r="G1253" s="3"/>
      <c r="H1253" s="3"/>
      <c r="I1253" s="3"/>
      <c r="J1253" s="3" t="s">
        <v>5549</v>
      </c>
      <c r="K1253" s="3"/>
      <c r="L1253" s="3" t="s">
        <v>5550</v>
      </c>
      <c r="M1253" s="3" t="str">
        <f>HYPERLINK("https://ceds.ed.gov/cedselementdetails.aspx?termid=5414")</f>
        <v>https://ceds.ed.gov/cedselementdetails.aspx?termid=5414</v>
      </c>
      <c r="N1253" s="3" t="str">
        <f>HYPERLINK("https://ceds.ed.gov/elementComment.aspx?elementName=State ANSI Code &amp;elementID=5414", "Click here to submit comment")</f>
        <v>Click here to submit comment</v>
      </c>
    </row>
    <row r="1254" spans="1:14" ht="60">
      <c r="A1254" s="3" t="s">
        <v>5551</v>
      </c>
      <c r="B1254" s="3" t="s">
        <v>5552</v>
      </c>
      <c r="C1254" s="3" t="s">
        <v>5963</v>
      </c>
      <c r="D1254" s="3" t="s">
        <v>1542</v>
      </c>
      <c r="E1254" s="3" t="s">
        <v>202</v>
      </c>
      <c r="F1254" s="3"/>
      <c r="G1254" s="3"/>
      <c r="H1254" s="3"/>
      <c r="I1254" s="3"/>
      <c r="J1254" s="3" t="s">
        <v>5553</v>
      </c>
      <c r="K1254" s="3"/>
      <c r="L1254" s="3" t="s">
        <v>5554</v>
      </c>
      <c r="M1254" s="3" t="str">
        <f>HYPERLINK("https://ceds.ed.gov/cedselementdetails.aspx?termid=5814")</f>
        <v>https://ceds.ed.gov/cedselementdetails.aspx?termid=5814</v>
      </c>
      <c r="N1254" s="3" t="str">
        <f>HYPERLINK("https://ceds.ed.gov/elementComment.aspx?elementName=State Approved Technical Assistance Provider Status &amp;elementID=5814", "Click here to submit comment")</f>
        <v>Click here to submit comment</v>
      </c>
    </row>
    <row r="1255" spans="1:14" ht="45">
      <c r="A1255" s="3" t="s">
        <v>5555</v>
      </c>
      <c r="B1255" s="3" t="s">
        <v>5556</v>
      </c>
      <c r="C1255" s="3" t="s">
        <v>5963</v>
      </c>
      <c r="D1255" s="3" t="s">
        <v>1542</v>
      </c>
      <c r="E1255" s="3" t="s">
        <v>202</v>
      </c>
      <c r="F1255" s="3"/>
      <c r="G1255" s="3"/>
      <c r="H1255" s="3"/>
      <c r="I1255" s="3"/>
      <c r="J1255" s="3" t="s">
        <v>5557</v>
      </c>
      <c r="K1255" s="3"/>
      <c r="L1255" s="3" t="s">
        <v>5558</v>
      </c>
      <c r="M1255" s="3" t="str">
        <f>HYPERLINK("https://ceds.ed.gov/cedselementdetails.aspx?termid=5813")</f>
        <v>https://ceds.ed.gov/cedselementdetails.aspx?termid=5813</v>
      </c>
      <c r="N1255" s="3" t="str">
        <f>HYPERLINK("https://ceds.ed.gov/elementComment.aspx?elementName=State Approved Trainer Status &amp;elementID=5813", "Click here to submit comment")</f>
        <v>Click here to submit comment</v>
      </c>
    </row>
    <row r="1256" spans="1:14" ht="120">
      <c r="A1256" s="3" t="s">
        <v>5559</v>
      </c>
      <c r="B1256" s="3" t="s">
        <v>5560</v>
      </c>
      <c r="C1256" s="3" t="s">
        <v>13</v>
      </c>
      <c r="D1256" s="3" t="s">
        <v>1471</v>
      </c>
      <c r="E1256" s="3" t="s">
        <v>207</v>
      </c>
      <c r="F1256" s="3"/>
      <c r="G1256" s="3" t="s">
        <v>740</v>
      </c>
      <c r="H1256" s="3"/>
      <c r="I1256" s="3"/>
      <c r="J1256" s="3" t="s">
        <v>5561</v>
      </c>
      <c r="K1256" s="3"/>
      <c r="L1256" s="3" t="s">
        <v>5562</v>
      </c>
      <c r="M1256" s="3" t="str">
        <f>HYPERLINK("https://ceds.ed.gov/cedselementdetails.aspx?termid=5444")</f>
        <v>https://ceds.ed.gov/cedselementdetails.aspx?termid=5444</v>
      </c>
      <c r="N1256" s="3" t="str">
        <f>HYPERLINK("https://ceds.ed.gov/elementComment.aspx?elementName=State Assessment Administration Funding &amp;elementID=5444", "Click here to submit comment")</f>
        <v>Click here to submit comment</v>
      </c>
    </row>
    <row r="1257" spans="1:14" ht="60">
      <c r="A1257" s="3" t="s">
        <v>5563</v>
      </c>
      <c r="B1257" s="3" t="s">
        <v>5564</v>
      </c>
      <c r="C1257" s="3" t="s">
        <v>13</v>
      </c>
      <c r="D1257" s="3" t="s">
        <v>1471</v>
      </c>
      <c r="E1257" s="3" t="s">
        <v>6327</v>
      </c>
      <c r="F1257" s="3"/>
      <c r="G1257" s="3" t="s">
        <v>740</v>
      </c>
      <c r="H1257" s="3"/>
      <c r="I1257" s="3"/>
      <c r="J1257" s="3" t="s">
        <v>5565</v>
      </c>
      <c r="K1257" s="3"/>
      <c r="L1257" s="3" t="s">
        <v>5566</v>
      </c>
      <c r="M1257" s="3" t="str">
        <f>HYPERLINK("https://ceds.ed.gov/cedselementdetails.aspx?termid=5443")</f>
        <v>https://ceds.ed.gov/cedselementdetails.aspx?termid=5443</v>
      </c>
      <c r="N1257" s="3" t="str">
        <f>HYPERLINK("https://ceds.ed.gov/elementComment.aspx?elementName=State Assessment Standards Funding &amp;elementID=5443", "Click here to submit comment")</f>
        <v>Click here to submit comment</v>
      </c>
    </row>
    <row r="1258" spans="1:14" ht="409.5">
      <c r="A1258" s="3" t="s">
        <v>5567</v>
      </c>
      <c r="B1258" s="3" t="s">
        <v>5568</v>
      </c>
      <c r="C1258" s="4" t="s">
        <v>6633</v>
      </c>
      <c r="D1258" s="3" t="s">
        <v>1629</v>
      </c>
      <c r="E1258" s="3" t="s">
        <v>202</v>
      </c>
      <c r="F1258" s="3"/>
      <c r="G1258" s="3"/>
      <c r="H1258" s="3"/>
      <c r="I1258" s="3"/>
      <c r="J1258" s="3" t="s">
        <v>5569</v>
      </c>
      <c r="K1258" s="3"/>
      <c r="L1258" s="3" t="s">
        <v>5570</v>
      </c>
      <c r="M1258" s="3" t="str">
        <f>HYPERLINK("https://ceds.ed.gov/cedselementdetails.aspx?termid=5804")</f>
        <v>https://ceds.ed.gov/cedselementdetails.aspx?termid=5804</v>
      </c>
      <c r="N1258" s="3" t="str">
        <f>HYPERLINK("https://ceds.ed.gov/elementComment.aspx?elementName=State Issuing Professional Credential or License &amp;elementID=5804", "Click here to submit comment")</f>
        <v>Click here to submit comment</v>
      </c>
    </row>
    <row r="1259" spans="1:14" ht="30">
      <c r="A1259" s="3" t="s">
        <v>5571</v>
      </c>
      <c r="B1259" s="3" t="s">
        <v>5572</v>
      </c>
      <c r="C1259" s="3" t="s">
        <v>13</v>
      </c>
      <c r="D1259" s="3" t="s">
        <v>1774</v>
      </c>
      <c r="E1259" s="3" t="s">
        <v>65</v>
      </c>
      <c r="F1259" s="3"/>
      <c r="G1259" s="3" t="s">
        <v>308</v>
      </c>
      <c r="H1259" s="3"/>
      <c r="I1259" s="3"/>
      <c r="J1259" s="3" t="s">
        <v>5573</v>
      </c>
      <c r="K1259" s="3"/>
      <c r="L1259" s="3" t="s">
        <v>5574</v>
      </c>
      <c r="M1259" s="3" t="str">
        <f>HYPERLINK("https://ceds.ed.gov/cedselementdetails.aspx?termid=5865")</f>
        <v>https://ceds.ed.gov/cedselementdetails.aspx?termid=5865</v>
      </c>
      <c r="N1259" s="3" t="str">
        <f>HYPERLINK("https://ceds.ed.gov/elementComment.aspx?elementName=State Licensed Facility Capacity &amp;elementID=5865", "Click here to submit comment")</f>
        <v>Click here to submit comment</v>
      </c>
    </row>
    <row r="1260" spans="1:14" ht="409.5">
      <c r="A1260" s="3" t="s">
        <v>5575</v>
      </c>
      <c r="B1260" s="3" t="s">
        <v>5576</v>
      </c>
      <c r="C1260" s="4" t="s">
        <v>6633</v>
      </c>
      <c r="D1260" s="3" t="s">
        <v>1675</v>
      </c>
      <c r="E1260" s="3" t="s">
        <v>1480</v>
      </c>
      <c r="F1260" s="3"/>
      <c r="G1260" s="3"/>
      <c r="H1260" s="3"/>
      <c r="I1260" s="3"/>
      <c r="J1260" s="3" t="s">
        <v>5577</v>
      </c>
      <c r="K1260" s="3"/>
      <c r="L1260" s="3" t="s">
        <v>5578</v>
      </c>
      <c r="M1260" s="3" t="str">
        <f>HYPERLINK("https://ceds.ed.gov/cedselementdetails.aspx?termid=5417")</f>
        <v>https://ceds.ed.gov/cedselementdetails.aspx?termid=5417</v>
      </c>
      <c r="N1260" s="3" t="str">
        <f>HYPERLINK("https://ceds.ed.gov/elementComment.aspx?elementName=State of Birth Abbreviation &amp;elementID=5417", "Click here to submit comment")</f>
        <v>Click here to submit comment</v>
      </c>
    </row>
    <row r="1261" spans="1:14" ht="409.5">
      <c r="A1261" s="3" t="s">
        <v>5579</v>
      </c>
      <c r="B1261" s="3" t="s">
        <v>5580</v>
      </c>
      <c r="C1261" s="4" t="s">
        <v>6633</v>
      </c>
      <c r="D1261" s="3" t="s">
        <v>5581</v>
      </c>
      <c r="E1261" s="3" t="s">
        <v>5976</v>
      </c>
      <c r="F1261" s="3"/>
      <c r="G1261" s="3"/>
      <c r="H1261" s="3"/>
      <c r="I1261" s="3"/>
      <c r="J1261" s="3" t="s">
        <v>5582</v>
      </c>
      <c r="K1261" s="3"/>
      <c r="L1261" s="3" t="s">
        <v>5583</v>
      </c>
      <c r="M1261" s="3" t="str">
        <f>HYPERLINK("https://ceds.ed.gov/cedselementdetails.aspx?termid=5268")</f>
        <v>https://ceds.ed.gov/cedselementdetails.aspx?termid=5268</v>
      </c>
      <c r="N1261" s="3" t="str">
        <f>HYPERLINK("https://ceds.ed.gov/elementComment.aspx?elementName=State of Residence &amp;elementID=5268", "Click here to submit comment")</f>
        <v>Click here to submit comment</v>
      </c>
    </row>
    <row r="1262" spans="1:14" ht="105">
      <c r="A1262" s="3" t="s">
        <v>5584</v>
      </c>
      <c r="B1262" s="3" t="s">
        <v>5585</v>
      </c>
      <c r="C1262" s="4" t="s">
        <v>6664</v>
      </c>
      <c r="D1262" s="3" t="s">
        <v>2235</v>
      </c>
      <c r="E1262" s="3" t="s">
        <v>218</v>
      </c>
      <c r="F1262" s="3"/>
      <c r="G1262" s="3"/>
      <c r="H1262" s="3"/>
      <c r="I1262" s="3"/>
      <c r="J1262" s="3" t="s">
        <v>5586</v>
      </c>
      <c r="K1262" s="3"/>
      <c r="L1262" s="3" t="s">
        <v>5587</v>
      </c>
      <c r="M1262" s="3" t="str">
        <f>HYPERLINK("https://ceds.ed.gov/cedselementdetails.aspx?termid=5578")</f>
        <v>https://ceds.ed.gov/cedselementdetails.aspx?termid=5578</v>
      </c>
      <c r="N1262" s="3" t="str">
        <f>HYPERLINK("https://ceds.ed.gov/elementComment.aspx?elementName=State Poverty Designation &amp;elementID=5578", "Click here to submit comment")</f>
        <v>Click here to submit comment</v>
      </c>
    </row>
    <row r="1263" spans="1:14" ht="45">
      <c r="A1263" s="3" t="s">
        <v>5588</v>
      </c>
      <c r="B1263" s="3" t="s">
        <v>5589</v>
      </c>
      <c r="C1263" s="3" t="s">
        <v>5963</v>
      </c>
      <c r="D1263" s="3" t="s">
        <v>2103</v>
      </c>
      <c r="E1263" s="3" t="s">
        <v>207</v>
      </c>
      <c r="F1263" s="3"/>
      <c r="G1263" s="3"/>
      <c r="H1263" s="3"/>
      <c r="I1263" s="3"/>
      <c r="J1263" s="3" t="s">
        <v>5590</v>
      </c>
      <c r="K1263" s="3"/>
      <c r="L1263" s="3" t="s">
        <v>5591</v>
      </c>
      <c r="M1263" s="3" t="str">
        <f>HYPERLINK("https://ceds.ed.gov/cedselementdetails.aspx?termid=5435")</f>
        <v>https://ceds.ed.gov/cedselementdetails.aspx?termid=5435</v>
      </c>
      <c r="N1263" s="3" t="str">
        <f>HYPERLINK("https://ceds.ed.gov/elementComment.aspx?elementName=State Transferability of Funds &amp;elementID=5435", "Click here to submit comment")</f>
        <v>Click here to submit comment</v>
      </c>
    </row>
    <row r="1264" spans="1:14" ht="90">
      <c r="A1264" s="3" t="s">
        <v>5592</v>
      </c>
      <c r="B1264" s="3" t="s">
        <v>5593</v>
      </c>
      <c r="C1264" s="3" t="s">
        <v>13</v>
      </c>
      <c r="D1264" s="3" t="s">
        <v>6328</v>
      </c>
      <c r="E1264" s="3"/>
      <c r="F1264" s="3"/>
      <c r="G1264" s="3" t="s">
        <v>73</v>
      </c>
      <c r="H1264" s="3"/>
      <c r="I1264" s="3"/>
      <c r="J1264" s="3" t="s">
        <v>5594</v>
      </c>
      <c r="K1264" s="3"/>
      <c r="L1264" s="3" t="s">
        <v>5595</v>
      </c>
      <c r="M1264" s="3" t="str">
        <f>HYPERLINK("https://ceds.ed.gov/cedselementdetails.aspx?termid=6193")</f>
        <v>https://ceds.ed.gov/cedselementdetails.aspx?termid=6193</v>
      </c>
      <c r="N1264" s="3" t="str">
        <f>HYPERLINK("https://ceds.ed.gov/elementComment.aspx?elementName=Status End Date &amp;elementID=6193", "Click here to submit comment")</f>
        <v>Click here to submit comment</v>
      </c>
    </row>
    <row r="1265" spans="1:14" ht="90">
      <c r="A1265" s="3" t="s">
        <v>5596</v>
      </c>
      <c r="B1265" s="3" t="s">
        <v>5597</v>
      </c>
      <c r="C1265" s="3" t="s">
        <v>13</v>
      </c>
      <c r="D1265" s="3" t="s">
        <v>6328</v>
      </c>
      <c r="E1265" s="3"/>
      <c r="F1265" s="3"/>
      <c r="G1265" s="3" t="s">
        <v>73</v>
      </c>
      <c r="H1265" s="3"/>
      <c r="I1265" s="3"/>
      <c r="J1265" s="3" t="s">
        <v>5598</v>
      </c>
      <c r="K1265" s="3"/>
      <c r="L1265" s="3" t="s">
        <v>5599</v>
      </c>
      <c r="M1265" s="3" t="str">
        <f>HYPERLINK("https://ceds.ed.gov/cedselementdetails.aspx?termid=6192")</f>
        <v>https://ceds.ed.gov/cedselementdetails.aspx?termid=6192</v>
      </c>
      <c r="N1265" s="3" t="str">
        <f>HYPERLINK("https://ceds.ed.gov/elementComment.aspx?elementName=Status Start Date &amp;elementID=6192", "Click here to submit comment")</f>
        <v>Click here to submit comment</v>
      </c>
    </row>
    <row r="1266" spans="1:14" ht="120">
      <c r="A1266" s="3" t="s">
        <v>5600</v>
      </c>
      <c r="B1266" s="3" t="s">
        <v>5601</v>
      </c>
      <c r="C1266" s="3" t="s">
        <v>13</v>
      </c>
      <c r="D1266" s="3" t="s">
        <v>8</v>
      </c>
      <c r="E1266" s="3" t="s">
        <v>218</v>
      </c>
      <c r="F1266" s="3"/>
      <c r="G1266" s="3" t="s">
        <v>5602</v>
      </c>
      <c r="H1266" s="3"/>
      <c r="I1266" s="3"/>
      <c r="J1266" s="3" t="s">
        <v>5603</v>
      </c>
      <c r="K1266" s="3"/>
      <c r="L1266" s="3" t="s">
        <v>5604</v>
      </c>
      <c r="M1266" s="3" t="str">
        <f>HYPERLINK("https://ceds.ed.gov/cedselementdetails.aspx?termid=5271")</f>
        <v>https://ceds.ed.gov/cedselementdetails.aspx?termid=5271</v>
      </c>
      <c r="N1266" s="3" t="str">
        <f>HYPERLINK("https://ceds.ed.gov/elementComment.aspx?elementName=Student Attendance Rate &amp;elementID=5271", "Click here to submit comment")</f>
        <v>Click here to submit comment</v>
      </c>
    </row>
    <row r="1267" spans="1:14" ht="45">
      <c r="A1267" s="3" t="s">
        <v>5605</v>
      </c>
      <c r="B1267" s="3" t="s">
        <v>5606</v>
      </c>
      <c r="C1267" s="3" t="s">
        <v>5963</v>
      </c>
      <c r="D1267" s="3" t="s">
        <v>4066</v>
      </c>
      <c r="E1267" s="3"/>
      <c r="F1267" s="3" t="s">
        <v>66</v>
      </c>
      <c r="G1267" s="3"/>
      <c r="H1267" s="3" t="s">
        <v>5607</v>
      </c>
      <c r="I1267" s="3"/>
      <c r="J1267" s="3" t="s">
        <v>5608</v>
      </c>
      <c r="K1267" s="3"/>
      <c r="L1267" s="3" t="s">
        <v>5609</v>
      </c>
      <c r="M1267" s="3" t="str">
        <f>HYPERLINK("https://ceds.ed.gov/cedselementdetails.aspx?termid=6191")</f>
        <v>https://ceds.ed.gov/cedselementdetails.aspx?termid=6191</v>
      </c>
      <c r="N1267" s="3" t="str">
        <f>HYPERLINK("https://ceds.ed.gov/elementComment.aspx?elementName=Student Course Section Mark Final Indicator &amp;elementID=6191", "Click here to submit comment")</f>
        <v>Click here to submit comment</v>
      </c>
    </row>
    <row r="1268" spans="1:14" ht="315">
      <c r="A1268" s="3" t="s">
        <v>5610</v>
      </c>
      <c r="B1268" s="3" t="s">
        <v>5611</v>
      </c>
      <c r="C1268" s="4" t="s">
        <v>6665</v>
      </c>
      <c r="D1268" s="3" t="s">
        <v>6329</v>
      </c>
      <c r="E1268" s="3" t="s">
        <v>6330</v>
      </c>
      <c r="F1268" s="3"/>
      <c r="G1268" s="3"/>
      <c r="H1268" s="3"/>
      <c r="I1268" s="3"/>
      <c r="J1268" s="3" t="s">
        <v>5612</v>
      </c>
      <c r="K1268" s="3"/>
      <c r="L1268" s="3" t="s">
        <v>5613</v>
      </c>
      <c r="M1268" s="3" t="str">
        <f>HYPERLINK("https://ceds.ed.gov/cedselementdetails.aspx?termid=5163")</f>
        <v>https://ceds.ed.gov/cedselementdetails.aspx?termid=5163</v>
      </c>
      <c r="N1268" s="3" t="str">
        <f>HYPERLINK("https://ceds.ed.gov/elementComment.aspx?elementName=Student Identification System &amp;elementID=5163", "Click here to submit comment")</f>
        <v>Click here to submit comment</v>
      </c>
    </row>
    <row r="1269" spans="1:14" ht="315">
      <c r="A1269" s="3" t="s">
        <v>5614</v>
      </c>
      <c r="B1269" s="3" t="s">
        <v>5615</v>
      </c>
      <c r="C1269" s="3" t="s">
        <v>13</v>
      </c>
      <c r="D1269" s="3" t="s">
        <v>6329</v>
      </c>
      <c r="E1269" s="3" t="s">
        <v>6330</v>
      </c>
      <c r="F1269" s="3"/>
      <c r="G1269" s="3" t="s">
        <v>100</v>
      </c>
      <c r="H1269" s="3"/>
      <c r="I1269" s="3"/>
      <c r="J1269" s="3" t="s">
        <v>5616</v>
      </c>
      <c r="K1269" s="3"/>
      <c r="L1269" s="3" t="s">
        <v>5617</v>
      </c>
      <c r="M1269" s="3" t="str">
        <f>HYPERLINK("https://ceds.ed.gov/cedselementdetails.aspx?termid=5157")</f>
        <v>https://ceds.ed.gov/cedselementdetails.aspx?termid=5157</v>
      </c>
      <c r="N1269" s="3" t="str">
        <f>HYPERLINK("https://ceds.ed.gov/elementComment.aspx?elementName=Student Identifier &amp;elementID=5157", "Click here to submit comment")</f>
        <v>Click here to submit comment</v>
      </c>
    </row>
    <row r="1270" spans="1:14" ht="90">
      <c r="A1270" s="3" t="s">
        <v>5618</v>
      </c>
      <c r="B1270" s="3" t="s">
        <v>5619</v>
      </c>
      <c r="C1270" s="3" t="s">
        <v>6331</v>
      </c>
      <c r="D1270" s="3" t="s">
        <v>1708</v>
      </c>
      <c r="E1270" s="3" t="s">
        <v>5976</v>
      </c>
      <c r="F1270" s="3"/>
      <c r="G1270" s="3"/>
      <c r="H1270" s="3"/>
      <c r="I1270" s="3"/>
      <c r="J1270" s="3" t="s">
        <v>5620</v>
      </c>
      <c r="K1270" s="3"/>
      <c r="L1270" s="3" t="s">
        <v>5621</v>
      </c>
      <c r="M1270" s="3" t="str">
        <f>HYPERLINK("https://ceds.ed.gov/cedselementdetails.aspx?termid=5272")</f>
        <v>https://ceds.ed.gov/cedselementdetails.aspx?termid=5272</v>
      </c>
      <c r="N1270" s="3" t="str">
        <f>HYPERLINK("https://ceds.ed.gov/elementComment.aspx?elementName=Student Level &amp;elementID=5272", "Click here to submit comment")</f>
        <v>Click here to submit comment</v>
      </c>
    </row>
    <row r="1271" spans="1:14" ht="409.5">
      <c r="A1271" s="3" t="s">
        <v>5622</v>
      </c>
      <c r="B1271" s="3" t="s">
        <v>5623</v>
      </c>
      <c r="C1271" s="4" t="s">
        <v>6666</v>
      </c>
      <c r="D1271" s="3" t="s">
        <v>6332</v>
      </c>
      <c r="E1271" s="3"/>
      <c r="F1271" s="3"/>
      <c r="G1271" s="3"/>
      <c r="H1271" s="3"/>
      <c r="I1271" s="3"/>
      <c r="J1271" s="3" t="s">
        <v>5624</v>
      </c>
      <c r="K1271" s="3"/>
      <c r="L1271" s="3" t="s">
        <v>5625</v>
      </c>
      <c r="M1271" s="3" t="str">
        <f>HYPERLINK("https://ceds.ed.gov/cedselementdetails.aspx?termid=5273")</f>
        <v>https://ceds.ed.gov/cedselementdetails.aspx?termid=5273</v>
      </c>
      <c r="N1271" s="3" t="str">
        <f>HYPERLINK("https://ceds.ed.gov/elementComment.aspx?elementName=Student Support Service Type &amp;elementID=5273", "Click here to submit comment")</f>
        <v>Click here to submit comment</v>
      </c>
    </row>
    <row r="1272" spans="1:14" ht="75">
      <c r="A1272" s="3" t="s">
        <v>5626</v>
      </c>
      <c r="B1272" s="3" t="s">
        <v>5627</v>
      </c>
      <c r="C1272" s="4" t="s">
        <v>6371</v>
      </c>
      <c r="D1272" s="3" t="s">
        <v>343</v>
      </c>
      <c r="E1272" s="3" t="s">
        <v>344</v>
      </c>
      <c r="F1272" s="3"/>
      <c r="G1272" s="3"/>
      <c r="H1272" s="3"/>
      <c r="I1272" s="3"/>
      <c r="J1272" s="3" t="s">
        <v>5628</v>
      </c>
      <c r="K1272" s="3"/>
      <c r="L1272" s="3" t="s">
        <v>5629</v>
      </c>
      <c r="M1272" s="3" t="str">
        <f>HYPERLINK("https://ceds.ed.gov/cedselementdetails.aspx?termid=5754")</f>
        <v>https://ceds.ed.gov/cedselementdetails.aspx?termid=5754</v>
      </c>
      <c r="N1272" s="3" t="str">
        <f>HYPERLINK("https://ceds.ed.gov/elementComment.aspx?elementName=Supervised Clinical Experience &amp;elementID=5754", "Click here to submit comment")</f>
        <v>Click here to submit comment</v>
      </c>
    </row>
    <row r="1273" spans="1:14" ht="60">
      <c r="A1273" s="3" t="s">
        <v>5630</v>
      </c>
      <c r="B1273" s="3" t="s">
        <v>5631</v>
      </c>
      <c r="C1273" s="3" t="s">
        <v>13</v>
      </c>
      <c r="D1273" s="3" t="s">
        <v>343</v>
      </c>
      <c r="E1273" s="3" t="s">
        <v>344</v>
      </c>
      <c r="F1273" s="3"/>
      <c r="G1273" s="3" t="s">
        <v>308</v>
      </c>
      <c r="H1273" s="3"/>
      <c r="I1273" s="3"/>
      <c r="J1273" s="3" t="s">
        <v>5632</v>
      </c>
      <c r="K1273" s="3"/>
      <c r="L1273" s="3" t="s">
        <v>5633</v>
      </c>
      <c r="M1273" s="3" t="str">
        <f>HYPERLINK("https://ceds.ed.gov/cedselementdetails.aspx?termid=5755")</f>
        <v>https://ceds.ed.gov/cedselementdetails.aspx?termid=5755</v>
      </c>
      <c r="N1273" s="3" t="str">
        <f>HYPERLINK("https://ceds.ed.gov/elementComment.aspx?elementName=Supervised Clinical Experience Clock Hours &amp;elementID=5755", "Click here to submit comment")</f>
        <v>Click here to submit comment</v>
      </c>
    </row>
    <row r="1274" spans="1:14" ht="60">
      <c r="A1274" s="3" t="s">
        <v>5634</v>
      </c>
      <c r="B1274" s="3" t="s">
        <v>5635</v>
      </c>
      <c r="C1274" s="3" t="s">
        <v>13</v>
      </c>
      <c r="D1274" s="3" t="s">
        <v>2822</v>
      </c>
      <c r="E1274" s="3" t="s">
        <v>218</v>
      </c>
      <c r="F1274" s="3"/>
      <c r="G1274" s="3" t="s">
        <v>1461</v>
      </c>
      <c r="H1274" s="3"/>
      <c r="I1274" s="3"/>
      <c r="J1274" s="3" t="s">
        <v>5636</v>
      </c>
      <c r="K1274" s="3" t="s">
        <v>5637</v>
      </c>
      <c r="L1274" s="3" t="s">
        <v>5638</v>
      </c>
      <c r="M1274" s="3" t="str">
        <f>HYPERLINK("https://ceds.ed.gov/cedselementdetails.aspx?termid=5566")</f>
        <v>https://ceds.ed.gov/cedselementdetails.aspx?termid=5566</v>
      </c>
      <c r="N1274" s="3" t="str">
        <f>HYPERLINK("https://ceds.ed.gov/elementComment.aspx?elementName=Supplemental Education Services Public School Choice Twenty Percent Obligation &amp;elementID=5566", "Click here to submit comment")</f>
        <v>Click here to submit comment</v>
      </c>
    </row>
    <row r="1275" spans="1:14" ht="75">
      <c r="A1275" s="3" t="s">
        <v>5639</v>
      </c>
      <c r="B1275" s="3" t="s">
        <v>5640</v>
      </c>
      <c r="C1275" s="3" t="s">
        <v>13</v>
      </c>
      <c r="D1275" s="3" t="s">
        <v>2822</v>
      </c>
      <c r="E1275" s="3" t="s">
        <v>218</v>
      </c>
      <c r="F1275" s="3"/>
      <c r="G1275" s="3" t="s">
        <v>1461</v>
      </c>
      <c r="H1275" s="3"/>
      <c r="I1275" s="3"/>
      <c r="J1275" s="3" t="s">
        <v>5641</v>
      </c>
      <c r="K1275" s="3" t="s">
        <v>5642</v>
      </c>
      <c r="L1275" s="3" t="s">
        <v>5643</v>
      </c>
      <c r="M1275" s="3" t="str">
        <f>HYPERLINK("https://ceds.ed.gov/cedselementdetails.aspx?termid=5559")</f>
        <v>https://ceds.ed.gov/cedselementdetails.aspx?termid=5559</v>
      </c>
      <c r="N1275" s="3" t="str">
        <f>HYPERLINK("https://ceds.ed.gov/elementComment.aspx?elementName=Supplemental Educational Services Funds Spent &amp;elementID=5559", "Click here to submit comment")</f>
        <v>Click here to submit comment</v>
      </c>
    </row>
    <row r="1276" spans="1:14" ht="60">
      <c r="A1276" s="3" t="s">
        <v>5644</v>
      </c>
      <c r="B1276" s="3" t="s">
        <v>5645</v>
      </c>
      <c r="C1276" s="3" t="s">
        <v>13</v>
      </c>
      <c r="D1276" s="3" t="s">
        <v>2822</v>
      </c>
      <c r="E1276" s="3" t="s">
        <v>218</v>
      </c>
      <c r="F1276" s="3"/>
      <c r="G1276" s="3" t="s">
        <v>1461</v>
      </c>
      <c r="H1276" s="3"/>
      <c r="I1276" s="3"/>
      <c r="J1276" s="3" t="s">
        <v>5646</v>
      </c>
      <c r="K1276" s="3" t="s">
        <v>5647</v>
      </c>
      <c r="L1276" s="3" t="s">
        <v>5648</v>
      </c>
      <c r="M1276" s="3" t="str">
        <f>HYPERLINK("https://ceds.ed.gov/cedselementdetails.aspx?termid=5567")</f>
        <v>https://ceds.ed.gov/cedselementdetails.aspx?termid=5567</v>
      </c>
      <c r="N1276" s="3" t="str">
        <f>HYPERLINK("https://ceds.ed.gov/elementComment.aspx?elementName=Supplemental Educational Services Per Pupil Expenditure &amp;elementID=5567", "Click here to submit comment")</f>
        <v>Click here to submit comment</v>
      </c>
    </row>
    <row r="1277" spans="1:14" ht="75">
      <c r="A1277" s="3" t="s">
        <v>5649</v>
      </c>
      <c r="B1277" s="3" t="s">
        <v>5650</v>
      </c>
      <c r="C1277" s="3" t="s">
        <v>13</v>
      </c>
      <c r="D1277" s="3" t="s">
        <v>343</v>
      </c>
      <c r="E1277" s="3" t="s">
        <v>344</v>
      </c>
      <c r="F1277" s="3"/>
      <c r="G1277" s="3" t="s">
        <v>100</v>
      </c>
      <c r="H1277" s="3"/>
      <c r="I1277" s="3" t="s">
        <v>5651</v>
      </c>
      <c r="J1277" s="3" t="s">
        <v>5652</v>
      </c>
      <c r="K1277" s="3"/>
      <c r="L1277" s="3" t="s">
        <v>5653</v>
      </c>
      <c r="M1277" s="3" t="str">
        <f>HYPERLINK("https://ceds.ed.gov/cedselementdetails.aspx?termid=5757")</f>
        <v>https://ceds.ed.gov/cedselementdetails.aspx?termid=5757</v>
      </c>
      <c r="N1277" s="3" t="str">
        <f>HYPERLINK("https://ceds.ed.gov/elementComment.aspx?elementName=Teacher Education Credential Exam Score Type &amp;elementID=5757", "Click here to submit comment")</f>
        <v>Click here to submit comment</v>
      </c>
    </row>
    <row r="1278" spans="1:14" ht="90">
      <c r="A1278" s="3" t="s">
        <v>5654</v>
      </c>
      <c r="B1278" s="3" t="s">
        <v>5655</v>
      </c>
      <c r="C1278" s="4" t="s">
        <v>6667</v>
      </c>
      <c r="D1278" s="3" t="s">
        <v>343</v>
      </c>
      <c r="E1278" s="3" t="s">
        <v>344</v>
      </c>
      <c r="F1278" s="3"/>
      <c r="G1278" s="3"/>
      <c r="H1278" s="3"/>
      <c r="I1278" s="3"/>
      <c r="J1278" s="3" t="s">
        <v>5656</v>
      </c>
      <c r="K1278" s="3"/>
      <c r="L1278" s="3" t="s">
        <v>5657</v>
      </c>
      <c r="M1278" s="3" t="str">
        <f>HYPERLINK("https://ceds.ed.gov/cedselementdetails.aspx?termid=5756")</f>
        <v>https://ceds.ed.gov/cedselementdetails.aspx?termid=5756</v>
      </c>
      <c r="N1278" s="3" t="str">
        <f>HYPERLINK("https://ceds.ed.gov/elementComment.aspx?elementName=Teacher Education Credential Exam Type &amp;elementID=5756", "Click here to submit comment")</f>
        <v>Click here to submit comment</v>
      </c>
    </row>
    <row r="1279" spans="1:14" ht="165">
      <c r="A1279" s="3" t="s">
        <v>5658</v>
      </c>
      <c r="B1279" s="3" t="s">
        <v>5659</v>
      </c>
      <c r="C1279" s="4" t="s">
        <v>6668</v>
      </c>
      <c r="D1279" s="3" t="s">
        <v>343</v>
      </c>
      <c r="E1279" s="3" t="s">
        <v>344</v>
      </c>
      <c r="F1279" s="3"/>
      <c r="G1279" s="3"/>
      <c r="H1279" s="3"/>
      <c r="I1279" s="3"/>
      <c r="J1279" s="3" t="s">
        <v>5660</v>
      </c>
      <c r="K1279" s="3"/>
      <c r="L1279" s="3" t="s">
        <v>5661</v>
      </c>
      <c r="M1279" s="3" t="str">
        <f>HYPERLINK("https://ceds.ed.gov/cedselementdetails.aspx?termid=5748")</f>
        <v>https://ceds.ed.gov/cedselementdetails.aspx?termid=5748</v>
      </c>
      <c r="N1279" s="3" t="str">
        <f>HYPERLINK("https://ceds.ed.gov/elementComment.aspx?elementName=Teacher Education Test Company &amp;elementID=5748", "Click here to submit comment")</f>
        <v>Click here to submit comment</v>
      </c>
    </row>
    <row r="1280" spans="1:14" ht="60">
      <c r="A1280" s="3" t="s">
        <v>5662</v>
      </c>
      <c r="B1280" s="3" t="s">
        <v>5663</v>
      </c>
      <c r="C1280" s="3" t="s">
        <v>5963</v>
      </c>
      <c r="D1280" s="3" t="s">
        <v>5664</v>
      </c>
      <c r="E1280" s="3" t="s">
        <v>5665</v>
      </c>
      <c r="F1280" s="3"/>
      <c r="G1280" s="3"/>
      <c r="H1280" s="3"/>
      <c r="I1280" s="3" t="s">
        <v>5666</v>
      </c>
      <c r="J1280" s="3" t="s">
        <v>5667</v>
      </c>
      <c r="K1280" s="3"/>
      <c r="L1280" s="3" t="s">
        <v>5668</v>
      </c>
      <c r="M1280" s="3" t="str">
        <f>HYPERLINK("https://ceds.ed.gov/cedselementdetails.aspx?termid=5649")</f>
        <v>https://ceds.ed.gov/cedselementdetails.aspx?termid=5649</v>
      </c>
      <c r="N1280" s="3" t="str">
        <f>HYPERLINK("https://ceds.ed.gov/elementComment.aspx?elementName=Teacher of Record &amp;elementID=5649", "Click here to submit comment")</f>
        <v>Click here to submit comment</v>
      </c>
    </row>
    <row r="1281" spans="1:14" ht="120">
      <c r="A1281" s="3" t="s">
        <v>5669</v>
      </c>
      <c r="B1281" s="3" t="s">
        <v>5670</v>
      </c>
      <c r="C1281" s="4" t="s">
        <v>6371</v>
      </c>
      <c r="D1281" s="3" t="s">
        <v>343</v>
      </c>
      <c r="E1281" s="3" t="s">
        <v>344</v>
      </c>
      <c r="F1281" s="3"/>
      <c r="G1281" s="3"/>
      <c r="H1281" s="3"/>
      <c r="I1281" s="3"/>
      <c r="J1281" s="3" t="s">
        <v>5671</v>
      </c>
      <c r="K1281" s="3"/>
      <c r="L1281" s="3" t="s">
        <v>5672</v>
      </c>
      <c r="M1281" s="3" t="str">
        <f>HYPERLINK("https://ceds.ed.gov/cedselementdetails.aspx?termid=5750")</f>
        <v>https://ceds.ed.gov/cedselementdetails.aspx?termid=5750</v>
      </c>
      <c r="N1281" s="3" t="str">
        <f>HYPERLINK("https://ceds.ed.gov/elementComment.aspx?elementName=Teacher Preparation Program Completer Status &amp;elementID=5750", "Click here to submit comment")</f>
        <v>Click here to submit comment</v>
      </c>
    </row>
    <row r="1282" spans="1:14" ht="60">
      <c r="A1282" s="3" t="s">
        <v>5673</v>
      </c>
      <c r="B1282" s="3" t="s">
        <v>5674</v>
      </c>
      <c r="C1282" s="4" t="s">
        <v>6669</v>
      </c>
      <c r="D1282" s="3" t="s">
        <v>343</v>
      </c>
      <c r="E1282" s="3" t="s">
        <v>344</v>
      </c>
      <c r="F1282" s="3"/>
      <c r="G1282" s="3"/>
      <c r="H1282" s="3"/>
      <c r="I1282" s="3"/>
      <c r="J1282" s="3" t="s">
        <v>5675</v>
      </c>
      <c r="K1282" s="3"/>
      <c r="L1282" s="3" t="s">
        <v>5676</v>
      </c>
      <c r="M1282" s="3" t="str">
        <f>HYPERLINK("https://ceds.ed.gov/cedselementdetails.aspx?termid=5749")</f>
        <v>https://ceds.ed.gov/cedselementdetails.aspx?termid=5749</v>
      </c>
      <c r="N1282" s="3" t="str">
        <f>HYPERLINK("https://ceds.ed.gov/elementComment.aspx?elementName=Teacher Preparation Program Enrollment Status &amp;elementID=5749", "Click here to submit comment")</f>
        <v>Click here to submit comment</v>
      </c>
    </row>
    <row r="1283" spans="1:14" ht="105">
      <c r="A1283" s="3" t="s">
        <v>5677</v>
      </c>
      <c r="B1283" s="3" t="s">
        <v>5678</v>
      </c>
      <c r="C1283" s="3" t="s">
        <v>5963</v>
      </c>
      <c r="D1283" s="3" t="s">
        <v>5679</v>
      </c>
      <c r="E1283" s="3"/>
      <c r="F1283" s="3"/>
      <c r="G1283" s="3"/>
      <c r="H1283" s="3"/>
      <c r="I1283" s="3" t="s">
        <v>5680</v>
      </c>
      <c r="J1283" s="3" t="s">
        <v>5681</v>
      </c>
      <c r="K1283" s="3"/>
      <c r="L1283" s="3" t="s">
        <v>5682</v>
      </c>
      <c r="M1283" s="3" t="str">
        <f>HYPERLINK("https://ceds.ed.gov/cedselementdetails.aspx?termid=5973")</f>
        <v>https://ceds.ed.gov/cedselementdetails.aspx?termid=5973</v>
      </c>
      <c r="N1283" s="3" t="str">
        <f>HYPERLINK("https://ceds.ed.gov/elementComment.aspx?elementName=Teacher Student Data Link Exclusion Flag &amp;elementID=5973", "Click here to submit comment")</f>
        <v>Click here to submit comment</v>
      </c>
    </row>
    <row r="1284" spans="1:14" ht="90">
      <c r="A1284" s="3" t="s">
        <v>5683</v>
      </c>
      <c r="B1284" s="3" t="s">
        <v>5684</v>
      </c>
      <c r="C1284" s="3" t="s">
        <v>13</v>
      </c>
      <c r="D1284" s="3" t="s">
        <v>5664</v>
      </c>
      <c r="E1284" s="3" t="s">
        <v>5665</v>
      </c>
      <c r="F1284" s="3"/>
      <c r="G1284" s="3" t="s">
        <v>740</v>
      </c>
      <c r="H1284" s="3"/>
      <c r="I1284" s="3"/>
      <c r="J1284" s="3" t="s">
        <v>5685</v>
      </c>
      <c r="K1284" s="3"/>
      <c r="L1284" s="3" t="s">
        <v>5686</v>
      </c>
      <c r="M1284" s="3" t="str">
        <f>HYPERLINK("https://ceds.ed.gov/cedselementdetails.aspx?termid=5651")</f>
        <v>https://ceds.ed.gov/cedselementdetails.aspx?termid=5651</v>
      </c>
      <c r="N1284" s="3" t="str">
        <f>HYPERLINK("https://ceds.ed.gov/elementComment.aspx?elementName=Teaching Assignment Contribution Percentage &amp;elementID=5651", "Click here to submit comment")</f>
        <v>Click here to submit comment</v>
      </c>
    </row>
    <row r="1285" spans="1:14" ht="30">
      <c r="A1285" s="3" t="s">
        <v>5687</v>
      </c>
      <c r="B1285" s="3" t="s">
        <v>5688</v>
      </c>
      <c r="C1285" s="3" t="s">
        <v>13</v>
      </c>
      <c r="D1285" s="3" t="s">
        <v>1723</v>
      </c>
      <c r="E1285" s="3" t="s">
        <v>5665</v>
      </c>
      <c r="F1285" s="3"/>
      <c r="G1285" s="3" t="s">
        <v>73</v>
      </c>
      <c r="H1285" s="3"/>
      <c r="I1285" s="3"/>
      <c r="J1285" s="3" t="s">
        <v>5689</v>
      </c>
      <c r="K1285" s="3"/>
      <c r="L1285" s="3" t="s">
        <v>5690</v>
      </c>
      <c r="M1285" s="3" t="str">
        <f>HYPERLINK("https://ceds.ed.gov/cedselementdetails.aspx?termid=5648")</f>
        <v>https://ceds.ed.gov/cedselementdetails.aspx?termid=5648</v>
      </c>
      <c r="N1285" s="3" t="str">
        <f>HYPERLINK("https://ceds.ed.gov/elementComment.aspx?elementName=Teaching Assignment End Date &amp;elementID=5648", "Click here to submit comment")</f>
        <v>Click here to submit comment</v>
      </c>
    </row>
    <row r="1286" spans="1:14" ht="90">
      <c r="A1286" s="3" t="s">
        <v>5691</v>
      </c>
      <c r="B1286" s="3" t="s">
        <v>5692</v>
      </c>
      <c r="C1286" s="4" t="s">
        <v>6670</v>
      </c>
      <c r="D1286" s="3" t="s">
        <v>5664</v>
      </c>
      <c r="E1286" s="3" t="s">
        <v>5665</v>
      </c>
      <c r="F1286" s="3"/>
      <c r="G1286" s="3"/>
      <c r="H1286" s="3"/>
      <c r="I1286" s="3"/>
      <c r="J1286" s="3" t="s">
        <v>5693</v>
      </c>
      <c r="K1286" s="3"/>
      <c r="L1286" s="3" t="s">
        <v>5694</v>
      </c>
      <c r="M1286" s="3" t="str">
        <f>HYPERLINK("https://ceds.ed.gov/cedselementdetails.aspx?termid=5650")</f>
        <v>https://ceds.ed.gov/cedselementdetails.aspx?termid=5650</v>
      </c>
      <c r="N1286" s="3" t="str">
        <f>HYPERLINK("https://ceds.ed.gov/elementComment.aspx?elementName=Teaching Assignment Role &amp;elementID=5650", "Click here to submit comment")</f>
        <v>Click here to submit comment</v>
      </c>
    </row>
    <row r="1287" spans="1:14" ht="30">
      <c r="A1287" s="3" t="s">
        <v>5695</v>
      </c>
      <c r="B1287" s="3" t="s">
        <v>5696</v>
      </c>
      <c r="C1287" s="3" t="s">
        <v>13</v>
      </c>
      <c r="D1287" s="3" t="s">
        <v>1723</v>
      </c>
      <c r="E1287" s="3" t="s">
        <v>5665</v>
      </c>
      <c r="F1287" s="3"/>
      <c r="G1287" s="3" t="s">
        <v>73</v>
      </c>
      <c r="H1287" s="3"/>
      <c r="I1287" s="3"/>
      <c r="J1287" s="3" t="s">
        <v>5697</v>
      </c>
      <c r="K1287" s="3"/>
      <c r="L1287" s="3" t="s">
        <v>5698</v>
      </c>
      <c r="M1287" s="3" t="str">
        <f>HYPERLINK("https://ceds.ed.gov/cedselementdetails.aspx?termid=5647")</f>
        <v>https://ceds.ed.gov/cedselementdetails.aspx?termid=5647</v>
      </c>
      <c r="N1287" s="3" t="str">
        <f>HYPERLINK("https://ceds.ed.gov/elementComment.aspx?elementName=Teaching Assignment Start Date &amp;elementID=5647", "Click here to submit comment")</f>
        <v>Click here to submit comment</v>
      </c>
    </row>
    <row r="1288" spans="1:14" ht="240">
      <c r="A1288" s="3" t="s">
        <v>5699</v>
      </c>
      <c r="B1288" s="3" t="s">
        <v>5700</v>
      </c>
      <c r="C1288" s="4" t="s">
        <v>6671</v>
      </c>
      <c r="D1288" s="3" t="s">
        <v>6333</v>
      </c>
      <c r="E1288" s="3" t="s">
        <v>344</v>
      </c>
      <c r="F1288" s="3" t="s">
        <v>66</v>
      </c>
      <c r="G1288" s="3"/>
      <c r="H1288" s="3" t="s">
        <v>2527</v>
      </c>
      <c r="I1288" s="3"/>
      <c r="J1288" s="3" t="s">
        <v>5701</v>
      </c>
      <c r="K1288" s="3"/>
      <c r="L1288" s="3" t="s">
        <v>5702</v>
      </c>
      <c r="M1288" s="3" t="str">
        <f>HYPERLINK("https://ceds.ed.gov/cedselementdetails.aspx?termid=5277")</f>
        <v>https://ceds.ed.gov/cedselementdetails.aspx?termid=5277</v>
      </c>
      <c r="N1288" s="3" t="str">
        <f>HYPERLINK("https://ceds.ed.gov/elementComment.aspx?elementName=Teaching Credential Basis &amp;elementID=5277", "Click here to submit comment")</f>
        <v>Click here to submit comment</v>
      </c>
    </row>
    <row r="1289" spans="1:14" ht="225">
      <c r="A1289" s="3" t="s">
        <v>5703</v>
      </c>
      <c r="B1289" s="3" t="s">
        <v>5704</v>
      </c>
      <c r="C1289" s="4" t="s">
        <v>6672</v>
      </c>
      <c r="D1289" s="3" t="s">
        <v>6334</v>
      </c>
      <c r="E1289" s="3" t="s">
        <v>344</v>
      </c>
      <c r="F1289" s="3"/>
      <c r="G1289" s="3"/>
      <c r="H1289" s="3"/>
      <c r="I1289" s="3"/>
      <c r="J1289" s="3" t="s">
        <v>5705</v>
      </c>
      <c r="K1289" s="3"/>
      <c r="L1289" s="3" t="s">
        <v>5706</v>
      </c>
      <c r="M1289" s="3" t="str">
        <f>HYPERLINK("https://ceds.ed.gov/cedselementdetails.aspx?termid=5278")</f>
        <v>https://ceds.ed.gov/cedselementdetails.aspx?termid=5278</v>
      </c>
      <c r="N1289" s="3" t="str">
        <f>HYPERLINK("https://ceds.ed.gov/elementComment.aspx?elementName=Teaching Credential Type &amp;elementID=5278", "Click here to submit comment")</f>
        <v>Click here to submit comment</v>
      </c>
    </row>
    <row r="1290" spans="1:14" ht="135">
      <c r="A1290" s="3" t="s">
        <v>5707</v>
      </c>
      <c r="B1290" s="3" t="s">
        <v>5708</v>
      </c>
      <c r="C1290" s="3" t="s">
        <v>5963</v>
      </c>
      <c r="D1290" s="3" t="s">
        <v>6335</v>
      </c>
      <c r="E1290" s="3"/>
      <c r="F1290" s="3" t="s">
        <v>54</v>
      </c>
      <c r="G1290" s="3"/>
      <c r="H1290" s="3"/>
      <c r="I1290" s="3"/>
      <c r="J1290" s="3" t="s">
        <v>5709</v>
      </c>
      <c r="K1290" s="3"/>
      <c r="L1290" s="3" t="s">
        <v>5710</v>
      </c>
      <c r="M1290" s="3" t="str">
        <f>HYPERLINK("https://ceds.ed.gov/cedselementdetails.aspx?termid=6465")</f>
        <v>https://ceds.ed.gov/cedselementdetails.aspx?termid=6465</v>
      </c>
      <c r="N1290" s="3" t="str">
        <f>HYPERLINK("https://ceds.ed.gov/elementComment.aspx?elementName=Technical Assistance Approved Indicator &amp;elementID=6465", "Click here to submit comment")</f>
        <v>Click here to submit comment</v>
      </c>
    </row>
    <row r="1291" spans="1:14" ht="135">
      <c r="A1291" s="3" t="s">
        <v>5711</v>
      </c>
      <c r="B1291" s="3" t="s">
        <v>5712</v>
      </c>
      <c r="C1291" s="4" t="s">
        <v>6616</v>
      </c>
      <c r="D1291" s="3" t="s">
        <v>6335</v>
      </c>
      <c r="E1291" s="3"/>
      <c r="F1291" s="3" t="s">
        <v>54</v>
      </c>
      <c r="G1291" s="3"/>
      <c r="H1291" s="3"/>
      <c r="I1291" s="3"/>
      <c r="J1291" s="3" t="s">
        <v>5713</v>
      </c>
      <c r="K1291" s="3"/>
      <c r="L1291" s="3" t="s">
        <v>5714</v>
      </c>
      <c r="M1291" s="3" t="str">
        <f>HYPERLINK("https://ceds.ed.gov/cedselementdetails.aspx?termid=6466")</f>
        <v>https://ceds.ed.gov/cedselementdetails.aspx?termid=6466</v>
      </c>
      <c r="N1291" s="3" t="str">
        <f>HYPERLINK("https://ceds.ed.gov/elementComment.aspx?elementName=Technical Assistance Delivery Type &amp;elementID=6466", "Click here to submit comment")</f>
        <v>Click here to submit comment</v>
      </c>
    </row>
    <row r="1292" spans="1:14" ht="375">
      <c r="A1292" s="3" t="s">
        <v>5715</v>
      </c>
      <c r="B1292" s="3" t="s">
        <v>5716</v>
      </c>
      <c r="C1292" s="4" t="s">
        <v>6673</v>
      </c>
      <c r="D1292" s="3" t="s">
        <v>6335</v>
      </c>
      <c r="E1292" s="3"/>
      <c r="F1292" s="3" t="s">
        <v>54</v>
      </c>
      <c r="G1292" s="3"/>
      <c r="H1292" s="3"/>
      <c r="I1292" s="3"/>
      <c r="J1292" s="3" t="s">
        <v>5717</v>
      </c>
      <c r="K1292" s="3"/>
      <c r="L1292" s="3" t="s">
        <v>5718</v>
      </c>
      <c r="M1292" s="3" t="str">
        <f>HYPERLINK("https://ceds.ed.gov/cedselementdetails.aspx?termid=6467")</f>
        <v>https://ceds.ed.gov/cedselementdetails.aspx?termid=6467</v>
      </c>
      <c r="N1292" s="3" t="str">
        <f>HYPERLINK("https://ceds.ed.gov/elementComment.aspx?elementName=Technical Assistance Type &amp;elementID=6467", "Click here to submit comment")</f>
        <v>Click here to submit comment</v>
      </c>
    </row>
    <row r="1293" spans="1:14" ht="75">
      <c r="A1293" s="3" t="s">
        <v>5719</v>
      </c>
      <c r="B1293" s="3" t="s">
        <v>5720</v>
      </c>
      <c r="C1293" s="4" t="s">
        <v>6674</v>
      </c>
      <c r="D1293" s="3" t="s">
        <v>30</v>
      </c>
      <c r="E1293" s="3" t="s">
        <v>218</v>
      </c>
      <c r="F1293" s="3"/>
      <c r="G1293" s="3"/>
      <c r="H1293" s="3"/>
      <c r="I1293" s="3"/>
      <c r="J1293" s="3" t="s">
        <v>5721</v>
      </c>
      <c r="K1293" s="3"/>
      <c r="L1293" s="3" t="s">
        <v>5722</v>
      </c>
      <c r="M1293" s="3" t="str">
        <f>HYPERLINK("https://ceds.ed.gov/cedselementdetails.aspx?termid=5558")</f>
        <v>https://ceds.ed.gov/cedselementdetails.aspx?termid=5558</v>
      </c>
      <c r="N1293" s="3" t="str">
        <f>HYPERLINK("https://ceds.ed.gov/elementComment.aspx?elementName=Technology Literacy Status in 8th Grade &amp;elementID=5558", "Click here to submit comment")</f>
        <v>Click here to submit comment</v>
      </c>
    </row>
    <row r="1294" spans="1:14" ht="60">
      <c r="A1294" s="3" t="s">
        <v>5723</v>
      </c>
      <c r="B1294" s="3" t="s">
        <v>5724</v>
      </c>
      <c r="C1294" s="3" t="s">
        <v>5963</v>
      </c>
      <c r="D1294" s="3" t="s">
        <v>2625</v>
      </c>
      <c r="E1294" s="3" t="s">
        <v>218</v>
      </c>
      <c r="F1294" s="3"/>
      <c r="G1294" s="3"/>
      <c r="H1294" s="3"/>
      <c r="I1294" s="3"/>
      <c r="J1294" s="3" t="s">
        <v>5725</v>
      </c>
      <c r="K1294" s="3"/>
      <c r="L1294" s="3" t="s">
        <v>5726</v>
      </c>
      <c r="M1294" s="3" t="str">
        <f>HYPERLINK("https://ceds.ed.gov/cedselementdetails.aspx?termid=5537")</f>
        <v>https://ceds.ed.gov/cedselementdetails.aspx?termid=5537</v>
      </c>
      <c r="N1294" s="3" t="str">
        <f>HYPERLINK("https://ceds.ed.gov/elementComment.aspx?elementName=Technology Skills Standards Met &amp;elementID=5537", "Click here to submit comment")</f>
        <v>Click here to submit comment</v>
      </c>
    </row>
    <row r="1295" spans="1:14" ht="409.5">
      <c r="A1295" s="3" t="s">
        <v>5727</v>
      </c>
      <c r="B1295" s="3" t="s">
        <v>5728</v>
      </c>
      <c r="C1295" s="3" t="s">
        <v>13</v>
      </c>
      <c r="D1295" s="3" t="s">
        <v>6336</v>
      </c>
      <c r="E1295" s="3" t="s">
        <v>5968</v>
      </c>
      <c r="F1295" s="3" t="s">
        <v>3</v>
      </c>
      <c r="G1295" s="3" t="s">
        <v>5729</v>
      </c>
      <c r="H1295" s="3"/>
      <c r="I1295" s="3"/>
      <c r="J1295" s="3" t="s">
        <v>5730</v>
      </c>
      <c r="K1295" s="3"/>
      <c r="L1295" s="3" t="s">
        <v>5731</v>
      </c>
      <c r="M1295" s="3" t="str">
        <f>HYPERLINK("https://ceds.ed.gov/cedselementdetails.aspx?termid=5279")</f>
        <v>https://ceds.ed.gov/cedselementdetails.aspx?termid=5279</v>
      </c>
      <c r="N1295" s="3" t="str">
        <f>HYPERLINK("https://ceds.ed.gov/elementComment.aspx?elementName=Telephone Number &amp;elementID=5279", "Click here to submit comment")</f>
        <v>Click here to submit comment</v>
      </c>
    </row>
    <row r="1296" spans="1:14" ht="409.5">
      <c r="A1296" s="3" t="s">
        <v>5732</v>
      </c>
      <c r="B1296" s="3" t="s">
        <v>5733</v>
      </c>
      <c r="C1296" s="4" t="s">
        <v>6675</v>
      </c>
      <c r="D1296" s="3" t="s">
        <v>6337</v>
      </c>
      <c r="E1296" s="3" t="s">
        <v>5968</v>
      </c>
      <c r="F1296" s="3" t="s">
        <v>3</v>
      </c>
      <c r="G1296" s="3" t="s">
        <v>2844</v>
      </c>
      <c r="H1296" s="3"/>
      <c r="I1296" s="3"/>
      <c r="J1296" s="3" t="s">
        <v>5734</v>
      </c>
      <c r="K1296" s="3"/>
      <c r="L1296" s="3" t="s">
        <v>5735</v>
      </c>
      <c r="M1296" s="3" t="str">
        <f>HYPERLINK("https://ceds.ed.gov/cedselementdetails.aspx?termid=5280")</f>
        <v>https://ceds.ed.gov/cedselementdetails.aspx?termid=5280</v>
      </c>
      <c r="N1296" s="3" t="str">
        <f>HYPERLINK("https://ceds.ed.gov/elementComment.aspx?elementName=Telephone Number Type &amp;elementID=5280", "Click here to submit comment")</f>
        <v>Click here to submit comment</v>
      </c>
    </row>
    <row r="1297" spans="1:14" ht="45">
      <c r="A1297" s="3" t="s">
        <v>5736</v>
      </c>
      <c r="B1297" s="3" t="s">
        <v>5737</v>
      </c>
      <c r="C1297" s="3" t="s">
        <v>5963</v>
      </c>
      <c r="D1297" s="3" t="s">
        <v>1606</v>
      </c>
      <c r="E1297" s="3" t="s">
        <v>36</v>
      </c>
      <c r="F1297" s="3"/>
      <c r="G1297" s="3"/>
      <c r="H1297" s="3"/>
      <c r="I1297" s="3"/>
      <c r="J1297" s="3" t="s">
        <v>5738</v>
      </c>
      <c r="K1297" s="3"/>
      <c r="L1297" s="3" t="s">
        <v>5739</v>
      </c>
      <c r="M1297" s="3" t="str">
        <f>HYPERLINK("https://ceds.ed.gov/cedselementdetails.aspx?termid=5715")</f>
        <v>https://ceds.ed.gov/cedselementdetails.aspx?termid=5715</v>
      </c>
      <c r="N1297" s="3" t="str">
        <f>HYPERLINK("https://ceds.ed.gov/elementComment.aspx?elementName=Tenure System &amp;elementID=5715", "Click here to submit comment")</f>
        <v>Click here to submit comment</v>
      </c>
    </row>
    <row r="1298" spans="1:14" ht="45">
      <c r="A1298" s="3" t="s">
        <v>5740</v>
      </c>
      <c r="B1298" s="3" t="s">
        <v>5741</v>
      </c>
      <c r="C1298" s="3" t="s">
        <v>5963</v>
      </c>
      <c r="D1298" s="3" t="s">
        <v>1471</v>
      </c>
      <c r="E1298" s="3" t="s">
        <v>207</v>
      </c>
      <c r="F1298" s="3" t="s">
        <v>66</v>
      </c>
      <c r="G1298" s="3"/>
      <c r="H1298" s="3" t="s">
        <v>2177</v>
      </c>
      <c r="I1298" s="3"/>
      <c r="J1298" s="3" t="s">
        <v>5742</v>
      </c>
      <c r="K1298" s="3"/>
      <c r="L1298" s="3" t="s">
        <v>5743</v>
      </c>
      <c r="M1298" s="3" t="str">
        <f>HYPERLINK("https://ceds.ed.gov/cedselementdetails.aspx?termid=5473")</f>
        <v>https://ceds.ed.gov/cedselementdetails.aspx?termid=5473</v>
      </c>
      <c r="N1298" s="3" t="str">
        <f>HYPERLINK("https://ceds.ed.gov/elementComment.aspx?elementName=Terminated Title III Programs Due to Failure &amp;elementID=5473", "Click here to submit comment")</f>
        <v>Click here to submit comment</v>
      </c>
    </row>
    <row r="1299" spans="1:14" ht="30">
      <c r="A1299" s="3" t="s">
        <v>5744</v>
      </c>
      <c r="B1299" s="3" t="s">
        <v>5745</v>
      </c>
      <c r="C1299" s="3" t="s">
        <v>13</v>
      </c>
      <c r="D1299" s="3" t="s">
        <v>2267</v>
      </c>
      <c r="E1299" s="3"/>
      <c r="F1299" s="3" t="s">
        <v>54</v>
      </c>
      <c r="G1299" s="3" t="s">
        <v>319</v>
      </c>
      <c r="H1299" s="3"/>
      <c r="I1299" s="3"/>
      <c r="J1299" s="3" t="s">
        <v>5746</v>
      </c>
      <c r="K1299" s="3"/>
      <c r="L1299" s="3" t="s">
        <v>5747</v>
      </c>
      <c r="M1299" s="3" t="str">
        <f>HYPERLINK("https://ceds.ed.gov/cedselementdetails.aspx?termid=6468")</f>
        <v>https://ceds.ed.gov/cedselementdetails.aspx?termid=6468</v>
      </c>
      <c r="N1299" s="3" t="str">
        <f>HYPERLINK("https://ceds.ed.gov/elementComment.aspx?elementName=Thesis or Dissertation Title &amp;elementID=6468", "Click here to submit comment")</f>
        <v>Click here to submit comment</v>
      </c>
    </row>
    <row r="1300" spans="1:14" ht="75">
      <c r="A1300" s="3" t="s">
        <v>5748</v>
      </c>
      <c r="B1300" s="3" t="s">
        <v>5749</v>
      </c>
      <c r="C1300" s="3" t="s">
        <v>13</v>
      </c>
      <c r="D1300" s="3" t="s">
        <v>6098</v>
      </c>
      <c r="E1300" s="3"/>
      <c r="F1300" s="3"/>
      <c r="G1300" s="3" t="s">
        <v>100</v>
      </c>
      <c r="H1300" s="3"/>
      <c r="I1300" s="3"/>
      <c r="J1300" s="3" t="s">
        <v>5750</v>
      </c>
      <c r="K1300" s="3"/>
      <c r="L1300" s="3" t="s">
        <v>5751</v>
      </c>
      <c r="M1300" s="3" t="str">
        <f>HYPERLINK("https://ceds.ed.gov/cedselementdetails.aspx?termid=5514")</f>
        <v>https://ceds.ed.gov/cedselementdetails.aspx?termid=5514</v>
      </c>
      <c r="N1300" s="3" t="str">
        <f>HYPERLINK("https://ceds.ed.gov/elementComment.aspx?elementName=Timetable Day Identifier &amp;elementID=5514", "Click here to submit comment")</f>
        <v>Click here to submit comment</v>
      </c>
    </row>
    <row r="1301" spans="1:14" ht="120">
      <c r="A1301" s="3" t="s">
        <v>5752</v>
      </c>
      <c r="B1301" s="3" t="s">
        <v>5753</v>
      </c>
      <c r="C1301" s="4" t="s">
        <v>6676</v>
      </c>
      <c r="D1301" s="3" t="s">
        <v>5174</v>
      </c>
      <c r="E1301" s="3" t="s">
        <v>5968</v>
      </c>
      <c r="F1301" s="3"/>
      <c r="G1301" s="3"/>
      <c r="H1301" s="3"/>
      <c r="I1301" s="3"/>
      <c r="J1301" s="3" t="s">
        <v>5754</v>
      </c>
      <c r="K1301" s="3"/>
      <c r="L1301" s="3" t="s">
        <v>5755</v>
      </c>
      <c r="M1301" s="3" t="str">
        <f>HYPERLINK("https://ceds.ed.gov/cedselementdetails.aspx?termid=5281")</f>
        <v>https://ceds.ed.gov/cedselementdetails.aspx?termid=5281</v>
      </c>
      <c r="N1301" s="3" t="str">
        <f>HYPERLINK("https://ceds.ed.gov/elementComment.aspx?elementName=Title I Indicator &amp;elementID=5281", "Click here to submit comment")</f>
        <v>Click here to submit comment</v>
      </c>
    </row>
    <row r="1302" spans="1:14" ht="135">
      <c r="A1302" s="3" t="s">
        <v>5756</v>
      </c>
      <c r="B1302" s="3" t="s">
        <v>5757</v>
      </c>
      <c r="C1302" s="4" t="s">
        <v>6677</v>
      </c>
      <c r="D1302" s="3" t="s">
        <v>3399</v>
      </c>
      <c r="E1302" s="3" t="s">
        <v>218</v>
      </c>
      <c r="F1302" s="3"/>
      <c r="G1302" s="3"/>
      <c r="H1302" s="3"/>
      <c r="I1302" s="3"/>
      <c r="J1302" s="3" t="s">
        <v>5758</v>
      </c>
      <c r="K1302" s="3"/>
      <c r="L1302" s="3" t="s">
        <v>5759</v>
      </c>
      <c r="M1302" s="3" t="str">
        <f>HYPERLINK("https://ceds.ed.gov/cedselementdetails.aspx?termid=5282")</f>
        <v>https://ceds.ed.gov/cedselementdetails.aspx?termid=5282</v>
      </c>
      <c r="N1302" s="3" t="str">
        <f>HYPERLINK("https://ceds.ed.gov/elementComment.aspx?elementName=Title I Instructional Services &amp;elementID=5282", "Click here to submit comment")</f>
        <v>Click here to submit comment</v>
      </c>
    </row>
    <row r="1303" spans="1:14" ht="150">
      <c r="A1303" s="3" t="s">
        <v>5760</v>
      </c>
      <c r="B1303" s="3" t="s">
        <v>5761</v>
      </c>
      <c r="C1303" s="4" t="s">
        <v>6678</v>
      </c>
      <c r="D1303" s="3" t="s">
        <v>1723</v>
      </c>
      <c r="E1303" s="3" t="s">
        <v>218</v>
      </c>
      <c r="F1303" s="3"/>
      <c r="G1303" s="3"/>
      <c r="H1303" s="3"/>
      <c r="I1303" s="3"/>
      <c r="J1303" s="3" t="s">
        <v>5762</v>
      </c>
      <c r="K1303" s="3"/>
      <c r="L1303" s="3" t="s">
        <v>5763</v>
      </c>
      <c r="M1303" s="3" t="str">
        <f>HYPERLINK("https://ceds.ed.gov/cedselementdetails.aspx?termid=5283")</f>
        <v>https://ceds.ed.gov/cedselementdetails.aspx?termid=5283</v>
      </c>
      <c r="N1303" s="3" t="str">
        <f>HYPERLINK("https://ceds.ed.gov/elementComment.aspx?elementName=Title I Program Staff Category &amp;elementID=5283", "Click here to submit comment")</f>
        <v>Click here to submit comment</v>
      </c>
    </row>
    <row r="1304" spans="1:14" ht="135">
      <c r="A1304" s="3" t="s">
        <v>5764</v>
      </c>
      <c r="B1304" s="3" t="s">
        <v>5765</v>
      </c>
      <c r="C1304" s="4" t="s">
        <v>6679</v>
      </c>
      <c r="D1304" s="3" t="s">
        <v>6338</v>
      </c>
      <c r="E1304" s="3" t="s">
        <v>218</v>
      </c>
      <c r="F1304" s="3"/>
      <c r="G1304" s="3"/>
      <c r="H1304" s="3"/>
      <c r="I1304" s="3"/>
      <c r="J1304" s="3" t="s">
        <v>5766</v>
      </c>
      <c r="K1304" s="3"/>
      <c r="L1304" s="3" t="s">
        <v>5767</v>
      </c>
      <c r="M1304" s="3" t="str">
        <f>HYPERLINK("https://ceds.ed.gov/cedselementdetails.aspx?termid=5284")</f>
        <v>https://ceds.ed.gov/cedselementdetails.aspx?termid=5284</v>
      </c>
      <c r="N1304" s="3" t="str">
        <f>HYPERLINK("https://ceds.ed.gov/elementComment.aspx?elementName=Title I Program Type &amp;elementID=5284", "Click here to submit comment")</f>
        <v>Click here to submit comment</v>
      </c>
    </row>
    <row r="1305" spans="1:14" ht="195">
      <c r="A1305" s="3" t="s">
        <v>5768</v>
      </c>
      <c r="B1305" s="3" t="s">
        <v>5769</v>
      </c>
      <c r="C1305" s="4" t="s">
        <v>6680</v>
      </c>
      <c r="D1305" s="3" t="s">
        <v>2235</v>
      </c>
      <c r="E1305" s="3" t="s">
        <v>218</v>
      </c>
      <c r="F1305" s="3"/>
      <c r="G1305" s="3"/>
      <c r="H1305" s="3"/>
      <c r="I1305" s="3"/>
      <c r="J1305" s="3" t="s">
        <v>5770</v>
      </c>
      <c r="K1305" s="3"/>
      <c r="L1305" s="3" t="s">
        <v>5771</v>
      </c>
      <c r="M1305" s="3" t="str">
        <f>HYPERLINK("https://ceds.ed.gov/cedselementdetails.aspx?termid=5285")</f>
        <v>https://ceds.ed.gov/cedselementdetails.aspx?termid=5285</v>
      </c>
      <c r="N1305" s="3" t="str">
        <f>HYPERLINK("https://ceds.ed.gov/elementComment.aspx?elementName=Title I School Status &amp;elementID=5285", "Click here to submit comment")</f>
        <v>Click here to submit comment</v>
      </c>
    </row>
    <row r="1306" spans="1:14" ht="90">
      <c r="A1306" s="3" t="s">
        <v>5772</v>
      </c>
      <c r="B1306" s="3" t="s">
        <v>5773</v>
      </c>
      <c r="C1306" s="3" t="s">
        <v>5963</v>
      </c>
      <c r="D1306" s="3" t="s">
        <v>5174</v>
      </c>
      <c r="E1306" s="3" t="s">
        <v>218</v>
      </c>
      <c r="F1306" s="3"/>
      <c r="G1306" s="3"/>
      <c r="H1306" s="3"/>
      <c r="I1306" s="3"/>
      <c r="J1306" s="3" t="s">
        <v>5774</v>
      </c>
      <c r="K1306" s="3"/>
      <c r="L1306" s="3" t="s">
        <v>5775</v>
      </c>
      <c r="M1306" s="3" t="str">
        <f>HYPERLINK("https://ceds.ed.gov/cedselementdetails.aspx?termid=5286")</f>
        <v>https://ceds.ed.gov/cedselementdetails.aspx?termid=5286</v>
      </c>
      <c r="N1306" s="3" t="str">
        <f>HYPERLINK("https://ceds.ed.gov/elementComment.aspx?elementName=Title I School Supplemental Services Applied Status &amp;elementID=5286", "Click here to submit comment")</f>
        <v>Click here to submit comment</v>
      </c>
    </row>
    <row r="1307" spans="1:14" ht="75">
      <c r="A1307" s="3" t="s">
        <v>5776</v>
      </c>
      <c r="B1307" s="3" t="s">
        <v>5777</v>
      </c>
      <c r="C1307" s="3" t="s">
        <v>5963</v>
      </c>
      <c r="D1307" s="3" t="s">
        <v>5174</v>
      </c>
      <c r="E1307" s="3" t="s">
        <v>218</v>
      </c>
      <c r="F1307" s="3"/>
      <c r="G1307" s="3"/>
      <c r="H1307" s="3"/>
      <c r="I1307" s="3"/>
      <c r="J1307" s="3" t="s">
        <v>5778</v>
      </c>
      <c r="K1307" s="3"/>
      <c r="L1307" s="3" t="s">
        <v>5779</v>
      </c>
      <c r="M1307" s="3" t="str">
        <f>HYPERLINK("https://ceds.ed.gov/cedselementdetails.aspx?termid=5287")</f>
        <v>https://ceds.ed.gov/cedselementdetails.aspx?termid=5287</v>
      </c>
      <c r="N1307" s="3" t="str">
        <f>HYPERLINK("https://ceds.ed.gov/elementComment.aspx?elementName=Title I School Supplemental Services Eligible Status &amp;elementID=5287", "Click here to submit comment")</f>
        <v>Click here to submit comment</v>
      </c>
    </row>
    <row r="1308" spans="1:14" ht="75">
      <c r="A1308" s="3" t="s">
        <v>5780</v>
      </c>
      <c r="B1308" s="3" t="s">
        <v>5781</v>
      </c>
      <c r="C1308" s="3" t="s">
        <v>5963</v>
      </c>
      <c r="D1308" s="3" t="s">
        <v>5174</v>
      </c>
      <c r="E1308" s="3" t="s">
        <v>218</v>
      </c>
      <c r="F1308" s="3"/>
      <c r="G1308" s="3"/>
      <c r="H1308" s="3"/>
      <c r="I1308" s="3"/>
      <c r="J1308" s="3" t="s">
        <v>5782</v>
      </c>
      <c r="K1308" s="3"/>
      <c r="L1308" s="3" t="s">
        <v>5783</v>
      </c>
      <c r="M1308" s="3" t="str">
        <f>HYPERLINK("https://ceds.ed.gov/cedselementdetails.aspx?termid=5288")</f>
        <v>https://ceds.ed.gov/cedselementdetails.aspx?termid=5288</v>
      </c>
      <c r="N1308" s="3" t="str">
        <f>HYPERLINK("https://ceds.ed.gov/elementComment.aspx?elementName=Title I School Supplemental Services Received Status &amp;elementID=5288", "Click here to submit comment")</f>
        <v>Click here to submit comment</v>
      </c>
    </row>
    <row r="1309" spans="1:14" ht="60">
      <c r="A1309" s="3" t="s">
        <v>5784</v>
      </c>
      <c r="B1309" s="3" t="s">
        <v>5785</v>
      </c>
      <c r="C1309" s="3" t="s">
        <v>5963</v>
      </c>
      <c r="D1309" s="3" t="s">
        <v>5174</v>
      </c>
      <c r="E1309" s="3" t="s">
        <v>218</v>
      </c>
      <c r="F1309" s="3"/>
      <c r="G1309" s="3"/>
      <c r="H1309" s="3"/>
      <c r="I1309" s="3"/>
      <c r="J1309" s="3" t="s">
        <v>5786</v>
      </c>
      <c r="K1309" s="3"/>
      <c r="L1309" s="3" t="s">
        <v>5787</v>
      </c>
      <c r="M1309" s="3" t="str">
        <f>HYPERLINK("https://ceds.ed.gov/cedselementdetails.aspx?termid=5541")</f>
        <v>https://ceds.ed.gov/cedselementdetails.aspx?termid=5541</v>
      </c>
      <c r="N1309" s="3" t="str">
        <f>HYPERLINK("https://ceds.ed.gov/elementComment.aspx?elementName=Title I Schoolwide Program Participation &amp;elementID=5541", "Click here to submit comment")</f>
        <v>Click here to submit comment</v>
      </c>
    </row>
    <row r="1310" spans="1:14" ht="90">
      <c r="A1310" s="3" t="s">
        <v>5788</v>
      </c>
      <c r="B1310" s="3" t="s">
        <v>5789</v>
      </c>
      <c r="C1310" s="4" t="s">
        <v>6681</v>
      </c>
      <c r="D1310" s="3" t="s">
        <v>3399</v>
      </c>
      <c r="E1310" s="3" t="s">
        <v>218</v>
      </c>
      <c r="F1310" s="3"/>
      <c r="G1310" s="3"/>
      <c r="H1310" s="3"/>
      <c r="I1310" s="3"/>
      <c r="J1310" s="3" t="s">
        <v>5790</v>
      </c>
      <c r="K1310" s="3"/>
      <c r="L1310" s="3" t="s">
        <v>5791</v>
      </c>
      <c r="M1310" s="3" t="str">
        <f>HYPERLINK("https://ceds.ed.gov/cedselementdetails.aspx?termid=5289")</f>
        <v>https://ceds.ed.gov/cedselementdetails.aspx?termid=5289</v>
      </c>
      <c r="N1310" s="3" t="str">
        <f>HYPERLINK("https://ceds.ed.gov/elementComment.aspx?elementName=Title I Support Services &amp;elementID=5289", "Click here to submit comment")</f>
        <v>Click here to submit comment</v>
      </c>
    </row>
    <row r="1311" spans="1:14" ht="75">
      <c r="A1311" s="3" t="s">
        <v>5792</v>
      </c>
      <c r="B1311" s="3" t="s">
        <v>5793</v>
      </c>
      <c r="C1311" s="3" t="s">
        <v>5963</v>
      </c>
      <c r="D1311" s="3" t="s">
        <v>5174</v>
      </c>
      <c r="E1311" s="3" t="s">
        <v>218</v>
      </c>
      <c r="F1311" s="3"/>
      <c r="G1311" s="3"/>
      <c r="H1311" s="3"/>
      <c r="I1311" s="3"/>
      <c r="J1311" s="3" t="s">
        <v>5794</v>
      </c>
      <c r="K1311" s="3"/>
      <c r="L1311" s="3" t="s">
        <v>5795</v>
      </c>
      <c r="M1311" s="3" t="str">
        <f>HYPERLINK("https://ceds.ed.gov/cedselementdetails.aspx?termid=5542")</f>
        <v>https://ceds.ed.gov/cedselementdetails.aspx?termid=5542</v>
      </c>
      <c r="N1311" s="3" t="str">
        <f>HYPERLINK("https://ceds.ed.gov/elementComment.aspx?elementName=Title I Targeted Assistance Participation &amp;elementID=5542", "Click here to submit comment")</f>
        <v>Click here to submit comment</v>
      </c>
    </row>
    <row r="1312" spans="1:14" ht="60">
      <c r="A1312" s="3" t="s">
        <v>5796</v>
      </c>
      <c r="B1312" s="3" t="s">
        <v>5797</v>
      </c>
      <c r="C1312" s="3" t="s">
        <v>5963</v>
      </c>
      <c r="D1312" s="3" t="s">
        <v>1779</v>
      </c>
      <c r="E1312" s="3"/>
      <c r="F1312" s="3"/>
      <c r="G1312" s="3"/>
      <c r="H1312" s="3"/>
      <c r="I1312" s="3"/>
      <c r="J1312" s="3" t="s">
        <v>5798</v>
      </c>
      <c r="K1312" s="3"/>
      <c r="L1312" s="3" t="s">
        <v>5799</v>
      </c>
      <c r="M1312" s="3" t="str">
        <f>HYPERLINK("https://ceds.ed.gov/cedselementdetails.aspx?termid=5543")</f>
        <v>https://ceds.ed.gov/cedselementdetails.aspx?termid=5543</v>
      </c>
      <c r="N1312" s="3" t="str">
        <f>HYPERLINK("https://ceds.ed.gov/elementComment.aspx?elementName=Title I Targeted Assistance Staff Funded &amp;elementID=5543", "Click here to submit comment")</f>
        <v>Click here to submit comment</v>
      </c>
    </row>
    <row r="1313" spans="1:14" ht="60">
      <c r="A1313" s="3" t="s">
        <v>5800</v>
      </c>
      <c r="B1313" s="3" t="s">
        <v>5801</v>
      </c>
      <c r="C1313" s="4" t="s">
        <v>6682</v>
      </c>
      <c r="D1313" s="3" t="s">
        <v>3982</v>
      </c>
      <c r="E1313" s="3" t="s">
        <v>218</v>
      </c>
      <c r="F1313" s="3"/>
      <c r="G1313" s="3"/>
      <c r="H1313" s="3"/>
      <c r="I1313" s="3"/>
      <c r="J1313" s="3" t="s">
        <v>5802</v>
      </c>
      <c r="K1313" s="3"/>
      <c r="L1313" s="3" t="s">
        <v>5803</v>
      </c>
      <c r="M1313" s="3" t="str">
        <f>HYPERLINK("https://ceds.ed.gov/cedselementdetails.aspx?termid=5527")</f>
        <v>https://ceds.ed.gov/cedselementdetails.aspx?termid=5527</v>
      </c>
      <c r="N1313" s="3" t="str">
        <f>HYPERLINK("https://ceds.ed.gov/elementComment.aspx?elementName=Title III Accountability Progress Status &amp;elementID=5527", "Click here to submit comment")</f>
        <v>Click here to submit comment</v>
      </c>
    </row>
    <row r="1314" spans="1:14" ht="90">
      <c r="A1314" s="3" t="s">
        <v>5804</v>
      </c>
      <c r="B1314" s="3" t="s">
        <v>5805</v>
      </c>
      <c r="C1314" s="3" t="s">
        <v>5963</v>
      </c>
      <c r="D1314" s="3" t="s">
        <v>2769</v>
      </c>
      <c r="E1314" s="3" t="s">
        <v>218</v>
      </c>
      <c r="F1314" s="3"/>
      <c r="G1314" s="3"/>
      <c r="H1314" s="3"/>
      <c r="I1314" s="3"/>
      <c r="J1314" s="3" t="s">
        <v>5806</v>
      </c>
      <c r="K1314" s="3"/>
      <c r="L1314" s="3" t="s">
        <v>5807</v>
      </c>
      <c r="M1314" s="3" t="str">
        <f>HYPERLINK("https://ceds.ed.gov/cedselementdetails.aspx?termid=5290")</f>
        <v>https://ceds.ed.gov/cedselementdetails.aspx?termid=5290</v>
      </c>
      <c r="N1314" s="3" t="str">
        <f>HYPERLINK("https://ceds.ed.gov/elementComment.aspx?elementName=Title III Immigrant Participation Status &amp;elementID=5290", "Click here to submit comment")</f>
        <v>Click here to submit comment</v>
      </c>
    </row>
    <row r="1315" spans="1:14" ht="120">
      <c r="A1315" s="3" t="s">
        <v>5808</v>
      </c>
      <c r="B1315" s="3" t="s">
        <v>5809</v>
      </c>
      <c r="C1315" s="3" t="s">
        <v>5963</v>
      </c>
      <c r="D1315" s="3" t="s">
        <v>2769</v>
      </c>
      <c r="E1315" s="3" t="s">
        <v>5968</v>
      </c>
      <c r="F1315" s="3"/>
      <c r="G1315" s="3"/>
      <c r="H1315" s="3"/>
      <c r="I1315" s="3"/>
      <c r="J1315" s="3" t="s">
        <v>5810</v>
      </c>
      <c r="K1315" s="3"/>
      <c r="L1315" s="3" t="s">
        <v>5811</v>
      </c>
      <c r="M1315" s="3" t="str">
        <f>HYPERLINK("https://ceds.ed.gov/cedselementdetails.aspx?termid=5291")</f>
        <v>https://ceds.ed.gov/cedselementdetails.aspx?termid=5291</v>
      </c>
      <c r="N1315" s="3" t="str">
        <f>HYPERLINK("https://ceds.ed.gov/elementComment.aspx?elementName=Title III Immigrant Status &amp;elementID=5291", "Click here to submit comment")</f>
        <v>Click here to submit comment</v>
      </c>
    </row>
    <row r="1316" spans="1:14" ht="270">
      <c r="A1316" s="3" t="s">
        <v>5812</v>
      </c>
      <c r="B1316" s="3" t="s">
        <v>5813</v>
      </c>
      <c r="C1316" s="4" t="s">
        <v>6683</v>
      </c>
      <c r="D1316" s="3" t="s">
        <v>6338</v>
      </c>
      <c r="E1316" s="3" t="s">
        <v>207</v>
      </c>
      <c r="F1316" s="3"/>
      <c r="G1316" s="3"/>
      <c r="H1316" s="3"/>
      <c r="I1316" s="3"/>
      <c r="J1316" s="3" t="s">
        <v>5814</v>
      </c>
      <c r="K1316" s="3"/>
      <c r="L1316" s="3" t="s">
        <v>5815</v>
      </c>
      <c r="M1316" s="3" t="str">
        <f>HYPERLINK("https://ceds.ed.gov/cedselementdetails.aspx?termid=5437")</f>
        <v>https://ceds.ed.gov/cedselementdetails.aspx?termid=5437</v>
      </c>
      <c r="N1316" s="3" t="str">
        <f>HYPERLINK("https://ceds.ed.gov/elementComment.aspx?elementName=Title III Language Instruction Program Type &amp;elementID=5437", "Click here to submit comment")</f>
        <v>Click here to submit comment</v>
      </c>
    </row>
    <row r="1317" spans="1:14" ht="75">
      <c r="A1317" s="3" t="s">
        <v>5816</v>
      </c>
      <c r="B1317" s="3" t="s">
        <v>5817</v>
      </c>
      <c r="C1317" s="3" t="s">
        <v>5963</v>
      </c>
      <c r="D1317" s="3" t="s">
        <v>3982</v>
      </c>
      <c r="E1317" s="3" t="s">
        <v>218</v>
      </c>
      <c r="F1317" s="3"/>
      <c r="G1317" s="3"/>
      <c r="H1317" s="3"/>
      <c r="I1317" s="3"/>
      <c r="J1317" s="3" t="s">
        <v>5818</v>
      </c>
      <c r="K1317" s="3" t="s">
        <v>5819</v>
      </c>
      <c r="L1317" s="3" t="s">
        <v>5820</v>
      </c>
      <c r="M1317" s="3" t="str">
        <f>HYPERLINK("https://ceds.ed.gov/cedselementdetails.aspx?termid=5557")</f>
        <v>https://ceds.ed.gov/cedselementdetails.aspx?termid=5557</v>
      </c>
      <c r="N1317" s="3" t="str">
        <f>HYPERLINK("https://ceds.ed.gov/elementComment.aspx?elementName=Title III Limited English Proficient Participation Status &amp;elementID=5557", "Click here to submit comment")</f>
        <v>Click here to submit comment</v>
      </c>
    </row>
    <row r="1318" spans="1:14" ht="150">
      <c r="A1318" s="3" t="s">
        <v>5821</v>
      </c>
      <c r="B1318" s="3" t="s">
        <v>5822</v>
      </c>
      <c r="C1318" s="4" t="s">
        <v>6684</v>
      </c>
      <c r="D1318" s="3" t="s">
        <v>59</v>
      </c>
      <c r="E1318" s="3" t="s">
        <v>207</v>
      </c>
      <c r="F1318" s="3"/>
      <c r="G1318" s="3"/>
      <c r="H1318" s="3"/>
      <c r="I1318" s="3"/>
      <c r="J1318" s="3" t="s">
        <v>5823</v>
      </c>
      <c r="K1318" s="3"/>
      <c r="L1318" s="3" t="s">
        <v>5824</v>
      </c>
      <c r="M1318" s="3" t="str">
        <f>HYPERLINK("https://ceds.ed.gov/cedselementdetails.aspx?termid=5478")</f>
        <v>https://ceds.ed.gov/cedselementdetails.aspx?termid=5478</v>
      </c>
      <c r="N1318" s="3" t="str">
        <f>HYPERLINK("https://ceds.ed.gov/elementComment.aspx?elementName=Title III Professional Development Type &amp;elementID=5478", "Click here to submit comment")</f>
        <v>Click here to submit comment</v>
      </c>
    </row>
    <row r="1319" spans="1:14" ht="210">
      <c r="A1319" s="3" t="s">
        <v>5825</v>
      </c>
      <c r="B1319" s="3" t="s">
        <v>5826</v>
      </c>
      <c r="C1319" s="3" t="s">
        <v>5963</v>
      </c>
      <c r="D1319" s="3" t="s">
        <v>1708</v>
      </c>
      <c r="E1319" s="3" t="s">
        <v>5976</v>
      </c>
      <c r="F1319" s="3"/>
      <c r="G1319" s="3"/>
      <c r="H1319" s="3"/>
      <c r="I1319" s="3"/>
      <c r="J1319" s="3" t="s">
        <v>5827</v>
      </c>
      <c r="K1319" s="3"/>
      <c r="L1319" s="3" t="s">
        <v>5828</v>
      </c>
      <c r="M1319" s="3" t="str">
        <f>HYPERLINK("https://ceds.ed.gov/cedselementdetails.aspx?termid=5292")</f>
        <v>https://ceds.ed.gov/cedselementdetails.aspx?termid=5292</v>
      </c>
      <c r="N1319" s="3" t="str">
        <f>HYPERLINK("https://ceds.ed.gov/elementComment.aspx?elementName=Title IV Participant and Recipient &amp;elementID=5292", "Click here to submit comment")</f>
        <v>Click here to submit comment</v>
      </c>
    </row>
    <row r="1320" spans="1:14" ht="90">
      <c r="A1320" s="3" t="s">
        <v>5829</v>
      </c>
      <c r="B1320" s="3" t="s">
        <v>5830</v>
      </c>
      <c r="C1320" s="3" t="s">
        <v>13</v>
      </c>
      <c r="D1320" s="3" t="s">
        <v>388</v>
      </c>
      <c r="E1320" s="3" t="s">
        <v>202</v>
      </c>
      <c r="F1320" s="3"/>
      <c r="G1320" s="3" t="s">
        <v>389</v>
      </c>
      <c r="H1320" s="3"/>
      <c r="I1320" s="3"/>
      <c r="J1320" s="3" t="s">
        <v>5831</v>
      </c>
      <c r="K1320" s="3"/>
      <c r="L1320" s="3" t="s">
        <v>5832</v>
      </c>
      <c r="M1320" s="3" t="str">
        <f>HYPERLINK("https://ceds.ed.gov/cedselementdetails.aspx?termid=5787")</f>
        <v>https://ceds.ed.gov/cedselementdetails.aspx?termid=5787</v>
      </c>
      <c r="N1320" s="3" t="str">
        <f>HYPERLINK("https://ceds.ed.gov/elementComment.aspx?elementName=Total Approved Early Childhood Credits Earned &amp;elementID=5787", "Click here to submit comment")</f>
        <v>Click here to submit comment</v>
      </c>
    </row>
    <row r="1321" spans="1:14" ht="75">
      <c r="A1321" s="3" t="s">
        <v>5833</v>
      </c>
      <c r="B1321" s="3" t="s">
        <v>5834</v>
      </c>
      <c r="C1321" s="4" t="s">
        <v>6685</v>
      </c>
      <c r="D1321" s="3" t="s">
        <v>1708</v>
      </c>
      <c r="E1321" s="3" t="s">
        <v>5976</v>
      </c>
      <c r="F1321" s="3"/>
      <c r="G1321" s="3"/>
      <c r="H1321" s="3"/>
      <c r="I1321" s="3"/>
      <c r="J1321" s="3" t="s">
        <v>5835</v>
      </c>
      <c r="K1321" s="3"/>
      <c r="L1321" s="3" t="s">
        <v>5836</v>
      </c>
      <c r="M1321" s="3" t="str">
        <f>HYPERLINK("https://ceds.ed.gov/cedselementdetails.aspx?termid=5296")</f>
        <v>https://ceds.ed.gov/cedselementdetails.aspx?termid=5296</v>
      </c>
      <c r="N1321" s="3" t="str">
        <f>HYPERLINK("https://ceds.ed.gov/elementComment.aspx?elementName=Transfer-ready &amp;elementID=5296", "Click here to submit comment")</f>
        <v>Click here to submit comment</v>
      </c>
    </row>
    <row r="1322" spans="1:14" ht="45">
      <c r="A1322" s="3" t="s">
        <v>5837</v>
      </c>
      <c r="B1322" s="3" t="s">
        <v>5838</v>
      </c>
      <c r="C1322" s="3" t="s">
        <v>5963</v>
      </c>
      <c r="D1322" s="3" t="s">
        <v>154</v>
      </c>
      <c r="E1322" s="3" t="s">
        <v>218</v>
      </c>
      <c r="F1322" s="3"/>
      <c r="G1322" s="3"/>
      <c r="H1322" s="3"/>
      <c r="I1322" s="3"/>
      <c r="J1322" s="3" t="s">
        <v>5839</v>
      </c>
      <c r="K1322" s="3"/>
      <c r="L1322" s="3" t="s">
        <v>5840</v>
      </c>
      <c r="M1322" s="3" t="str">
        <f>HYPERLINK("https://ceds.ed.gov/cedselementdetails.aspx?termid=5561")</f>
        <v>https://ceds.ed.gov/cedselementdetails.aspx?termid=5561</v>
      </c>
      <c r="N1322" s="3" t="str">
        <f>HYPERLINK("https://ceds.ed.gov/elementComment.aspx?elementName=Truant Status &amp;elementID=5561", "Click here to submit comment")</f>
        <v>Click here to submit comment</v>
      </c>
    </row>
    <row r="1323" spans="1:14" ht="90">
      <c r="A1323" s="3" t="s">
        <v>5841</v>
      </c>
      <c r="B1323" s="3" t="s">
        <v>5842</v>
      </c>
      <c r="C1323" s="3" t="s">
        <v>13</v>
      </c>
      <c r="D1323" s="3" t="s">
        <v>1494</v>
      </c>
      <c r="E1323" s="3" t="s">
        <v>1495</v>
      </c>
      <c r="F1323" s="3"/>
      <c r="G1323" s="3" t="s">
        <v>1461</v>
      </c>
      <c r="H1323" s="3"/>
      <c r="I1323" s="3" t="s">
        <v>5843</v>
      </c>
      <c r="J1323" s="3" t="s">
        <v>5844</v>
      </c>
      <c r="K1323" s="3"/>
      <c r="L1323" s="3" t="s">
        <v>5845</v>
      </c>
      <c r="M1323" s="3" t="str">
        <f>HYPERLINK("https://ceds.ed.gov/cedselementdetails.aspx?termid=5723")</f>
        <v>https://ceds.ed.gov/cedselementdetails.aspx?termid=5723</v>
      </c>
      <c r="N1323" s="3" t="str">
        <f>HYPERLINK("https://ceds.ed.gov/elementComment.aspx?elementName=Tuition - Published &amp;elementID=5723", "Click here to submit comment")</f>
        <v>Click here to submit comment</v>
      </c>
    </row>
    <row r="1324" spans="1:14" ht="90">
      <c r="A1324" s="3" t="s">
        <v>5846</v>
      </c>
      <c r="B1324" s="3" t="s">
        <v>5847</v>
      </c>
      <c r="C1324" s="4" t="s">
        <v>6686</v>
      </c>
      <c r="D1324" s="3" t="s">
        <v>1536</v>
      </c>
      <c r="E1324" s="3" t="s">
        <v>1537</v>
      </c>
      <c r="F1324" s="3"/>
      <c r="G1324" s="3"/>
      <c r="H1324" s="3"/>
      <c r="I1324" s="3"/>
      <c r="J1324" s="3" t="s">
        <v>5848</v>
      </c>
      <c r="K1324" s="3"/>
      <c r="L1324" s="3" t="s">
        <v>5849</v>
      </c>
      <c r="M1324" s="3" t="str">
        <f>HYPERLINK("https://ceds.ed.gov/cedselementdetails.aspx?termid=5297")</f>
        <v>https://ceds.ed.gov/cedselementdetails.aspx?termid=5297</v>
      </c>
      <c r="N1324" s="3" t="str">
        <f>HYPERLINK("https://ceds.ed.gov/elementComment.aspx?elementName=Tuition Residency Type &amp;elementID=5297", "Click here to submit comment")</f>
        <v>Click here to submit comment</v>
      </c>
    </row>
    <row r="1325" spans="1:14" ht="90">
      <c r="A1325" s="3" t="s">
        <v>5850</v>
      </c>
      <c r="B1325" s="3" t="s">
        <v>5851</v>
      </c>
      <c r="C1325" s="4" t="s">
        <v>6687</v>
      </c>
      <c r="D1325" s="3" t="s">
        <v>1494</v>
      </c>
      <c r="E1325" s="3" t="s">
        <v>1495</v>
      </c>
      <c r="F1325" s="3"/>
      <c r="G1325" s="3"/>
      <c r="H1325" s="3"/>
      <c r="I1325" s="3" t="s">
        <v>358</v>
      </c>
      <c r="J1325" s="3" t="s">
        <v>5852</v>
      </c>
      <c r="K1325" s="3"/>
      <c r="L1325" s="3" t="s">
        <v>5853</v>
      </c>
      <c r="M1325" s="3" t="str">
        <f>HYPERLINK("https://ceds.ed.gov/cedselementdetails.aspx?termid=5725")</f>
        <v>https://ceds.ed.gov/cedselementdetails.aspx?termid=5725</v>
      </c>
      <c r="N1325" s="3" t="str">
        <f>HYPERLINK("https://ceds.ed.gov/elementComment.aspx?elementName=Tuition Unit &amp;elementID=5725", "Click here to submit comment")</f>
        <v>Click here to submit comment</v>
      </c>
    </row>
    <row r="1326" spans="1:14" ht="195">
      <c r="A1326" s="3" t="s">
        <v>5854</v>
      </c>
      <c r="B1326" s="3" t="s">
        <v>5855</v>
      </c>
      <c r="C1326" s="4" t="s">
        <v>6688</v>
      </c>
      <c r="D1326" s="3" t="s">
        <v>2822</v>
      </c>
      <c r="E1326" s="3" t="s">
        <v>207</v>
      </c>
      <c r="F1326" s="3"/>
      <c r="G1326" s="3"/>
      <c r="H1326" s="3"/>
      <c r="I1326" s="3"/>
      <c r="J1326" s="3" t="s">
        <v>5856</v>
      </c>
      <c r="K1326" s="3" t="s">
        <v>5857</v>
      </c>
      <c r="L1326" s="3" t="s">
        <v>5858</v>
      </c>
      <c r="M1326" s="3" t="str">
        <f>HYPERLINK("https://ceds.ed.gov/cedselementdetails.aspx?termid=5477")</f>
        <v>https://ceds.ed.gov/cedselementdetails.aspx?termid=5477</v>
      </c>
      <c r="N1326" s="3" t="str">
        <f>HYPERLINK("https://ceds.ed.gov/elementComment.aspx?elementName=Type of Use of the Rural Low-Income Schools Program &amp;elementID=5477", "Click here to submit comment")</f>
        <v>Click here to submit comment</v>
      </c>
    </row>
    <row r="1327" spans="1:14" ht="30">
      <c r="A1327" s="3" t="s">
        <v>5859</v>
      </c>
      <c r="B1327" s="3" t="s">
        <v>5860</v>
      </c>
      <c r="C1327" s="3" t="s">
        <v>13</v>
      </c>
      <c r="D1327" s="3" t="s">
        <v>3012</v>
      </c>
      <c r="E1327" s="3"/>
      <c r="F1327" s="3" t="s">
        <v>54</v>
      </c>
      <c r="G1327" s="3" t="s">
        <v>319</v>
      </c>
      <c r="H1327" s="3"/>
      <c r="I1327" s="3"/>
      <c r="J1327" s="3" t="s">
        <v>5861</v>
      </c>
      <c r="K1327" s="3"/>
      <c r="L1327" s="3" t="s">
        <v>5862</v>
      </c>
      <c r="M1327" s="3" t="str">
        <f>HYPERLINK("https://ceds.ed.gov/cedselementdetails.aspx?termid=6469")</f>
        <v>https://ceds.ed.gov/cedselementdetails.aspx?termid=6469</v>
      </c>
      <c r="N1327" s="3" t="str">
        <f>HYPERLINK("https://ceds.ed.gov/elementComment.aspx?elementName=Union Membership Name &amp;elementID=6469", "Click here to submit comment")</f>
        <v>Click here to submit comment</v>
      </c>
    </row>
    <row r="1328" spans="1:14" ht="45">
      <c r="A1328" s="3" t="s">
        <v>5863</v>
      </c>
      <c r="B1328" s="3" t="s">
        <v>5864</v>
      </c>
      <c r="C1328" s="3" t="s">
        <v>5963</v>
      </c>
      <c r="D1328" s="3" t="s">
        <v>3012</v>
      </c>
      <c r="E1328" s="3" t="s">
        <v>202</v>
      </c>
      <c r="F1328" s="3"/>
      <c r="G1328" s="3"/>
      <c r="H1328" s="3"/>
      <c r="I1328" s="3"/>
      <c r="J1328" s="3" t="s">
        <v>5865</v>
      </c>
      <c r="K1328" s="3"/>
      <c r="L1328" s="3" t="s">
        <v>5866</v>
      </c>
      <c r="M1328" s="3" t="str">
        <f>HYPERLINK("https://ceds.ed.gov/cedselementdetails.aspx?termid=5798")</f>
        <v>https://ceds.ed.gov/cedselementdetails.aspx?termid=5798</v>
      </c>
      <c r="N1328" s="3" t="str">
        <f>HYPERLINK("https://ceds.ed.gov/elementComment.aspx?elementName=Union Membership Status &amp;elementID=5798", "Click here to submit comment")</f>
        <v>Click here to submit comment</v>
      </c>
    </row>
    <row r="1329" spans="1:14" ht="105">
      <c r="A1329" s="3" t="s">
        <v>5867</v>
      </c>
      <c r="B1329" s="3" t="s">
        <v>5868</v>
      </c>
      <c r="C1329" s="4" t="s">
        <v>6689</v>
      </c>
      <c r="D1329" s="3" t="s">
        <v>6339</v>
      </c>
      <c r="E1329" s="3" t="s">
        <v>6340</v>
      </c>
      <c r="F1329" s="3"/>
      <c r="G1329" s="3"/>
      <c r="H1329" s="3"/>
      <c r="I1329" s="3" t="s">
        <v>5355</v>
      </c>
      <c r="J1329" s="3" t="s">
        <v>5869</v>
      </c>
      <c r="K1329" s="3"/>
      <c r="L1329" s="3" t="s">
        <v>5870</v>
      </c>
      <c r="M1329" s="3" t="str">
        <f>HYPERLINK("https://ceds.ed.gov/cedselementdetails.aspx?termid=5299")</f>
        <v>https://ceds.ed.gov/cedselementdetails.aspx?termid=5299</v>
      </c>
      <c r="N1329" s="3" t="str">
        <f>HYPERLINK("https://ceds.ed.gov/elementComment.aspx?elementName=United States Citizenship Status &amp;elementID=5299", "Click here to submit comment")</f>
        <v>Click here to submit comment</v>
      </c>
    </row>
    <row r="1330" spans="1:14" ht="345">
      <c r="A1330" s="3" t="s">
        <v>5871</v>
      </c>
      <c r="B1330" s="3" t="s">
        <v>5872</v>
      </c>
      <c r="C1330" s="4" t="s">
        <v>6690</v>
      </c>
      <c r="D1330" s="3" t="s">
        <v>2103</v>
      </c>
      <c r="E1330" s="3" t="s">
        <v>207</v>
      </c>
      <c r="F1330" s="3"/>
      <c r="G1330" s="3"/>
      <c r="H1330" s="3"/>
      <c r="I1330" s="3"/>
      <c r="J1330" s="3" t="s">
        <v>5873</v>
      </c>
      <c r="K1330" s="3"/>
      <c r="L1330" s="3" t="s">
        <v>5874</v>
      </c>
      <c r="M1330" s="3" t="str">
        <f>HYPERLINK("https://ceds.ed.gov/cedselementdetails.aspx?termid=5449")</f>
        <v>https://ceds.ed.gov/cedselementdetails.aspx?termid=5449</v>
      </c>
      <c r="N1330" s="3" t="str">
        <f>HYPERLINK("https://ceds.ed.gov/elementComment.aspx?elementName=Uses of Funds for Purposes other than Standards and Assessment Development &amp;elementID=5449", "Click here to submit comment")</f>
        <v>Click here to submit comment</v>
      </c>
    </row>
    <row r="1331" spans="1:14" ht="120">
      <c r="A1331" s="3" t="s">
        <v>5875</v>
      </c>
      <c r="B1331" s="3" t="s">
        <v>5876</v>
      </c>
      <c r="C1331" s="3" t="s">
        <v>5963</v>
      </c>
      <c r="D1331" s="3" t="s">
        <v>6341</v>
      </c>
      <c r="E1331" s="3"/>
      <c r="F1331" s="3"/>
      <c r="G1331" s="3"/>
      <c r="H1331" s="3"/>
      <c r="I1331" s="3"/>
      <c r="J1331" s="3" t="s">
        <v>5877</v>
      </c>
      <c r="K1331" s="3"/>
      <c r="L1331" s="3" t="s">
        <v>5878</v>
      </c>
      <c r="M1331" s="3" t="str">
        <f>HYPERLINK("https://ceds.ed.gov/cedselementdetails.aspx?termid=6167")</f>
        <v>https://ceds.ed.gov/cedselementdetails.aspx?termid=6167</v>
      </c>
      <c r="N1331" s="3" t="str">
        <f>HYPERLINK("https://ceds.ed.gov/elementComment.aspx?elementName=Virtual Indicator &amp;elementID=6167", "Click here to submit comment")</f>
        <v>Click here to submit comment</v>
      </c>
    </row>
    <row r="1332" spans="1:14" ht="150">
      <c r="A1332" s="3" t="s">
        <v>5879</v>
      </c>
      <c r="B1332" s="3" t="s">
        <v>5880</v>
      </c>
      <c r="C1332" s="4" t="s">
        <v>6691</v>
      </c>
      <c r="D1332" s="3" t="s">
        <v>1536</v>
      </c>
      <c r="E1332" s="3" t="s">
        <v>1537</v>
      </c>
      <c r="F1332" s="3"/>
      <c r="G1332" s="3"/>
      <c r="H1332" s="3"/>
      <c r="I1332" s="3"/>
      <c r="J1332" s="3" t="s">
        <v>5881</v>
      </c>
      <c r="K1332" s="3"/>
      <c r="L1332" s="3" t="s">
        <v>5882</v>
      </c>
      <c r="M1332" s="3" t="str">
        <f>HYPERLINK("https://ceds.ed.gov/cedselementdetails.aspx?termid=5196")</f>
        <v>https://ceds.ed.gov/cedselementdetails.aspx?termid=5196</v>
      </c>
      <c r="N1332" s="3" t="str">
        <f>HYPERLINK("https://ceds.ed.gov/elementComment.aspx?elementName=Visa Type &amp;elementID=5196", "Click here to submit comment")</f>
        <v>Click here to submit comment</v>
      </c>
    </row>
    <row r="1333" spans="1:14" ht="60">
      <c r="A1333" s="3" t="s">
        <v>5883</v>
      </c>
      <c r="B1333" s="3" t="s">
        <v>5884</v>
      </c>
      <c r="C1333" s="3" t="s">
        <v>13</v>
      </c>
      <c r="D1333" s="3" t="s">
        <v>6342</v>
      </c>
      <c r="E1333" s="3"/>
      <c r="F1333" s="3" t="s">
        <v>3</v>
      </c>
      <c r="G1333" s="3" t="s">
        <v>73</v>
      </c>
      <c r="H1333" s="3"/>
      <c r="I1333" s="3"/>
      <c r="J1333" s="3" t="s">
        <v>5885</v>
      </c>
      <c r="K1333" s="3"/>
      <c r="L1333" s="3" t="s">
        <v>5886</v>
      </c>
      <c r="M1333" s="3" t="str">
        <f>HYPERLINK("https://ceds.ed.gov/cedselementdetails.aspx?termid=5680")</f>
        <v>https://ceds.ed.gov/cedselementdetails.aspx?termid=5680</v>
      </c>
      <c r="N1333" s="3" t="str">
        <f>HYPERLINK("https://ceds.ed.gov/elementComment.aspx?elementName=Vision Screening Date &amp;elementID=5680", "Click here to submit comment")</f>
        <v>Click here to submit comment</v>
      </c>
    </row>
    <row r="1334" spans="1:14" ht="60">
      <c r="A1334" s="3" t="s">
        <v>5887</v>
      </c>
      <c r="B1334" s="3" t="s">
        <v>5888</v>
      </c>
      <c r="C1334" s="4" t="s">
        <v>6526</v>
      </c>
      <c r="D1334" s="3" t="s">
        <v>6342</v>
      </c>
      <c r="E1334" s="3" t="s">
        <v>2158</v>
      </c>
      <c r="F1334" s="3" t="s">
        <v>3</v>
      </c>
      <c r="G1334" s="3"/>
      <c r="H1334" s="3"/>
      <c r="I1334" s="3"/>
      <c r="J1334" s="3" t="s">
        <v>5889</v>
      </c>
      <c r="K1334" s="3"/>
      <c r="L1334" s="3" t="s">
        <v>5890</v>
      </c>
      <c r="M1334" s="3" t="str">
        <f>HYPERLINK("https://ceds.ed.gov/cedselementdetails.aspx?termid=5308")</f>
        <v>https://ceds.ed.gov/cedselementdetails.aspx?termid=5308</v>
      </c>
      <c r="N1334" s="3" t="str">
        <f>HYPERLINK("https://ceds.ed.gov/elementComment.aspx?elementName=Vision Screening Status &amp;elementID=5308", "Click here to submit comment")</f>
        <v>Click here to submit comment</v>
      </c>
    </row>
    <row r="1335" spans="1:14" ht="135">
      <c r="A1335" s="3" t="s">
        <v>5891</v>
      </c>
      <c r="B1335" s="3" t="s">
        <v>5892</v>
      </c>
      <c r="C1335" s="4" t="s">
        <v>6692</v>
      </c>
      <c r="D1335" s="3" t="s">
        <v>3012</v>
      </c>
      <c r="E1335" s="3" t="s">
        <v>202</v>
      </c>
      <c r="F1335" s="3"/>
      <c r="G1335" s="3"/>
      <c r="H1335" s="3"/>
      <c r="I1335" s="3"/>
      <c r="J1335" s="3" t="s">
        <v>5893</v>
      </c>
      <c r="K1335" s="3"/>
      <c r="L1335" s="3" t="s">
        <v>5894</v>
      </c>
      <c r="M1335" s="3" t="str">
        <f>HYPERLINK("https://ceds.ed.gov/cedselementdetails.aspx?termid=5797")</f>
        <v>https://ceds.ed.gov/cedselementdetails.aspx?termid=5797</v>
      </c>
      <c r="N1335" s="3" t="str">
        <f>HYPERLINK("https://ceds.ed.gov/elementComment.aspx?elementName=Wage Collection Code &amp;elementID=5797", "Click here to submit comment")</f>
        <v>Click here to submit comment</v>
      </c>
    </row>
    <row r="1336" spans="1:14" ht="60">
      <c r="A1336" s="3" t="s">
        <v>5895</v>
      </c>
      <c r="B1336" s="3" t="s">
        <v>5896</v>
      </c>
      <c r="C1336" s="4" t="s">
        <v>6693</v>
      </c>
      <c r="D1336" s="3" t="s">
        <v>3012</v>
      </c>
      <c r="E1336" s="3" t="s">
        <v>202</v>
      </c>
      <c r="F1336" s="3"/>
      <c r="G1336" s="3"/>
      <c r="H1336" s="3"/>
      <c r="I1336" s="3"/>
      <c r="J1336" s="3" t="s">
        <v>5897</v>
      </c>
      <c r="K1336" s="3"/>
      <c r="L1336" s="3" t="s">
        <v>5898</v>
      </c>
      <c r="M1336" s="3" t="str">
        <f>HYPERLINK("https://ceds.ed.gov/cedselementdetails.aspx?termid=5818")</f>
        <v>https://ceds.ed.gov/cedselementdetails.aspx?termid=5818</v>
      </c>
      <c r="N1336" s="3" t="str">
        <f>HYPERLINK("https://ceds.ed.gov/elementComment.aspx?elementName=Wage Verification Code &amp;elementID=5818", "Click here to submit comment")</f>
        <v>Click here to submit comment</v>
      </c>
    </row>
    <row r="1337" spans="1:14" ht="60">
      <c r="A1337" s="3" t="s">
        <v>5899</v>
      </c>
      <c r="B1337" s="3" t="s">
        <v>5900</v>
      </c>
      <c r="C1337" s="3" t="s">
        <v>5963</v>
      </c>
      <c r="D1337" s="3" t="s">
        <v>236</v>
      </c>
      <c r="E1337" s="3" t="s">
        <v>237</v>
      </c>
      <c r="F1337" s="3"/>
      <c r="G1337" s="3"/>
      <c r="H1337" s="3"/>
      <c r="I1337" s="3" t="s">
        <v>2746</v>
      </c>
      <c r="J1337" s="3" t="s">
        <v>5901</v>
      </c>
      <c r="K1337" s="3"/>
      <c r="L1337" s="3" t="s">
        <v>5902</v>
      </c>
      <c r="M1337" s="3" t="str">
        <f>HYPERLINK("https://ceds.ed.gov/cedselementdetails.aspx?termid=5738")</f>
        <v>https://ceds.ed.gov/cedselementdetails.aspx?termid=5738</v>
      </c>
      <c r="N1337" s="3" t="str">
        <f>HYPERLINK("https://ceds.ed.gov/elementComment.aspx?elementName=Wait Listed Student &amp;elementID=5738", "Click here to submit comment")</f>
        <v>Click here to submit comment</v>
      </c>
    </row>
    <row r="1338" spans="1:14" ht="285">
      <c r="A1338" s="3" t="s">
        <v>5903</v>
      </c>
      <c r="B1338" s="3" t="s">
        <v>5904</v>
      </c>
      <c r="C1338" s="4" t="s">
        <v>6694</v>
      </c>
      <c r="D1338" s="3" t="s">
        <v>2760</v>
      </c>
      <c r="E1338" s="3"/>
      <c r="F1338" s="3"/>
      <c r="G1338" s="3"/>
      <c r="H1338" s="3"/>
      <c r="I1338" s="3" t="s">
        <v>5905</v>
      </c>
      <c r="J1338" s="3" t="s">
        <v>5906</v>
      </c>
      <c r="K1338" s="3"/>
      <c r="L1338" s="3" t="s">
        <v>5907</v>
      </c>
      <c r="M1338" s="3" t="str">
        <f>HYPERLINK("https://ceds.ed.gov/cedselementdetails.aspx?termid=6178")</f>
        <v>https://ceds.ed.gov/cedselementdetails.aspx?termid=6178</v>
      </c>
      <c r="N1338" s="3" t="str">
        <f>HYPERLINK("https://ceds.ed.gov/elementComment.aspx?elementName=Weapon Type &amp;elementID=6178", "Click here to submit comment")</f>
        <v>Click here to submit comment</v>
      </c>
    </row>
    <row r="1339" spans="1:14" ht="75">
      <c r="A1339" s="3" t="s">
        <v>5908</v>
      </c>
      <c r="B1339" s="3" t="s">
        <v>5909</v>
      </c>
      <c r="C1339" s="3" t="s">
        <v>13</v>
      </c>
      <c r="D1339" s="3" t="s">
        <v>6343</v>
      </c>
      <c r="E1339" s="3" t="s">
        <v>218</v>
      </c>
      <c r="F1339" s="3" t="s">
        <v>3</v>
      </c>
      <c r="G1339" s="3" t="s">
        <v>93</v>
      </c>
      <c r="H1339" s="3"/>
      <c r="I1339" s="3"/>
      <c r="J1339" s="3" t="s">
        <v>5910</v>
      </c>
      <c r="K1339" s="3"/>
      <c r="L1339" s="3" t="s">
        <v>5911</v>
      </c>
      <c r="M1339" s="3" t="str">
        <f>HYPERLINK("https://ceds.ed.gov/cedselementdetails.aspx?termid=5300")</f>
        <v>https://ceds.ed.gov/cedselementdetails.aspx?termid=5300</v>
      </c>
      <c r="N1339" s="3" t="str">
        <f>HYPERLINK("https://ceds.ed.gov/elementComment.aspx?elementName=Web Site Address &amp;elementID=5300", "Click here to submit comment")</f>
        <v>Click here to submit comment</v>
      </c>
    </row>
    <row r="1340" spans="1:14" ht="30">
      <c r="A1340" s="3" t="s">
        <v>5912</v>
      </c>
      <c r="B1340" s="3" t="s">
        <v>5913</v>
      </c>
      <c r="C1340" s="3" t="s">
        <v>13</v>
      </c>
      <c r="D1340" s="3" t="s">
        <v>3012</v>
      </c>
      <c r="E1340" s="3"/>
      <c r="F1340" s="3" t="s">
        <v>54</v>
      </c>
      <c r="G1340" s="3" t="s">
        <v>575</v>
      </c>
      <c r="H1340" s="3"/>
      <c r="I1340" s="3"/>
      <c r="J1340" s="3" t="s">
        <v>5914</v>
      </c>
      <c r="K1340" s="3"/>
      <c r="L1340" s="3" t="s">
        <v>5915</v>
      </c>
      <c r="M1340" s="3" t="str">
        <f>HYPERLINK("https://ceds.ed.gov/cedselementdetails.aspx?termid=6470")</f>
        <v>https://ceds.ed.gov/cedselementdetails.aspx?termid=6470</v>
      </c>
      <c r="N1340" s="3" t="str">
        <f>HYPERLINK("https://ceds.ed.gov/elementComment.aspx?elementName=Weeks Employed Per Year &amp;elementID=6470", "Click here to submit comment")</f>
        <v>Click here to submit comment</v>
      </c>
    </row>
    <row r="1341" spans="1:14" ht="30">
      <c r="A1341" s="3" t="s">
        <v>5916</v>
      </c>
      <c r="B1341" s="3" t="s">
        <v>5917</v>
      </c>
      <c r="C1341" s="3" t="s">
        <v>13</v>
      </c>
      <c r="D1341" s="3" t="s">
        <v>5918</v>
      </c>
      <c r="E1341" s="3" t="s">
        <v>2158</v>
      </c>
      <c r="F1341" s="3"/>
      <c r="G1341" s="3" t="s">
        <v>308</v>
      </c>
      <c r="H1341" s="3"/>
      <c r="I1341" s="3"/>
      <c r="J1341" s="3" t="s">
        <v>5919</v>
      </c>
      <c r="K1341" s="3"/>
      <c r="L1341" s="3" t="s">
        <v>5920</v>
      </c>
      <c r="M1341" s="3" t="str">
        <f>HYPERLINK("https://ceds.ed.gov/cedselementdetails.aspx?termid=5313")</f>
        <v>https://ceds.ed.gov/cedselementdetails.aspx?termid=5313</v>
      </c>
      <c r="N1341" s="3" t="str">
        <f>HYPERLINK("https://ceds.ed.gov/elementComment.aspx?elementName=Weeks of Gestation &amp;elementID=5313", "Click here to submit comment")</f>
        <v>Click here to submit comment</v>
      </c>
    </row>
    <row r="1342" spans="1:14" ht="30">
      <c r="A1342" s="3" t="s">
        <v>5921</v>
      </c>
      <c r="B1342" s="3" t="s">
        <v>5922</v>
      </c>
      <c r="C1342" s="3" t="s">
        <v>13</v>
      </c>
      <c r="D1342" s="3" t="s">
        <v>5918</v>
      </c>
      <c r="E1342" s="3" t="s">
        <v>2158</v>
      </c>
      <c r="F1342" s="3"/>
      <c r="G1342" s="3" t="s">
        <v>319</v>
      </c>
      <c r="H1342" s="3"/>
      <c r="I1342" s="3"/>
      <c r="J1342" s="3" t="s">
        <v>5923</v>
      </c>
      <c r="K1342" s="3"/>
      <c r="L1342" s="3" t="s">
        <v>5924</v>
      </c>
      <c r="M1342" s="3" t="str">
        <f>HYPERLINK("https://ceds.ed.gov/cedselementdetails.aspx?termid=5312")</f>
        <v>https://ceds.ed.gov/cedselementdetails.aspx?termid=5312</v>
      </c>
      <c r="N1342" s="3" t="str">
        <f>HYPERLINK("https://ceds.ed.gov/elementComment.aspx?elementName=Weight at Birth &amp;elementID=5312", "Click here to submit comment")</f>
        <v>Click here to submit comment</v>
      </c>
    </row>
    <row r="1343" spans="1:14" ht="315">
      <c r="A1343" s="3" t="s">
        <v>5925</v>
      </c>
      <c r="B1343" s="3" t="s">
        <v>5926</v>
      </c>
      <c r="C1343" s="4" t="s">
        <v>6373</v>
      </c>
      <c r="D1343" s="3" t="s">
        <v>5985</v>
      </c>
      <c r="E1343" s="3" t="s">
        <v>5986</v>
      </c>
      <c r="F1343" s="3"/>
      <c r="G1343" s="3"/>
      <c r="H1343" s="3"/>
      <c r="I1343" s="3" t="s">
        <v>353</v>
      </c>
      <c r="J1343" s="3" t="s">
        <v>5927</v>
      </c>
      <c r="K1343" s="3"/>
      <c r="L1343" s="3" t="s">
        <v>5925</v>
      </c>
      <c r="M1343" s="3" t="str">
        <f>HYPERLINK("https://ceds.ed.gov/cedselementdetails.aspx?termid=5659")</f>
        <v>https://ceds.ed.gov/cedselementdetails.aspx?termid=5659</v>
      </c>
      <c r="N1343" s="3" t="str">
        <f>HYPERLINK("https://ceds.ed.gov/elementComment.aspx?elementName=White &amp;elementID=5659", "Click here to submit comment")</f>
        <v>Click here to submit comment</v>
      </c>
    </row>
    <row r="1344" spans="1:14" ht="240">
      <c r="A1344" s="3" t="s">
        <v>5928</v>
      </c>
      <c r="B1344" s="3" t="s">
        <v>5929</v>
      </c>
      <c r="C1344" s="4" t="s">
        <v>6695</v>
      </c>
      <c r="D1344" s="3" t="s">
        <v>6344</v>
      </c>
      <c r="E1344" s="3"/>
      <c r="F1344" s="3" t="s">
        <v>54</v>
      </c>
      <c r="G1344" s="3"/>
      <c r="H1344" s="3"/>
      <c r="I1344" s="3"/>
      <c r="J1344" s="3" t="s">
        <v>5930</v>
      </c>
      <c r="K1344" s="3"/>
      <c r="L1344" s="3" t="s">
        <v>5931</v>
      </c>
      <c r="M1344" s="3" t="str">
        <f>HYPERLINK("https://ceds.ed.gov/cedselementdetails.aspx?termid=6471")</f>
        <v>https://ceds.ed.gov/cedselementdetails.aspx?termid=6471</v>
      </c>
      <c r="N1344" s="3" t="str">
        <f>HYPERLINK("https://ceds.ed.gov/elementComment.aspx?elementName=Work-based Learning Opportunity Type &amp;elementID=6471", "Click here to submit comment")</f>
        <v>Click here to submit comment</v>
      </c>
    </row>
    <row r="1345" spans="1:14" ht="409.5">
      <c r="A1345" s="3" t="s">
        <v>5932</v>
      </c>
      <c r="B1345" s="3" t="s">
        <v>5933</v>
      </c>
      <c r="C1345" s="4" t="s">
        <v>6696</v>
      </c>
      <c r="D1345" s="3" t="s">
        <v>5934</v>
      </c>
      <c r="E1345" s="3"/>
      <c r="F1345" s="3" t="s">
        <v>66</v>
      </c>
      <c r="G1345" s="3"/>
      <c r="H1345" s="3" t="s">
        <v>5935</v>
      </c>
      <c r="I1345" s="3" t="s">
        <v>5936</v>
      </c>
      <c r="J1345" s="3" t="s">
        <v>5937</v>
      </c>
      <c r="K1345" s="3"/>
      <c r="L1345" s="3" t="s">
        <v>5938</v>
      </c>
      <c r="M1345" s="3" t="str">
        <f>HYPERLINK("https://ceds.ed.gov/cedselementdetails.aspx?termid=6000")</f>
        <v>https://ceds.ed.gov/cedselementdetails.aspx?termid=6000</v>
      </c>
      <c r="N1345" s="3" t="str">
        <f>HYPERLINK("https://ceds.ed.gov/elementComment.aspx?elementName=Workforce Program Participation &amp;elementID=6000", "Click here to submit comment")</f>
        <v>Click here to submit comment</v>
      </c>
    </row>
    <row r="1346" spans="1:14" ht="180">
      <c r="A1346" s="3" t="s">
        <v>5939</v>
      </c>
      <c r="B1346" s="3" t="s">
        <v>5940</v>
      </c>
      <c r="C1346" s="3" t="s">
        <v>13</v>
      </c>
      <c r="D1346" s="3" t="s">
        <v>5934</v>
      </c>
      <c r="E1346" s="3"/>
      <c r="F1346" s="3" t="s">
        <v>66</v>
      </c>
      <c r="G1346" s="3" t="s">
        <v>73</v>
      </c>
      <c r="H1346" s="3" t="s">
        <v>5941</v>
      </c>
      <c r="I1346" s="3" t="s">
        <v>5942</v>
      </c>
      <c r="J1346" s="3" t="s">
        <v>5943</v>
      </c>
      <c r="K1346" s="3"/>
      <c r="L1346" s="3" t="s">
        <v>5944</v>
      </c>
      <c r="M1346" s="3" t="str">
        <f>HYPERLINK("https://ceds.ed.gov/cedselementdetails.aspx?termid=6002")</f>
        <v>https://ceds.ed.gov/cedselementdetails.aspx?termid=6002</v>
      </c>
      <c r="N1346" s="3" t="str">
        <f>HYPERLINK("https://ceds.ed.gov/elementComment.aspx?elementName=Workforce Program Participation End Date &amp;elementID=6002", "Click here to submit comment")</f>
        <v>Click here to submit comment</v>
      </c>
    </row>
    <row r="1347" spans="1:14" ht="180">
      <c r="A1347" s="3" t="s">
        <v>5945</v>
      </c>
      <c r="B1347" s="3" t="s">
        <v>5946</v>
      </c>
      <c r="C1347" s="3" t="s">
        <v>13</v>
      </c>
      <c r="D1347" s="3" t="s">
        <v>5934</v>
      </c>
      <c r="E1347" s="3"/>
      <c r="F1347" s="3" t="s">
        <v>66</v>
      </c>
      <c r="G1347" s="3" t="s">
        <v>73</v>
      </c>
      <c r="H1347" s="3" t="s">
        <v>5947</v>
      </c>
      <c r="I1347" s="3" t="s">
        <v>5942</v>
      </c>
      <c r="J1347" s="3" t="s">
        <v>5948</v>
      </c>
      <c r="K1347" s="3"/>
      <c r="L1347" s="3" t="s">
        <v>5949</v>
      </c>
      <c r="M1347" s="3" t="str">
        <f>HYPERLINK("https://ceds.ed.gov/cedselementdetails.aspx?termid=6001")</f>
        <v>https://ceds.ed.gov/cedselementdetails.aspx?termid=6001</v>
      </c>
      <c r="N1347" s="3" t="str">
        <f>HYPERLINK("https://ceds.ed.gov/elementComment.aspx?elementName=Workforce Program Participation Start Date &amp;elementID=6001", "Click here to submit comment")</f>
        <v>Click here to submit comment</v>
      </c>
    </row>
    <row r="1348" spans="1:14" ht="60">
      <c r="A1348" s="3" t="s">
        <v>5954</v>
      </c>
      <c r="B1348" s="3" t="s">
        <v>5955</v>
      </c>
      <c r="C1348" s="3" t="s">
        <v>13</v>
      </c>
      <c r="D1348" s="3" t="s">
        <v>5956</v>
      </c>
      <c r="E1348" s="3"/>
      <c r="F1348" s="3"/>
      <c r="G1348" s="3" t="s">
        <v>389</v>
      </c>
      <c r="H1348" s="3"/>
      <c r="I1348" s="3"/>
      <c r="J1348" s="3" t="s">
        <v>5957</v>
      </c>
      <c r="K1348" s="3"/>
      <c r="L1348" s="3" t="s">
        <v>5958</v>
      </c>
      <c r="M1348" s="3" t="str">
        <f>HYPERLINK("https://ceds.ed.gov/cedselementdetails.aspx?termid=5774")</f>
        <v>https://ceds.ed.gov/cedselementdetails.aspx?termid=5774</v>
      </c>
      <c r="N1348" s="3" t="str">
        <f>HYPERLINK("https://ceds.ed.gov/elementComment.aspx?elementName=Years of Prior Adult Education Teaching Experience &amp;elementID=5774", "Click here to submit comment")</f>
        <v>Click here to submit comment</v>
      </c>
    </row>
    <row r="1349" spans="1:14" ht="45">
      <c r="A1349" s="3" t="s">
        <v>5959</v>
      </c>
      <c r="B1349" s="3" t="s">
        <v>5960</v>
      </c>
      <c r="C1349" s="3" t="s">
        <v>13</v>
      </c>
      <c r="D1349" s="3" t="s">
        <v>2977</v>
      </c>
      <c r="E1349" s="3" t="s">
        <v>1780</v>
      </c>
      <c r="F1349" s="3"/>
      <c r="G1349" s="3" t="s">
        <v>1461</v>
      </c>
      <c r="H1349" s="3"/>
      <c r="I1349" s="3"/>
      <c r="J1349" s="3" t="s">
        <v>5961</v>
      </c>
      <c r="K1349" s="3"/>
      <c r="L1349" s="3" t="s">
        <v>5962</v>
      </c>
      <c r="M1349" s="3" t="str">
        <f>HYPERLINK("https://ceds.ed.gov/cedselementdetails.aspx?termid=5302")</f>
        <v>https://ceds.ed.gov/cedselementdetails.aspx?termid=5302</v>
      </c>
      <c r="N1349" s="3" t="str">
        <f>HYPERLINK("https://ceds.ed.gov/elementComment.aspx?elementName=Years of Prior Teaching Experience &amp;elementID=5302", "Click here to submit comment")</f>
        <v>Click here to submit comment</v>
      </c>
    </row>
  </sheetData>
  <autoFilter ref="A1:N1349"/>
  <mergeCells count="26">
    <mergeCell ref="A600:A601"/>
    <mergeCell ref="B600:B601"/>
    <mergeCell ref="C600:C601"/>
    <mergeCell ref="D600:D601"/>
    <mergeCell ref="E600:E601"/>
    <mergeCell ref="F860:F861"/>
    <mergeCell ref="G860:G861"/>
    <mergeCell ref="H860:H861"/>
    <mergeCell ref="J860:J861"/>
    <mergeCell ref="G600:G601"/>
    <mergeCell ref="H600:H601"/>
    <mergeCell ref="J600:J601"/>
    <mergeCell ref="F600:F601"/>
    <mergeCell ref="A860:A861"/>
    <mergeCell ref="B860:B861"/>
    <mergeCell ref="C860:C861"/>
    <mergeCell ref="D860:D861"/>
    <mergeCell ref="E860:E861"/>
    <mergeCell ref="K860:K861"/>
    <mergeCell ref="L860:L861"/>
    <mergeCell ref="M860:M861"/>
    <mergeCell ref="N860:N861"/>
    <mergeCell ref="N600:N601"/>
    <mergeCell ref="K600:K601"/>
    <mergeCell ref="L600:L601"/>
    <mergeCell ref="M600:M601"/>
  </mergeCells>
  <hyperlinks>
    <hyperlink ref="C209" r:id="rId1" display="languageCodes.aspx"/>
    <hyperlink ref="C222" r:id="rId2" display="languageCodes.aspx"/>
    <hyperlink ref="C223" r:id="rId3" display="languageCodes.aspx"/>
    <hyperlink ref="C224" r:id="rId4" display="languageCodes.aspx"/>
    <hyperlink ref="C247" r:id="rId5" display="languageCodes.aspx"/>
    <hyperlink ref="C380" r:id="rId6" display="http://nces.ed.gov/ipeds/cipcode/browse.aspx?y=55"/>
    <hyperlink ref="C414" r:id="rId7" display="http://nces.ed.gov/ipeds/cipcode/browse.aspx?y=55"/>
    <hyperlink ref="C740" r:id="rId8" display="languageCodes.aspx"/>
    <hyperlink ref="C765" r:id="rId9" display="languageCodes.aspx"/>
    <hyperlink ref="C766" r:id="rId10" display="languageCodes.aspx"/>
    <hyperlink ref="C782" r:id="rId11" display="languageCodes.aspx"/>
    <hyperlink ref="C819" r:id="rId12" display="languageCodes.aspx"/>
    <hyperlink ref="C843" r:id="rId13" display="languageCodes.aspx"/>
    <hyperlink ref="C870" r:id="rId14" display="languageCodes.aspx"/>
    <hyperlink ref="C1174" r:id="rId15" display="ScedCourseCodes.aspx"/>
  </hyperlinks>
  <pageMargins left="0.75" right="0.75" top="1" bottom="1" header="0.5" footer="0.5"/>
  <pageSetup orientation="portrait" r:id="rId16"/>
</worksheet>
</file>

<file path=xl/worksheets/sheet6.xml><?xml version="1.0" encoding="utf-8"?>
<worksheet xmlns="http://schemas.openxmlformats.org/spreadsheetml/2006/main" xmlns:r="http://schemas.openxmlformats.org/officeDocument/2006/relationships">
  <dimension ref="A1:P2963"/>
  <sheetViews>
    <sheetView workbookViewId="0">
      <pane ySplit="1" topLeftCell="A2" activePane="bottomLeft" state="frozen"/>
      <selection pane="bottomLeft" activeCell="A2" sqref="A2"/>
    </sheetView>
  </sheetViews>
  <sheetFormatPr defaultRowHeight="15"/>
  <cols>
    <col min="1" max="1" width="19" style="12" customWidth="1"/>
    <col min="2" max="2" width="18.5703125" style="12" customWidth="1"/>
    <col min="3" max="3" width="20.42578125" style="12" customWidth="1"/>
    <col min="4" max="4" width="18.140625" style="12" customWidth="1"/>
    <col min="5" max="5" width="36.5703125" style="12" bestFit="1" customWidth="1"/>
    <col min="6" max="6" width="24.28515625" style="12" customWidth="1"/>
    <col min="7" max="7" width="36.5703125" style="12" bestFit="1" customWidth="1"/>
    <col min="8" max="8" width="11.140625" style="12" bestFit="1" customWidth="1"/>
    <col min="9" max="11" width="36.5703125" style="12" bestFit="1" customWidth="1"/>
    <col min="12" max="12" width="9" style="12" bestFit="1" customWidth="1"/>
    <col min="13" max="14" width="36.5703125" style="12" bestFit="1" customWidth="1"/>
    <col min="15" max="15" width="55.5703125" style="12" customWidth="1"/>
    <col min="16" max="16" width="20.28515625" style="12" customWidth="1"/>
    <col min="17" max="16384" width="9.140625" style="12"/>
  </cols>
  <sheetData>
    <row r="1" spans="1:16" customFormat="1" ht="30">
      <c r="A1" s="10" t="s">
        <v>6711</v>
      </c>
      <c r="B1" s="10" t="s">
        <v>6712</v>
      </c>
      <c r="C1" s="10" t="s">
        <v>6713</v>
      </c>
      <c r="D1" s="10" t="s">
        <v>6697</v>
      </c>
      <c r="E1" s="10" t="s">
        <v>6698</v>
      </c>
      <c r="F1" s="10" t="s">
        <v>6699</v>
      </c>
      <c r="G1" s="10" t="s">
        <v>6710</v>
      </c>
      <c r="H1" s="10" t="s">
        <v>6701</v>
      </c>
      <c r="I1" s="10" t="s">
        <v>6702</v>
      </c>
      <c r="J1" s="10" t="s">
        <v>6703</v>
      </c>
      <c r="K1" s="10" t="s">
        <v>6704</v>
      </c>
      <c r="L1" s="11" t="s">
        <v>6705</v>
      </c>
      <c r="M1" s="10" t="s">
        <v>6706</v>
      </c>
      <c r="N1" s="10" t="s">
        <v>6707</v>
      </c>
      <c r="O1" s="10" t="s">
        <v>6708</v>
      </c>
      <c r="P1" s="10" t="s">
        <v>6714</v>
      </c>
    </row>
    <row r="2" spans="1:16" ht="195">
      <c r="A2" s="6" t="s">
        <v>6715</v>
      </c>
      <c r="B2" s="6" t="s">
        <v>6716</v>
      </c>
      <c r="C2" s="6" t="s">
        <v>6717</v>
      </c>
      <c r="D2" s="6" t="s">
        <v>2776</v>
      </c>
      <c r="E2" s="6" t="s">
        <v>2777</v>
      </c>
      <c r="F2" s="6" t="s">
        <v>13</v>
      </c>
      <c r="G2" s="6" t="s">
        <v>6176</v>
      </c>
      <c r="H2" s="6" t="s">
        <v>3</v>
      </c>
      <c r="I2" s="6" t="s">
        <v>1368</v>
      </c>
      <c r="J2" s="6"/>
      <c r="K2" s="6" t="s">
        <v>2778</v>
      </c>
      <c r="L2" s="6" t="s">
        <v>2779</v>
      </c>
      <c r="M2" s="6"/>
      <c r="N2" s="6" t="s">
        <v>2780</v>
      </c>
      <c r="O2" s="6" t="str">
        <f>HYPERLINK("https://ceds.ed.gov/cedselementdetails.aspx?termid=5115")</f>
        <v>https://ceds.ed.gov/cedselementdetails.aspx?termid=5115</v>
      </c>
      <c r="P2" s="6" t="str">
        <f>HYPERLINK("https://ceds.ed.gov/elementComment.aspx?elementName=First Name &amp;elementID=5115", "Click here to submit comment")</f>
        <v>Click here to submit comment</v>
      </c>
    </row>
    <row r="3" spans="1:16" ht="195">
      <c r="A3" s="6" t="s">
        <v>6715</v>
      </c>
      <c r="B3" s="6" t="s">
        <v>6716</v>
      </c>
      <c r="C3" s="6" t="s">
        <v>6717</v>
      </c>
      <c r="D3" s="6" t="s">
        <v>4088</v>
      </c>
      <c r="E3" s="6" t="s">
        <v>4089</v>
      </c>
      <c r="F3" s="6" t="s">
        <v>13</v>
      </c>
      <c r="G3" s="6" t="s">
        <v>6176</v>
      </c>
      <c r="H3" s="6" t="s">
        <v>3</v>
      </c>
      <c r="I3" s="6" t="s">
        <v>1368</v>
      </c>
      <c r="J3" s="6"/>
      <c r="K3" s="6" t="s">
        <v>2778</v>
      </c>
      <c r="L3" s="6" t="s">
        <v>4090</v>
      </c>
      <c r="M3" s="6"/>
      <c r="N3" s="6" t="s">
        <v>4091</v>
      </c>
      <c r="O3" s="6" t="str">
        <f>HYPERLINK("https://ceds.ed.gov/cedselementdetails.aspx?termid=5184")</f>
        <v>https://ceds.ed.gov/cedselementdetails.aspx?termid=5184</v>
      </c>
      <c r="P3" s="6" t="str">
        <f>HYPERLINK("https://ceds.ed.gov/elementComment.aspx?elementName=Middle Name &amp;elementID=5184", "Click here to submit comment")</f>
        <v>Click here to submit comment</v>
      </c>
    </row>
    <row r="4" spans="1:16" ht="195">
      <c r="A4" s="6" t="s">
        <v>6715</v>
      </c>
      <c r="B4" s="6" t="s">
        <v>6716</v>
      </c>
      <c r="C4" s="6" t="s">
        <v>6717</v>
      </c>
      <c r="D4" s="6" t="s">
        <v>3427</v>
      </c>
      <c r="E4" s="6" t="s">
        <v>3428</v>
      </c>
      <c r="F4" s="6" t="s">
        <v>13</v>
      </c>
      <c r="G4" s="6" t="s">
        <v>6176</v>
      </c>
      <c r="H4" s="6" t="s">
        <v>3</v>
      </c>
      <c r="I4" s="6" t="s">
        <v>1368</v>
      </c>
      <c r="J4" s="6"/>
      <c r="K4" s="6" t="s">
        <v>2778</v>
      </c>
      <c r="L4" s="6" t="s">
        <v>3429</v>
      </c>
      <c r="M4" s="6" t="s">
        <v>3430</v>
      </c>
      <c r="N4" s="6" t="s">
        <v>3431</v>
      </c>
      <c r="O4" s="6" t="str">
        <f>HYPERLINK("https://ceds.ed.gov/cedselementdetails.aspx?termid=5172")</f>
        <v>https://ceds.ed.gov/cedselementdetails.aspx?termid=5172</v>
      </c>
      <c r="P4" s="6" t="str">
        <f>HYPERLINK("https://ceds.ed.gov/elementComment.aspx?elementName=Last or Surname &amp;elementID=5172", "Click here to submit comment")</f>
        <v>Click here to submit comment</v>
      </c>
    </row>
    <row r="5" spans="1:16" ht="150">
      <c r="A5" s="6" t="s">
        <v>6715</v>
      </c>
      <c r="B5" s="6" t="s">
        <v>6716</v>
      </c>
      <c r="C5" s="6" t="s">
        <v>6717</v>
      </c>
      <c r="D5" s="6" t="s">
        <v>2829</v>
      </c>
      <c r="E5" s="6" t="s">
        <v>2830</v>
      </c>
      <c r="F5" s="6" t="s">
        <v>13</v>
      </c>
      <c r="G5" s="6" t="s">
        <v>6179</v>
      </c>
      <c r="H5" s="6" t="s">
        <v>3</v>
      </c>
      <c r="I5" s="6" t="s">
        <v>2031</v>
      </c>
      <c r="J5" s="6"/>
      <c r="K5" s="6" t="s">
        <v>2778</v>
      </c>
      <c r="L5" s="6" t="s">
        <v>2831</v>
      </c>
      <c r="M5" s="6"/>
      <c r="N5" s="6" t="s">
        <v>2832</v>
      </c>
      <c r="O5" s="6" t="str">
        <f>HYPERLINK("https://ceds.ed.gov/cedselementdetails.aspx?termid=5121")</f>
        <v>https://ceds.ed.gov/cedselementdetails.aspx?termid=5121</v>
      </c>
      <c r="P5" s="6" t="str">
        <f>HYPERLINK("https://ceds.ed.gov/elementComment.aspx?elementName=Generation Code or Suffix &amp;elementID=5121", "Click here to submit comment")</f>
        <v>Click here to submit comment</v>
      </c>
    </row>
    <row r="6" spans="1:16" ht="90">
      <c r="A6" s="6" t="s">
        <v>6715</v>
      </c>
      <c r="B6" s="6" t="s">
        <v>6716</v>
      </c>
      <c r="C6" s="6" t="s">
        <v>6718</v>
      </c>
      <c r="D6" s="6" t="s">
        <v>4394</v>
      </c>
      <c r="E6" s="6" t="s">
        <v>4395</v>
      </c>
      <c r="F6" s="7" t="s">
        <v>6593</v>
      </c>
      <c r="G6" s="6" t="s">
        <v>6273</v>
      </c>
      <c r="H6" s="6" t="s">
        <v>3</v>
      </c>
      <c r="I6" s="6" t="s">
        <v>100</v>
      </c>
      <c r="J6" s="6"/>
      <c r="K6" s="6"/>
      <c r="L6" s="6" t="s">
        <v>4396</v>
      </c>
      <c r="M6" s="6"/>
      <c r="N6" s="6" t="s">
        <v>4397</v>
      </c>
      <c r="O6" s="6" t="str">
        <f>HYPERLINK("https://ceds.ed.gov/cedselementdetails.aspx?termid=5627")</f>
        <v>https://ceds.ed.gov/cedselementdetails.aspx?termid=5627</v>
      </c>
      <c r="P6" s="6" t="str">
        <f>HYPERLINK("https://ceds.ed.gov/elementComment.aspx?elementName=Other Name Type &amp;elementID=5627", "Click here to submit comment")</f>
        <v>Click here to submit comment</v>
      </c>
    </row>
    <row r="7" spans="1:16" ht="30">
      <c r="A7" s="6" t="s">
        <v>6715</v>
      </c>
      <c r="B7" s="6" t="s">
        <v>6716</v>
      </c>
      <c r="C7" s="6" t="s">
        <v>6718</v>
      </c>
      <c r="D7" s="6" t="s">
        <v>4375</v>
      </c>
      <c r="E7" s="6" t="s">
        <v>4376</v>
      </c>
      <c r="F7" s="6" t="s">
        <v>13</v>
      </c>
      <c r="G7" s="6"/>
      <c r="H7" s="6" t="s">
        <v>54</v>
      </c>
      <c r="I7" s="6" t="s">
        <v>1368</v>
      </c>
      <c r="J7" s="6"/>
      <c r="K7" s="6" t="s">
        <v>4377</v>
      </c>
      <c r="L7" s="6" t="s">
        <v>4378</v>
      </c>
      <c r="M7" s="6"/>
      <c r="N7" s="6" t="s">
        <v>4379</v>
      </c>
      <c r="O7" s="6" t="str">
        <f>HYPERLINK("https://ceds.ed.gov/cedselementdetails.aspx?termid=6486")</f>
        <v>https://ceds.ed.gov/cedselementdetails.aspx?termid=6486</v>
      </c>
      <c r="P7" s="6" t="str">
        <f>HYPERLINK("https://ceds.ed.gov/elementComment.aspx?elementName=Other First Name &amp;elementID=6486", "Click here to submit comment")</f>
        <v>Click here to submit comment</v>
      </c>
    </row>
    <row r="8" spans="1:16" ht="30">
      <c r="A8" s="6" t="s">
        <v>6715</v>
      </c>
      <c r="B8" s="6" t="s">
        <v>6716</v>
      </c>
      <c r="C8" s="6" t="s">
        <v>6718</v>
      </c>
      <c r="D8" s="6" t="s">
        <v>4380</v>
      </c>
      <c r="E8" s="6" t="s">
        <v>4381</v>
      </c>
      <c r="F8" s="6" t="s">
        <v>13</v>
      </c>
      <c r="G8" s="6"/>
      <c r="H8" s="6" t="s">
        <v>54</v>
      </c>
      <c r="I8" s="6" t="s">
        <v>1368</v>
      </c>
      <c r="J8" s="6"/>
      <c r="K8" s="6" t="s">
        <v>4382</v>
      </c>
      <c r="L8" s="6" t="s">
        <v>4383</v>
      </c>
      <c r="M8" s="6"/>
      <c r="N8" s="6" t="s">
        <v>4384</v>
      </c>
      <c r="O8" s="6" t="str">
        <f>HYPERLINK("https://ceds.ed.gov/cedselementdetails.aspx?termid=6485")</f>
        <v>https://ceds.ed.gov/cedselementdetails.aspx?termid=6485</v>
      </c>
      <c r="P8" s="6" t="str">
        <f>HYPERLINK("https://ceds.ed.gov/elementComment.aspx?elementName=Other Last Name &amp;elementID=6485", "Click here to submit comment")</f>
        <v>Click here to submit comment</v>
      </c>
    </row>
    <row r="9" spans="1:16" ht="30">
      <c r="A9" s="6" t="s">
        <v>6715</v>
      </c>
      <c r="B9" s="6" t="s">
        <v>6716</v>
      </c>
      <c r="C9" s="6" t="s">
        <v>6718</v>
      </c>
      <c r="D9" s="6" t="s">
        <v>4385</v>
      </c>
      <c r="E9" s="6" t="s">
        <v>4386</v>
      </c>
      <c r="F9" s="6" t="s">
        <v>13</v>
      </c>
      <c r="G9" s="6"/>
      <c r="H9" s="6" t="s">
        <v>54</v>
      </c>
      <c r="I9" s="6" t="s">
        <v>1368</v>
      </c>
      <c r="J9" s="6"/>
      <c r="K9" s="6" t="s">
        <v>4387</v>
      </c>
      <c r="L9" s="6" t="s">
        <v>4388</v>
      </c>
      <c r="M9" s="6"/>
      <c r="N9" s="6" t="s">
        <v>4389</v>
      </c>
      <c r="O9" s="6" t="str">
        <f>HYPERLINK("https://ceds.ed.gov/cedselementdetails.aspx?termid=6487")</f>
        <v>https://ceds.ed.gov/cedselementdetails.aspx?termid=6487</v>
      </c>
      <c r="P9" s="6" t="str">
        <f>HYPERLINK("https://ceds.ed.gov/elementComment.aspx?elementName=Other Middle Name &amp;elementID=6487", "Click here to submit comment")</f>
        <v>Click here to submit comment</v>
      </c>
    </row>
    <row r="10" spans="1:16" ht="150">
      <c r="A10" s="6" t="s">
        <v>6715</v>
      </c>
      <c r="B10" s="6" t="s">
        <v>6716</v>
      </c>
      <c r="C10" s="6" t="s">
        <v>6718</v>
      </c>
      <c r="D10" s="6" t="s">
        <v>4390</v>
      </c>
      <c r="E10" s="6" t="s">
        <v>4391</v>
      </c>
      <c r="F10" s="6" t="s">
        <v>13</v>
      </c>
      <c r="G10" s="6" t="s">
        <v>6179</v>
      </c>
      <c r="H10" s="6" t="s">
        <v>3</v>
      </c>
      <c r="I10" s="6" t="s">
        <v>149</v>
      </c>
      <c r="J10" s="6"/>
      <c r="K10" s="6"/>
      <c r="L10" s="6" t="s">
        <v>4392</v>
      </c>
      <c r="M10" s="6"/>
      <c r="N10" s="6" t="s">
        <v>4393</v>
      </c>
      <c r="O10" s="6" t="str">
        <f>HYPERLINK("https://ceds.ed.gov/cedselementdetails.aspx?termid=5206")</f>
        <v>https://ceds.ed.gov/cedselementdetails.aspx?termid=5206</v>
      </c>
      <c r="P10" s="6" t="str">
        <f>HYPERLINK("https://ceds.ed.gov/elementComment.aspx?elementName=Other Name &amp;elementID=5206", "Click here to submit comment")</f>
        <v>Click here to submit comment</v>
      </c>
    </row>
    <row r="11" spans="1:16" ht="60">
      <c r="A11" s="6" t="s">
        <v>6715</v>
      </c>
      <c r="B11" s="6" t="s">
        <v>6716</v>
      </c>
      <c r="C11" s="6" t="s">
        <v>6719</v>
      </c>
      <c r="D11" s="6" t="s">
        <v>1638</v>
      </c>
      <c r="E11" s="6" t="s">
        <v>1639</v>
      </c>
      <c r="F11" s="6" t="s">
        <v>13</v>
      </c>
      <c r="G11" s="6" t="s">
        <v>6095</v>
      </c>
      <c r="H11" s="6"/>
      <c r="I11" s="6" t="s">
        <v>100</v>
      </c>
      <c r="J11" s="6"/>
      <c r="K11" s="6"/>
      <c r="L11" s="6" t="s">
        <v>1640</v>
      </c>
      <c r="M11" s="6"/>
      <c r="N11" s="6" t="s">
        <v>1641</v>
      </c>
      <c r="O11" s="6" t="str">
        <f>HYPERLINK("https://ceds.ed.gov/cedselementdetails.aspx?termid=5781")</f>
        <v>https://ceds.ed.gov/cedselementdetails.aspx?termid=5781</v>
      </c>
      <c r="P11" s="6" t="str">
        <f>HYPERLINK("https://ceds.ed.gov/elementComment.aspx?elementName=Child Identifier &amp;elementID=5781", "Click here to submit comment")</f>
        <v>Click here to submit comment</v>
      </c>
    </row>
    <row r="12" spans="1:16" ht="315">
      <c r="A12" s="6" t="s">
        <v>6715</v>
      </c>
      <c r="B12" s="6" t="s">
        <v>6716</v>
      </c>
      <c r="C12" s="6" t="s">
        <v>6719</v>
      </c>
      <c r="D12" s="6" t="s">
        <v>1633</v>
      </c>
      <c r="E12" s="6" t="s">
        <v>1634</v>
      </c>
      <c r="F12" s="7" t="s">
        <v>6422</v>
      </c>
      <c r="G12" s="6" t="s">
        <v>6095</v>
      </c>
      <c r="H12" s="6"/>
      <c r="I12" s="6"/>
      <c r="J12" s="6"/>
      <c r="K12" s="6"/>
      <c r="L12" s="6" t="s">
        <v>1636</v>
      </c>
      <c r="M12" s="6"/>
      <c r="N12" s="6" t="s">
        <v>1637</v>
      </c>
      <c r="O12" s="6" t="str">
        <f>HYPERLINK("https://ceds.ed.gov/cedselementdetails.aspx?termid=5782")</f>
        <v>https://ceds.ed.gov/cedselementdetails.aspx?termid=5782</v>
      </c>
      <c r="P12" s="6" t="str">
        <f>HYPERLINK("https://ceds.ed.gov/elementComment.aspx?elementName=Child Identification System &amp;elementID=5782", "Click here to submit comment")</f>
        <v>Click here to submit comment</v>
      </c>
    </row>
    <row r="13" spans="1:16" ht="390">
      <c r="A13" s="6" t="s">
        <v>6715</v>
      </c>
      <c r="B13" s="6" t="s">
        <v>6716</v>
      </c>
      <c r="C13" s="6" t="s">
        <v>6719</v>
      </c>
      <c r="D13" s="6" t="s">
        <v>5383</v>
      </c>
      <c r="E13" s="6" t="s">
        <v>5384</v>
      </c>
      <c r="F13" s="6" t="s">
        <v>13</v>
      </c>
      <c r="G13" s="6" t="s">
        <v>6315</v>
      </c>
      <c r="H13" s="6" t="s">
        <v>3</v>
      </c>
      <c r="I13" s="6" t="s">
        <v>5385</v>
      </c>
      <c r="J13" s="6"/>
      <c r="K13" s="6" t="s">
        <v>5386</v>
      </c>
      <c r="L13" s="6" t="s">
        <v>5387</v>
      </c>
      <c r="M13" s="6" t="s">
        <v>5388</v>
      </c>
      <c r="N13" s="6" t="s">
        <v>5389</v>
      </c>
      <c r="O13" s="6" t="str">
        <f>HYPERLINK("https://ceds.ed.gov/cedselementdetails.aspx?termid=5259")</f>
        <v>https://ceds.ed.gov/cedselementdetails.aspx?termid=5259</v>
      </c>
      <c r="P13" s="6" t="str">
        <f>HYPERLINK("https://ceds.ed.gov/elementComment.aspx?elementName=Social Security Number &amp;elementID=5259", "Click here to submit comment")</f>
        <v>Click here to submit comment</v>
      </c>
    </row>
    <row r="14" spans="1:16" ht="375">
      <c r="A14" s="6" t="s">
        <v>6715</v>
      </c>
      <c r="B14" s="6" t="s">
        <v>6716</v>
      </c>
      <c r="C14" s="6" t="s">
        <v>6719</v>
      </c>
      <c r="D14" s="6" t="s">
        <v>4494</v>
      </c>
      <c r="E14" s="6" t="s">
        <v>4495</v>
      </c>
      <c r="F14" s="7" t="s">
        <v>6599</v>
      </c>
      <c r="G14" s="6"/>
      <c r="H14" s="6" t="s">
        <v>3</v>
      </c>
      <c r="I14" s="6"/>
      <c r="J14" s="6"/>
      <c r="K14" s="6"/>
      <c r="L14" s="6" t="s">
        <v>4496</v>
      </c>
      <c r="M14" s="6"/>
      <c r="N14" s="6" t="s">
        <v>4497</v>
      </c>
      <c r="O14" s="6" t="str">
        <f>HYPERLINK("https://ceds.ed.gov/cedselementdetails.aspx?termid=5611")</f>
        <v>https://ceds.ed.gov/cedselementdetails.aspx?termid=5611</v>
      </c>
      <c r="P14" s="6" t="str">
        <f>HYPERLINK("https://ceds.ed.gov/elementComment.aspx?elementName=Personal Information Verification &amp;elementID=5611", "Click here to submit comment")</f>
        <v>Click here to submit comment</v>
      </c>
    </row>
    <row r="15" spans="1:16" ht="285">
      <c r="A15" s="6" t="s">
        <v>6715</v>
      </c>
      <c r="B15" s="6" t="s">
        <v>6716</v>
      </c>
      <c r="C15" s="6" t="s">
        <v>6720</v>
      </c>
      <c r="D15" s="6" t="s">
        <v>191</v>
      </c>
      <c r="E15" s="6" t="s">
        <v>192</v>
      </c>
      <c r="F15" s="7" t="s">
        <v>6353</v>
      </c>
      <c r="G15" s="6" t="s">
        <v>5976</v>
      </c>
      <c r="H15" s="6" t="s">
        <v>66</v>
      </c>
      <c r="I15" s="6" t="s">
        <v>100</v>
      </c>
      <c r="J15" s="6" t="s">
        <v>193</v>
      </c>
      <c r="K15" s="6"/>
      <c r="L15" s="6" t="s">
        <v>194</v>
      </c>
      <c r="M15" s="6"/>
      <c r="N15" s="6" t="s">
        <v>195</v>
      </c>
      <c r="O15" s="6" t="str">
        <f>HYPERLINK("https://ceds.ed.gov/cedselementdetails.aspx?termid=5358")</f>
        <v>https://ceds.ed.gov/cedselementdetails.aspx?termid=5358</v>
      </c>
      <c r="P15" s="6" t="str">
        <f>HYPERLINK("https://ceds.ed.gov/elementComment.aspx?elementName=Address Type for Learner or Family &amp;elementID=5358", "Click here to submit comment")</f>
        <v>Click here to submit comment</v>
      </c>
    </row>
    <row r="16" spans="1:16" ht="225">
      <c r="A16" s="6" t="s">
        <v>6715</v>
      </c>
      <c r="B16" s="6" t="s">
        <v>6716</v>
      </c>
      <c r="C16" s="6" t="s">
        <v>6720</v>
      </c>
      <c r="D16" s="6" t="s">
        <v>187</v>
      </c>
      <c r="E16" s="6" t="s">
        <v>188</v>
      </c>
      <c r="F16" s="6" t="s">
        <v>13</v>
      </c>
      <c r="G16" s="6" t="s">
        <v>5973</v>
      </c>
      <c r="H16" s="6" t="s">
        <v>3</v>
      </c>
      <c r="I16" s="6" t="s">
        <v>149</v>
      </c>
      <c r="J16" s="6"/>
      <c r="K16" s="6"/>
      <c r="L16" s="6" t="s">
        <v>189</v>
      </c>
      <c r="M16" s="6"/>
      <c r="N16" s="6" t="s">
        <v>190</v>
      </c>
      <c r="O16" s="6" t="str">
        <f>HYPERLINK("https://ceds.ed.gov/cedselementdetails.aspx?termid=5269")</f>
        <v>https://ceds.ed.gov/cedselementdetails.aspx?termid=5269</v>
      </c>
      <c r="P16" s="6" t="str">
        <f>HYPERLINK("https://ceds.ed.gov/elementComment.aspx?elementName=Address Street Number and Name &amp;elementID=5269", "Click here to submit comment")</f>
        <v>Click here to submit comment</v>
      </c>
    </row>
    <row r="17" spans="1:16" ht="225">
      <c r="A17" s="6" t="s">
        <v>6715</v>
      </c>
      <c r="B17" s="6" t="s">
        <v>6716</v>
      </c>
      <c r="C17" s="6" t="s">
        <v>6720</v>
      </c>
      <c r="D17" s="6" t="s">
        <v>170</v>
      </c>
      <c r="E17" s="6" t="s">
        <v>171</v>
      </c>
      <c r="F17" s="6" t="s">
        <v>13</v>
      </c>
      <c r="G17" s="6" t="s">
        <v>5973</v>
      </c>
      <c r="H17" s="6" t="s">
        <v>3</v>
      </c>
      <c r="I17" s="6" t="s">
        <v>100</v>
      </c>
      <c r="J17" s="6"/>
      <c r="K17" s="6"/>
      <c r="L17" s="6" t="s">
        <v>172</v>
      </c>
      <c r="M17" s="6"/>
      <c r="N17" s="6" t="s">
        <v>173</v>
      </c>
      <c r="O17" s="6" t="str">
        <f>HYPERLINK("https://ceds.ed.gov/cedselementdetails.aspx?termid=5019")</f>
        <v>https://ceds.ed.gov/cedselementdetails.aspx?termid=5019</v>
      </c>
      <c r="P17" s="6" t="str">
        <f>HYPERLINK("https://ceds.ed.gov/elementComment.aspx?elementName=Address Apartment Room or Suite Number &amp;elementID=5019", "Click here to submit comment")</f>
        <v>Click here to submit comment</v>
      </c>
    </row>
    <row r="18" spans="1:16" ht="225">
      <c r="A18" s="6" t="s">
        <v>6715</v>
      </c>
      <c r="B18" s="6" t="s">
        <v>6716</v>
      </c>
      <c r="C18" s="6" t="s">
        <v>6720</v>
      </c>
      <c r="D18" s="6" t="s">
        <v>174</v>
      </c>
      <c r="E18" s="6" t="s">
        <v>175</v>
      </c>
      <c r="F18" s="6" t="s">
        <v>13</v>
      </c>
      <c r="G18" s="6" t="s">
        <v>5973</v>
      </c>
      <c r="H18" s="6" t="s">
        <v>3</v>
      </c>
      <c r="I18" s="6" t="s">
        <v>100</v>
      </c>
      <c r="J18" s="6"/>
      <c r="K18" s="6"/>
      <c r="L18" s="6" t="s">
        <v>176</v>
      </c>
      <c r="M18" s="6"/>
      <c r="N18" s="6" t="s">
        <v>177</v>
      </c>
      <c r="O18" s="6" t="str">
        <f>HYPERLINK("https://ceds.ed.gov/cedselementdetails.aspx?termid=5040")</f>
        <v>https://ceds.ed.gov/cedselementdetails.aspx?termid=5040</v>
      </c>
      <c r="P18" s="6" t="str">
        <f>HYPERLINK("https://ceds.ed.gov/elementComment.aspx?elementName=Address City &amp;elementID=5040", "Click here to submit comment")</f>
        <v>Click here to submit comment</v>
      </c>
    </row>
    <row r="19" spans="1:16" ht="409.5">
      <c r="A19" s="6" t="s">
        <v>6715</v>
      </c>
      <c r="B19" s="6" t="s">
        <v>6716</v>
      </c>
      <c r="C19" s="6" t="s">
        <v>6720</v>
      </c>
      <c r="D19" s="6" t="s">
        <v>5533</v>
      </c>
      <c r="E19" s="6" t="s">
        <v>5534</v>
      </c>
      <c r="F19" s="7" t="s">
        <v>6633</v>
      </c>
      <c r="G19" s="6" t="s">
        <v>6324</v>
      </c>
      <c r="H19" s="6" t="s">
        <v>3</v>
      </c>
      <c r="I19" s="6"/>
      <c r="J19" s="6"/>
      <c r="K19" s="6"/>
      <c r="L19" s="6" t="s">
        <v>5535</v>
      </c>
      <c r="M19" s="6"/>
      <c r="N19" s="6" t="s">
        <v>5536</v>
      </c>
      <c r="O19" s="6" t="str">
        <f>HYPERLINK("https://ceds.ed.gov/cedselementdetails.aspx?termid=5267")</f>
        <v>https://ceds.ed.gov/cedselementdetails.aspx?termid=5267</v>
      </c>
      <c r="P19" s="6" t="str">
        <f>HYPERLINK("https://ceds.ed.gov/elementComment.aspx?elementName=State Abbreviation &amp;elementID=5267", "Click here to submit comment")</f>
        <v>Click here to submit comment</v>
      </c>
    </row>
    <row r="20" spans="1:16" ht="225">
      <c r="A20" s="6" t="s">
        <v>6715</v>
      </c>
      <c r="B20" s="6" t="s">
        <v>6716</v>
      </c>
      <c r="C20" s="6" t="s">
        <v>6720</v>
      </c>
      <c r="D20" s="6" t="s">
        <v>182</v>
      </c>
      <c r="E20" s="6" t="s">
        <v>183</v>
      </c>
      <c r="F20" s="6" t="s">
        <v>13</v>
      </c>
      <c r="G20" s="6" t="s">
        <v>5973</v>
      </c>
      <c r="H20" s="6" t="s">
        <v>3</v>
      </c>
      <c r="I20" s="6" t="s">
        <v>184</v>
      </c>
      <c r="J20" s="6"/>
      <c r="K20" s="6"/>
      <c r="L20" s="6" t="s">
        <v>185</v>
      </c>
      <c r="M20" s="6"/>
      <c r="N20" s="6" t="s">
        <v>186</v>
      </c>
      <c r="O20" s="6" t="str">
        <f>HYPERLINK("https://ceds.ed.gov/cedselementdetails.aspx?termid=5214")</f>
        <v>https://ceds.ed.gov/cedselementdetails.aspx?termid=5214</v>
      </c>
      <c r="P20" s="6" t="str">
        <f>HYPERLINK("https://ceds.ed.gov/elementComment.aspx?elementName=Address Postal Code &amp;elementID=5214", "Click here to submit comment")</f>
        <v>Click here to submit comment</v>
      </c>
    </row>
    <row r="21" spans="1:16" ht="225">
      <c r="A21" s="6" t="s">
        <v>6715</v>
      </c>
      <c r="B21" s="6" t="s">
        <v>6716</v>
      </c>
      <c r="C21" s="6" t="s">
        <v>6720</v>
      </c>
      <c r="D21" s="6" t="s">
        <v>178</v>
      </c>
      <c r="E21" s="6" t="s">
        <v>179</v>
      </c>
      <c r="F21" s="6" t="s">
        <v>13</v>
      </c>
      <c r="G21" s="6" t="s">
        <v>5973</v>
      </c>
      <c r="H21" s="6" t="s">
        <v>3</v>
      </c>
      <c r="I21" s="6" t="s">
        <v>100</v>
      </c>
      <c r="J21" s="6"/>
      <c r="K21" s="6"/>
      <c r="L21" s="6" t="s">
        <v>180</v>
      </c>
      <c r="M21" s="6"/>
      <c r="N21" s="6" t="s">
        <v>181</v>
      </c>
      <c r="O21" s="6" t="str">
        <f>HYPERLINK("https://ceds.ed.gov/cedselementdetails.aspx?termid=5190")</f>
        <v>https://ceds.ed.gov/cedselementdetails.aspx?termid=5190</v>
      </c>
      <c r="P21" s="6" t="str">
        <f>HYPERLINK("https://ceds.ed.gov/elementComment.aspx?elementName=Address County Name &amp;elementID=5190", "Click here to submit comment")</f>
        <v>Click here to submit comment</v>
      </c>
    </row>
    <row r="22" spans="1:16" ht="409.5">
      <c r="A22" s="6" t="s">
        <v>6715</v>
      </c>
      <c r="B22" s="6" t="s">
        <v>6716</v>
      </c>
      <c r="C22" s="6" t="s">
        <v>6720</v>
      </c>
      <c r="D22" s="6" t="s">
        <v>1809</v>
      </c>
      <c r="E22" s="6" t="s">
        <v>1810</v>
      </c>
      <c r="F22" s="7" t="s">
        <v>6433</v>
      </c>
      <c r="G22" s="6" t="s">
        <v>6107</v>
      </c>
      <c r="H22" s="6" t="s">
        <v>3</v>
      </c>
      <c r="I22" s="6"/>
      <c r="J22" s="6"/>
      <c r="K22" s="6"/>
      <c r="L22" s="6" t="s">
        <v>1811</v>
      </c>
      <c r="M22" s="6"/>
      <c r="N22" s="6" t="s">
        <v>1812</v>
      </c>
      <c r="O22" s="6" t="str">
        <f>HYPERLINK("https://ceds.ed.gov/cedselementdetails.aspx?termid=5050")</f>
        <v>https://ceds.ed.gov/cedselementdetails.aspx?termid=5050</v>
      </c>
      <c r="P22" s="6" t="str">
        <f>HYPERLINK("https://ceds.ed.gov/elementComment.aspx?elementName=Country Code &amp;elementID=5050", "Click here to submit comment")</f>
        <v>Click here to submit comment</v>
      </c>
    </row>
    <row r="23" spans="1:16" ht="135">
      <c r="A23" s="6" t="s">
        <v>6715</v>
      </c>
      <c r="B23" s="6" t="s">
        <v>6716</v>
      </c>
      <c r="C23" s="6" t="s">
        <v>6721</v>
      </c>
      <c r="D23" s="6" t="s">
        <v>5732</v>
      </c>
      <c r="E23" s="6" t="s">
        <v>5733</v>
      </c>
      <c r="F23" s="7" t="s">
        <v>6675</v>
      </c>
      <c r="G23" s="6" t="s">
        <v>5968</v>
      </c>
      <c r="H23" s="6" t="s">
        <v>3</v>
      </c>
      <c r="I23" s="6" t="s">
        <v>2844</v>
      </c>
      <c r="J23" s="6"/>
      <c r="K23" s="6"/>
      <c r="L23" s="6" t="s">
        <v>5734</v>
      </c>
      <c r="M23" s="6"/>
      <c r="N23" s="6" t="s">
        <v>5735</v>
      </c>
      <c r="O23" s="6" t="str">
        <f>HYPERLINK("https://ceds.ed.gov/cedselementdetails.aspx?termid=5280")</f>
        <v>https://ceds.ed.gov/cedselementdetails.aspx?termid=5280</v>
      </c>
      <c r="P23" s="6" t="str">
        <f>HYPERLINK("https://ceds.ed.gov/elementComment.aspx?elementName=Telephone Number Type &amp;elementID=5280", "Click here to submit comment")</f>
        <v>Click here to submit comment</v>
      </c>
    </row>
    <row r="24" spans="1:16" ht="90">
      <c r="A24" s="6" t="s">
        <v>6715</v>
      </c>
      <c r="B24" s="6" t="s">
        <v>6716</v>
      </c>
      <c r="C24" s="6" t="s">
        <v>6721</v>
      </c>
      <c r="D24" s="6" t="s">
        <v>4591</v>
      </c>
      <c r="E24" s="6" t="s">
        <v>4592</v>
      </c>
      <c r="F24" s="6" t="s">
        <v>5963</v>
      </c>
      <c r="G24" s="6" t="s">
        <v>5968</v>
      </c>
      <c r="H24" s="6" t="s">
        <v>3</v>
      </c>
      <c r="I24" s="6"/>
      <c r="J24" s="6"/>
      <c r="K24" s="6"/>
      <c r="L24" s="6" t="s">
        <v>4593</v>
      </c>
      <c r="M24" s="6"/>
      <c r="N24" s="6" t="s">
        <v>4594</v>
      </c>
      <c r="O24" s="6" t="str">
        <f>HYPERLINK("https://ceds.ed.gov/cedselementdetails.aspx?termid=5219")</f>
        <v>https://ceds.ed.gov/cedselementdetails.aspx?termid=5219</v>
      </c>
      <c r="P24" s="6" t="str">
        <f>HYPERLINK("https://ceds.ed.gov/elementComment.aspx?elementName=Primary Telephone Number Indicator &amp;elementID=5219", "Click here to submit comment")</f>
        <v>Click here to submit comment</v>
      </c>
    </row>
    <row r="25" spans="1:16" ht="90">
      <c r="A25" s="6" t="s">
        <v>6715</v>
      </c>
      <c r="B25" s="6" t="s">
        <v>6716</v>
      </c>
      <c r="C25" s="6" t="s">
        <v>6721</v>
      </c>
      <c r="D25" s="6" t="s">
        <v>5727</v>
      </c>
      <c r="E25" s="6" t="s">
        <v>5728</v>
      </c>
      <c r="F25" s="6" t="s">
        <v>13</v>
      </c>
      <c r="G25" s="6" t="s">
        <v>5968</v>
      </c>
      <c r="H25" s="6" t="s">
        <v>3</v>
      </c>
      <c r="I25" s="6" t="s">
        <v>5729</v>
      </c>
      <c r="J25" s="6"/>
      <c r="K25" s="6"/>
      <c r="L25" s="6" t="s">
        <v>5730</v>
      </c>
      <c r="M25" s="6"/>
      <c r="N25" s="6" t="s">
        <v>5731</v>
      </c>
      <c r="O25" s="6" t="str">
        <f>HYPERLINK("https://ceds.ed.gov/cedselementdetails.aspx?termid=5279")</f>
        <v>https://ceds.ed.gov/cedselementdetails.aspx?termid=5279</v>
      </c>
      <c r="P25" s="6" t="str">
        <f>HYPERLINK("https://ceds.ed.gov/elementComment.aspx?elementName=Telephone Number &amp;elementID=5279", "Click here to submit comment")</f>
        <v>Click here to submit comment</v>
      </c>
    </row>
    <row r="26" spans="1:16" ht="240">
      <c r="A26" s="6" t="s">
        <v>6715</v>
      </c>
      <c r="B26" s="6" t="s">
        <v>6716</v>
      </c>
      <c r="C26" s="6" t="s">
        <v>6722</v>
      </c>
      <c r="D26" s="6" t="s">
        <v>1474</v>
      </c>
      <c r="E26" s="6" t="s">
        <v>1475</v>
      </c>
      <c r="F26" s="6" t="s">
        <v>13</v>
      </c>
      <c r="G26" s="6" t="s">
        <v>6080</v>
      </c>
      <c r="H26" s="6" t="s">
        <v>3</v>
      </c>
      <c r="I26" s="6" t="s">
        <v>73</v>
      </c>
      <c r="J26" s="6"/>
      <c r="K26" s="6"/>
      <c r="L26" s="6" t="s">
        <v>1476</v>
      </c>
      <c r="M26" s="6"/>
      <c r="N26" s="6" t="s">
        <v>1474</v>
      </c>
      <c r="O26" s="6" t="str">
        <f>HYPERLINK("https://ceds.ed.gov/cedselementdetails.aspx?termid=5033")</f>
        <v>https://ceds.ed.gov/cedselementdetails.aspx?termid=5033</v>
      </c>
      <c r="P26" s="6" t="str">
        <f>HYPERLINK("https://ceds.ed.gov/elementComment.aspx?elementName=Birthdate &amp;elementID=5033", "Click here to submit comment")</f>
        <v>Click here to submit comment</v>
      </c>
    </row>
    <row r="27" spans="1:16" ht="255">
      <c r="A27" s="6" t="s">
        <v>6715</v>
      </c>
      <c r="B27" s="6" t="s">
        <v>6716</v>
      </c>
      <c r="C27" s="6" t="s">
        <v>6722</v>
      </c>
      <c r="D27" s="6" t="s">
        <v>5353</v>
      </c>
      <c r="E27" s="6" t="s">
        <v>5354</v>
      </c>
      <c r="F27" s="7" t="s">
        <v>6656</v>
      </c>
      <c r="G27" s="6" t="s">
        <v>6312</v>
      </c>
      <c r="H27" s="6" t="s">
        <v>3</v>
      </c>
      <c r="I27" s="6"/>
      <c r="J27" s="6"/>
      <c r="K27" s="6" t="s">
        <v>5355</v>
      </c>
      <c r="L27" s="6" t="s">
        <v>5356</v>
      </c>
      <c r="M27" s="6"/>
      <c r="N27" s="6" t="s">
        <v>5353</v>
      </c>
      <c r="O27" s="6" t="str">
        <f>HYPERLINK("https://ceds.ed.gov/cedselementdetails.aspx?termid=5255")</f>
        <v>https://ceds.ed.gov/cedselementdetails.aspx?termid=5255</v>
      </c>
      <c r="P27" s="6" t="str">
        <f>HYPERLINK("https://ceds.ed.gov/elementComment.aspx?elementName=Sex &amp;elementID=5255", "Click here to submit comment")</f>
        <v>Click here to submit comment</v>
      </c>
    </row>
    <row r="28" spans="1:16" ht="225">
      <c r="A28" s="6" t="s">
        <v>6715</v>
      </c>
      <c r="B28" s="6" t="s">
        <v>6716</v>
      </c>
      <c r="C28" s="6" t="s">
        <v>6722</v>
      </c>
      <c r="D28" s="6" t="s">
        <v>351</v>
      </c>
      <c r="E28" s="6" t="s">
        <v>352</v>
      </c>
      <c r="F28" s="7" t="s">
        <v>6373</v>
      </c>
      <c r="G28" s="6" t="s">
        <v>5986</v>
      </c>
      <c r="H28" s="6"/>
      <c r="I28" s="6"/>
      <c r="J28" s="6"/>
      <c r="K28" s="6" t="s">
        <v>353</v>
      </c>
      <c r="L28" s="6" t="s">
        <v>354</v>
      </c>
      <c r="M28" s="6"/>
      <c r="N28" s="6" t="s">
        <v>355</v>
      </c>
      <c r="O28" s="6" t="str">
        <f>HYPERLINK("https://ceds.ed.gov/cedselementdetails.aspx?termid=5655")</f>
        <v>https://ceds.ed.gov/cedselementdetails.aspx?termid=5655</v>
      </c>
      <c r="P28" s="6" t="str">
        <f>HYPERLINK("https://ceds.ed.gov/elementComment.aspx?elementName=American Indian or Alaska Native &amp;elementID=5655", "Click here to submit comment")</f>
        <v>Click here to submit comment</v>
      </c>
    </row>
    <row r="29" spans="1:16" ht="225">
      <c r="A29" s="6" t="s">
        <v>6715</v>
      </c>
      <c r="B29" s="6" t="s">
        <v>6716</v>
      </c>
      <c r="C29" s="6" t="s">
        <v>6722</v>
      </c>
      <c r="D29" s="6" t="s">
        <v>392</v>
      </c>
      <c r="E29" s="6" t="s">
        <v>393</v>
      </c>
      <c r="F29" s="7" t="s">
        <v>6373</v>
      </c>
      <c r="G29" s="6" t="s">
        <v>5986</v>
      </c>
      <c r="H29" s="6"/>
      <c r="I29" s="6"/>
      <c r="J29" s="6"/>
      <c r="K29" s="6" t="s">
        <v>353</v>
      </c>
      <c r="L29" s="6" t="s">
        <v>394</v>
      </c>
      <c r="M29" s="6"/>
      <c r="N29" s="6" t="s">
        <v>392</v>
      </c>
      <c r="O29" s="6" t="str">
        <f>HYPERLINK("https://ceds.ed.gov/cedselementdetails.aspx?termid=5656")</f>
        <v>https://ceds.ed.gov/cedselementdetails.aspx?termid=5656</v>
      </c>
      <c r="P29" s="6" t="str">
        <f>HYPERLINK("https://ceds.ed.gov/elementComment.aspx?elementName=Asian &amp;elementID=5656", "Click here to submit comment")</f>
        <v>Click here to submit comment</v>
      </c>
    </row>
    <row r="30" spans="1:16" ht="225">
      <c r="A30" s="6" t="s">
        <v>6715</v>
      </c>
      <c r="B30" s="6" t="s">
        <v>6716</v>
      </c>
      <c r="C30" s="6" t="s">
        <v>6722</v>
      </c>
      <c r="D30" s="6" t="s">
        <v>1483</v>
      </c>
      <c r="E30" s="6" t="s">
        <v>1484</v>
      </c>
      <c r="F30" s="7" t="s">
        <v>6373</v>
      </c>
      <c r="G30" s="6" t="s">
        <v>5986</v>
      </c>
      <c r="H30" s="6"/>
      <c r="I30" s="6"/>
      <c r="J30" s="6"/>
      <c r="K30" s="6" t="s">
        <v>353</v>
      </c>
      <c r="L30" s="6" t="s">
        <v>1485</v>
      </c>
      <c r="M30" s="6"/>
      <c r="N30" s="6" t="s">
        <v>1486</v>
      </c>
      <c r="O30" s="6" t="str">
        <f>HYPERLINK("https://ceds.ed.gov/cedselementdetails.aspx?termid=5657")</f>
        <v>https://ceds.ed.gov/cedselementdetails.aspx?termid=5657</v>
      </c>
      <c r="P30" s="6" t="str">
        <f>HYPERLINK("https://ceds.ed.gov/elementComment.aspx?elementName=Black or African American &amp;elementID=5657", "Click here to submit comment")</f>
        <v>Click here to submit comment</v>
      </c>
    </row>
    <row r="31" spans="1:16" ht="225">
      <c r="A31" s="6" t="s">
        <v>6715</v>
      </c>
      <c r="B31" s="6" t="s">
        <v>6716</v>
      </c>
      <c r="C31" s="6" t="s">
        <v>6722</v>
      </c>
      <c r="D31" s="6" t="s">
        <v>4202</v>
      </c>
      <c r="E31" s="6" t="s">
        <v>4203</v>
      </c>
      <c r="F31" s="7" t="s">
        <v>6373</v>
      </c>
      <c r="G31" s="6" t="s">
        <v>5986</v>
      </c>
      <c r="H31" s="6"/>
      <c r="I31" s="6"/>
      <c r="J31" s="6"/>
      <c r="K31" s="6" t="s">
        <v>353</v>
      </c>
      <c r="L31" s="6" t="s">
        <v>4204</v>
      </c>
      <c r="M31" s="6"/>
      <c r="N31" s="6" t="s">
        <v>4205</v>
      </c>
      <c r="O31" s="6" t="str">
        <f>HYPERLINK("https://ceds.ed.gov/cedselementdetails.aspx?termid=5658")</f>
        <v>https://ceds.ed.gov/cedselementdetails.aspx?termid=5658</v>
      </c>
      <c r="P31" s="6" t="str">
        <f>HYPERLINK("https://ceds.ed.gov/elementComment.aspx?elementName=Native Hawaiian or Other Pacific Islander &amp;elementID=5658", "Click here to submit comment")</f>
        <v>Click here to submit comment</v>
      </c>
    </row>
    <row r="32" spans="1:16" ht="225">
      <c r="A32" s="6" t="s">
        <v>6715</v>
      </c>
      <c r="B32" s="6" t="s">
        <v>6716</v>
      </c>
      <c r="C32" s="6" t="s">
        <v>6722</v>
      </c>
      <c r="D32" s="6" t="s">
        <v>5925</v>
      </c>
      <c r="E32" s="6" t="s">
        <v>5926</v>
      </c>
      <c r="F32" s="7" t="s">
        <v>6373</v>
      </c>
      <c r="G32" s="6" t="s">
        <v>5986</v>
      </c>
      <c r="H32" s="6"/>
      <c r="I32" s="6"/>
      <c r="J32" s="6"/>
      <c r="K32" s="6" t="s">
        <v>353</v>
      </c>
      <c r="L32" s="6" t="s">
        <v>5927</v>
      </c>
      <c r="M32" s="6"/>
      <c r="N32" s="6" t="s">
        <v>5925</v>
      </c>
      <c r="O32" s="6" t="str">
        <f>HYPERLINK("https://ceds.ed.gov/cedselementdetails.aspx?termid=5659")</f>
        <v>https://ceds.ed.gov/cedselementdetails.aspx?termid=5659</v>
      </c>
      <c r="P32" s="6" t="str">
        <f>HYPERLINK("https://ceds.ed.gov/elementComment.aspx?elementName=White &amp;elementID=5659", "Click here to submit comment")</f>
        <v>Click here to submit comment</v>
      </c>
    </row>
    <row r="33" spans="1:16" ht="225">
      <c r="A33" s="6" t="s">
        <v>6715</v>
      </c>
      <c r="B33" s="6" t="s">
        <v>6716</v>
      </c>
      <c r="C33" s="6" t="s">
        <v>6722</v>
      </c>
      <c r="D33" s="6" t="s">
        <v>2985</v>
      </c>
      <c r="E33" s="6" t="s">
        <v>2986</v>
      </c>
      <c r="F33" s="7" t="s">
        <v>6373</v>
      </c>
      <c r="G33" s="6" t="s">
        <v>5986</v>
      </c>
      <c r="H33" s="6"/>
      <c r="I33" s="6"/>
      <c r="J33" s="6"/>
      <c r="K33" s="6" t="s">
        <v>353</v>
      </c>
      <c r="L33" s="6" t="s">
        <v>2987</v>
      </c>
      <c r="M33" s="6"/>
      <c r="N33" s="6" t="s">
        <v>2988</v>
      </c>
      <c r="O33" s="6" t="str">
        <f>HYPERLINK("https://ceds.ed.gov/cedselementdetails.aspx?termid=5144")</f>
        <v>https://ceds.ed.gov/cedselementdetails.aspx?termid=5144</v>
      </c>
      <c r="P33" s="6" t="str">
        <f>HYPERLINK("https://ceds.ed.gov/elementComment.aspx?elementName=Hispanic or Latino Ethnicity &amp;elementID=5144", "Click here to submit comment")</f>
        <v>Click here to submit comment</v>
      </c>
    </row>
    <row r="34" spans="1:16" ht="409.5">
      <c r="A34" s="6" t="s">
        <v>6715</v>
      </c>
      <c r="B34" s="6" t="s">
        <v>6716</v>
      </c>
      <c r="C34" s="6" t="s">
        <v>6722</v>
      </c>
      <c r="D34" s="6" t="s">
        <v>3002</v>
      </c>
      <c r="E34" s="6" t="s">
        <v>3003</v>
      </c>
      <c r="F34" s="6" t="s">
        <v>5963</v>
      </c>
      <c r="G34" s="6" t="s">
        <v>6199</v>
      </c>
      <c r="H34" s="6"/>
      <c r="I34" s="6"/>
      <c r="J34" s="6"/>
      <c r="K34" s="6"/>
      <c r="L34" s="6" t="s">
        <v>3004</v>
      </c>
      <c r="M34" s="6"/>
      <c r="N34" s="6" t="s">
        <v>3005</v>
      </c>
      <c r="O34" s="6" t="str">
        <f>HYPERLINK("https://ceds.ed.gov/cedselementdetails.aspx?termid=5149")</f>
        <v>https://ceds.ed.gov/cedselementdetails.aspx?termid=5149</v>
      </c>
      <c r="P34" s="6" t="str">
        <f>HYPERLINK("https://ceds.ed.gov/elementComment.aspx?elementName=Homelessness Status &amp;elementID=5149", "Click here to submit comment")</f>
        <v>Click here to submit comment</v>
      </c>
    </row>
    <row r="35" spans="1:16" ht="30">
      <c r="A35" s="6" t="s">
        <v>6715</v>
      </c>
      <c r="B35" s="6" t="s">
        <v>6716</v>
      </c>
      <c r="C35" s="6" t="s">
        <v>6722</v>
      </c>
      <c r="D35" s="6" t="s">
        <v>2785</v>
      </c>
      <c r="E35" s="6" t="s">
        <v>2786</v>
      </c>
      <c r="F35" s="6" t="s">
        <v>13</v>
      </c>
      <c r="G35" s="6"/>
      <c r="H35" s="6" t="s">
        <v>54</v>
      </c>
      <c r="I35" s="6" t="s">
        <v>73</v>
      </c>
      <c r="J35" s="6"/>
      <c r="K35" s="6"/>
      <c r="L35" s="6" t="s">
        <v>2788</v>
      </c>
      <c r="M35" s="6"/>
      <c r="N35" s="6" t="s">
        <v>2789</v>
      </c>
      <c r="O35" s="6" t="str">
        <f>HYPERLINK("https://ceds.ed.gov/cedselementdetails.aspx?termid=6495")</f>
        <v>https://ceds.ed.gov/cedselementdetails.aspx?termid=6495</v>
      </c>
      <c r="P35" s="6" t="str">
        <f>HYPERLINK("https://ceds.ed.gov/elementComment.aspx?elementName=Foster Care End Date &amp;elementID=6495", "Click here to submit comment")</f>
        <v>Click here to submit comment</v>
      </c>
    </row>
    <row r="36" spans="1:16" ht="30">
      <c r="A36" s="6" t="s">
        <v>6715</v>
      </c>
      <c r="B36" s="6" t="s">
        <v>6716</v>
      </c>
      <c r="C36" s="6" t="s">
        <v>6722</v>
      </c>
      <c r="D36" s="6" t="s">
        <v>2790</v>
      </c>
      <c r="E36" s="6" t="s">
        <v>2791</v>
      </c>
      <c r="F36" s="6" t="s">
        <v>13</v>
      </c>
      <c r="G36" s="6"/>
      <c r="H36" s="6" t="s">
        <v>54</v>
      </c>
      <c r="I36" s="6" t="s">
        <v>73</v>
      </c>
      <c r="J36" s="6"/>
      <c r="K36" s="6"/>
      <c r="L36" s="6" t="s">
        <v>2792</v>
      </c>
      <c r="M36" s="6"/>
      <c r="N36" s="6" t="s">
        <v>2793</v>
      </c>
      <c r="O36" s="6" t="str">
        <f>HYPERLINK("https://ceds.ed.gov/cedselementdetails.aspx?termid=6496")</f>
        <v>https://ceds.ed.gov/cedselementdetails.aspx?termid=6496</v>
      </c>
      <c r="P36" s="6" t="str">
        <f>HYPERLINK("https://ceds.ed.gov/elementComment.aspx?elementName=Foster Care Start Date &amp;elementID=6496", "Click here to submit comment")</f>
        <v>Click here to submit comment</v>
      </c>
    </row>
    <row r="37" spans="1:16" ht="270">
      <c r="A37" s="6" t="s">
        <v>6715</v>
      </c>
      <c r="B37" s="6" t="s">
        <v>6716</v>
      </c>
      <c r="C37" s="6" t="s">
        <v>6722</v>
      </c>
      <c r="D37" s="6" t="s">
        <v>4147</v>
      </c>
      <c r="E37" s="6" t="s">
        <v>4148</v>
      </c>
      <c r="F37" s="6" t="s">
        <v>5963</v>
      </c>
      <c r="G37" s="6" t="s">
        <v>6084</v>
      </c>
      <c r="H37" s="6" t="s">
        <v>3</v>
      </c>
      <c r="I37" s="6"/>
      <c r="J37" s="6"/>
      <c r="K37" s="6"/>
      <c r="L37" s="6" t="s">
        <v>4149</v>
      </c>
      <c r="M37" s="6"/>
      <c r="N37" s="6" t="s">
        <v>4150</v>
      </c>
      <c r="O37" s="6" t="str">
        <f>HYPERLINK("https://ceds.ed.gov/cedselementdetails.aspx?termid=5189")</f>
        <v>https://ceds.ed.gov/cedselementdetails.aspx?termid=5189</v>
      </c>
      <c r="P37" s="6" t="str">
        <f>HYPERLINK("https://ceds.ed.gov/elementComment.aspx?elementName=Migrant Status &amp;elementID=5189", "Click here to submit comment")</f>
        <v>Click here to submit comment</v>
      </c>
    </row>
    <row r="38" spans="1:16" ht="45">
      <c r="A38" s="6" t="s">
        <v>6715</v>
      </c>
      <c r="B38" s="6" t="s">
        <v>6716</v>
      </c>
      <c r="C38" s="6" t="s">
        <v>6722</v>
      </c>
      <c r="D38" s="6" t="s">
        <v>4398</v>
      </c>
      <c r="E38" s="6" t="s">
        <v>4399</v>
      </c>
      <c r="F38" s="6" t="s">
        <v>5963</v>
      </c>
      <c r="G38" s="6"/>
      <c r="H38" s="6" t="s">
        <v>54</v>
      </c>
      <c r="I38" s="6"/>
      <c r="J38" s="6"/>
      <c r="K38" s="6" t="s">
        <v>4400</v>
      </c>
      <c r="L38" s="6" t="s">
        <v>4401</v>
      </c>
      <c r="M38" s="6"/>
      <c r="N38" s="6" t="s">
        <v>4402</v>
      </c>
      <c r="O38" s="6" t="str">
        <f>HYPERLINK("https://ceds.ed.gov/cedselementdetails.aspx?termid=6390")</f>
        <v>https://ceds.ed.gov/cedselementdetails.aspx?termid=6390</v>
      </c>
      <c r="P38" s="6" t="str">
        <f>HYPERLINK("https://ceds.ed.gov/elementComment.aspx?elementName=Other Race Indicator &amp;elementID=6390", "Click here to submit comment")</f>
        <v>Click here to submit comment</v>
      </c>
    </row>
    <row r="39" spans="1:16" ht="30">
      <c r="A39" s="6" t="s">
        <v>6715</v>
      </c>
      <c r="B39" s="6" t="s">
        <v>6716</v>
      </c>
      <c r="C39" s="6" t="s">
        <v>6723</v>
      </c>
      <c r="D39" s="6" t="s">
        <v>4992</v>
      </c>
      <c r="E39" s="6" t="s">
        <v>4993</v>
      </c>
      <c r="F39" s="6" t="s">
        <v>13</v>
      </c>
      <c r="G39" s="6"/>
      <c r="H39" s="6" t="s">
        <v>54</v>
      </c>
      <c r="I39" s="6" t="s">
        <v>73</v>
      </c>
      <c r="J39" s="6"/>
      <c r="K39" s="6"/>
      <c r="L39" s="6" t="s">
        <v>4995</v>
      </c>
      <c r="M39" s="6"/>
      <c r="N39" s="6" t="s">
        <v>4996</v>
      </c>
      <c r="O39" s="6" t="str">
        <f>HYPERLINK("https://ceds.ed.gov/cedselementdetails.aspx?termid=6453")</f>
        <v>https://ceds.ed.gov/cedselementdetails.aspx?termid=6453</v>
      </c>
      <c r="P39" s="6" t="str">
        <f>HYPERLINK("https://ceds.ed.gov/elementComment.aspx?elementName=Referral Date &amp;elementID=6453", "Click here to submit comment")</f>
        <v>Click here to submit comment</v>
      </c>
    </row>
    <row r="40" spans="1:16" ht="150">
      <c r="A40" s="6" t="s">
        <v>6715</v>
      </c>
      <c r="B40" s="6" t="s">
        <v>6716</v>
      </c>
      <c r="C40" s="6" t="s">
        <v>6723</v>
      </c>
      <c r="D40" s="6" t="s">
        <v>4997</v>
      </c>
      <c r="E40" s="6" t="s">
        <v>4998</v>
      </c>
      <c r="F40" s="7" t="s">
        <v>6640</v>
      </c>
      <c r="G40" s="6"/>
      <c r="H40" s="6" t="s">
        <v>54</v>
      </c>
      <c r="I40" s="6"/>
      <c r="J40" s="6"/>
      <c r="K40" s="6"/>
      <c r="L40" s="6" t="s">
        <v>4999</v>
      </c>
      <c r="M40" s="6"/>
      <c r="N40" s="6" t="s">
        <v>5000</v>
      </c>
      <c r="O40" s="6" t="str">
        <f>HYPERLINK("https://ceds.ed.gov/cedselementdetails.aspx?termid=6454")</f>
        <v>https://ceds.ed.gov/cedselementdetails.aspx?termid=6454</v>
      </c>
      <c r="P40" s="6" t="str">
        <f>HYPERLINK("https://ceds.ed.gov/elementComment.aspx?elementName=Referral Outcome &amp;elementID=6454", "Click here to submit comment")</f>
        <v>Click here to submit comment</v>
      </c>
    </row>
    <row r="41" spans="1:16" ht="30">
      <c r="A41" s="6" t="s">
        <v>6715</v>
      </c>
      <c r="B41" s="6" t="s">
        <v>6716</v>
      </c>
      <c r="C41" s="6" t="s">
        <v>6723</v>
      </c>
      <c r="D41" s="6" t="s">
        <v>5005</v>
      </c>
      <c r="E41" s="6" t="s">
        <v>5006</v>
      </c>
      <c r="F41" s="6" t="s">
        <v>13</v>
      </c>
      <c r="G41" s="6"/>
      <c r="H41" s="6" t="s">
        <v>54</v>
      </c>
      <c r="I41" s="6" t="s">
        <v>319</v>
      </c>
      <c r="J41" s="6"/>
      <c r="K41" s="6"/>
      <c r="L41" s="6" t="s">
        <v>5007</v>
      </c>
      <c r="M41" s="6"/>
      <c r="N41" s="6" t="s">
        <v>5008</v>
      </c>
      <c r="O41" s="6" t="str">
        <f>HYPERLINK("https://ceds.ed.gov/cedselementdetails.aspx?termid=6455")</f>
        <v>https://ceds.ed.gov/cedselementdetails.aspx?termid=6455</v>
      </c>
      <c r="P41" s="6" t="str">
        <f>HYPERLINK("https://ceds.ed.gov/elementComment.aspx?elementName=Referral Reason &amp;elementID=6455", "Click here to submit comment")</f>
        <v>Click here to submit comment</v>
      </c>
    </row>
    <row r="42" spans="1:16" ht="30">
      <c r="A42" s="6" t="s">
        <v>6715</v>
      </c>
      <c r="B42" s="6" t="s">
        <v>6716</v>
      </c>
      <c r="C42" s="6" t="s">
        <v>6723</v>
      </c>
      <c r="D42" s="6" t="s">
        <v>5009</v>
      </c>
      <c r="E42" s="6" t="s">
        <v>5010</v>
      </c>
      <c r="F42" s="6" t="s">
        <v>13</v>
      </c>
      <c r="G42" s="6"/>
      <c r="H42" s="6" t="s">
        <v>54</v>
      </c>
      <c r="I42" s="6" t="s">
        <v>106</v>
      </c>
      <c r="J42" s="6"/>
      <c r="K42" s="6"/>
      <c r="L42" s="6" t="s">
        <v>5011</v>
      </c>
      <c r="M42" s="6"/>
      <c r="N42" s="6" t="s">
        <v>5012</v>
      </c>
      <c r="O42" s="6" t="str">
        <f>HYPERLINK("https://ceds.ed.gov/cedselementdetails.aspx?termid=6456")</f>
        <v>https://ceds.ed.gov/cedselementdetails.aspx?termid=6456</v>
      </c>
      <c r="P42" s="6" t="str">
        <f>HYPERLINK("https://ceds.ed.gov/elementComment.aspx?elementName=Referral Source &amp;elementID=6456", "Click here to submit comment")</f>
        <v>Click here to submit comment</v>
      </c>
    </row>
    <row r="43" spans="1:16" ht="30">
      <c r="A43" s="6" t="s">
        <v>6715</v>
      </c>
      <c r="B43" s="6" t="s">
        <v>6716</v>
      </c>
      <c r="C43" s="6" t="s">
        <v>6723</v>
      </c>
      <c r="D43" s="6" t="s">
        <v>5013</v>
      </c>
      <c r="E43" s="6" t="s">
        <v>5014</v>
      </c>
      <c r="F43" s="6" t="s">
        <v>13</v>
      </c>
      <c r="G43" s="6"/>
      <c r="H43" s="6" t="s">
        <v>54</v>
      </c>
      <c r="I43" s="6" t="s">
        <v>106</v>
      </c>
      <c r="J43" s="6"/>
      <c r="K43" s="6"/>
      <c r="L43" s="6" t="s">
        <v>5015</v>
      </c>
      <c r="M43" s="6"/>
      <c r="N43" s="6" t="s">
        <v>5016</v>
      </c>
      <c r="O43" s="6" t="str">
        <f>HYPERLINK("https://ceds.ed.gov/cedselementdetails.aspx?termid=6457")</f>
        <v>https://ceds.ed.gov/cedselementdetails.aspx?termid=6457</v>
      </c>
      <c r="P43" s="6" t="str">
        <f>HYPERLINK("https://ceds.ed.gov/elementComment.aspx?elementName=Referral Type &amp;elementID=6457", "Click here to submit comment")</f>
        <v>Click here to submit comment</v>
      </c>
    </row>
    <row r="44" spans="1:16" ht="30">
      <c r="A44" s="6" t="s">
        <v>6715</v>
      </c>
      <c r="B44" s="6" t="s">
        <v>6716</v>
      </c>
      <c r="C44" s="6" t="s">
        <v>6723</v>
      </c>
      <c r="D44" s="6" t="s">
        <v>5017</v>
      </c>
      <c r="E44" s="6" t="s">
        <v>5018</v>
      </c>
      <c r="F44" s="6" t="s">
        <v>13</v>
      </c>
      <c r="G44" s="6"/>
      <c r="H44" s="6" t="s">
        <v>54</v>
      </c>
      <c r="I44" s="6" t="s">
        <v>106</v>
      </c>
      <c r="J44" s="6"/>
      <c r="K44" s="6"/>
      <c r="L44" s="6" t="s">
        <v>5019</v>
      </c>
      <c r="M44" s="6"/>
      <c r="N44" s="6" t="s">
        <v>5020</v>
      </c>
      <c r="O44" s="6" t="str">
        <f>HYPERLINK("https://ceds.ed.gov/cedselementdetails.aspx?termid=6458")</f>
        <v>https://ceds.ed.gov/cedselementdetails.aspx?termid=6458</v>
      </c>
      <c r="P44" s="6" t="str">
        <f>HYPERLINK("https://ceds.ed.gov/elementComment.aspx?elementName=Referred To &amp;elementID=6458", "Click here to submit comment")</f>
        <v>Click here to submit comment</v>
      </c>
    </row>
    <row r="45" spans="1:16" ht="45">
      <c r="A45" s="6" t="s">
        <v>6715</v>
      </c>
      <c r="B45" s="6" t="s">
        <v>6716</v>
      </c>
      <c r="C45" s="6" t="s">
        <v>6724</v>
      </c>
      <c r="D45" s="6" t="s">
        <v>317</v>
      </c>
      <c r="E45" s="6" t="s">
        <v>318</v>
      </c>
      <c r="F45" s="6" t="s">
        <v>13</v>
      </c>
      <c r="G45" s="6"/>
      <c r="H45" s="6" t="s">
        <v>54</v>
      </c>
      <c r="I45" s="6" t="s">
        <v>319</v>
      </c>
      <c r="J45" s="6"/>
      <c r="K45" s="6"/>
      <c r="L45" s="6" t="s">
        <v>320</v>
      </c>
      <c r="M45" s="6"/>
      <c r="N45" s="6" t="s">
        <v>321</v>
      </c>
      <c r="O45" s="6" t="str">
        <f>HYPERLINK("https://ceds.ed.gov/cedselementdetails.aspx?termid=6247")</f>
        <v>https://ceds.ed.gov/cedselementdetails.aspx?termid=6247</v>
      </c>
      <c r="P45" s="6" t="str">
        <f>HYPERLINK("https://ceds.ed.gov/elementComment.aspx?elementName=Allergy Reaction Description &amp;elementID=6247", "Click here to submit comment")</f>
        <v>Click here to submit comment</v>
      </c>
    </row>
    <row r="46" spans="1:16" ht="45">
      <c r="A46" s="6" t="s">
        <v>6715</v>
      </c>
      <c r="B46" s="6" t="s">
        <v>6716</v>
      </c>
      <c r="C46" s="6" t="s">
        <v>6724</v>
      </c>
      <c r="D46" s="6" t="s">
        <v>322</v>
      </c>
      <c r="E46" s="6" t="s">
        <v>323</v>
      </c>
      <c r="F46" s="6" t="s">
        <v>5984</v>
      </c>
      <c r="G46" s="6"/>
      <c r="H46" s="6" t="s">
        <v>54</v>
      </c>
      <c r="I46" s="6"/>
      <c r="J46" s="6"/>
      <c r="K46" s="6"/>
      <c r="L46" s="6" t="s">
        <v>324</v>
      </c>
      <c r="M46" s="6"/>
      <c r="N46" s="6" t="s">
        <v>325</v>
      </c>
      <c r="O46" s="6" t="str">
        <f>HYPERLINK("https://ceds.ed.gov/cedselementdetails.aspx?termid=6248")</f>
        <v>https://ceds.ed.gov/cedselementdetails.aspx?termid=6248</v>
      </c>
      <c r="P46" s="6" t="str">
        <f>HYPERLINK("https://ceds.ed.gov/elementComment.aspx?elementName=Allergy Severity &amp;elementID=6248", "Click here to submit comment")</f>
        <v>Click here to submit comment</v>
      </c>
    </row>
    <row r="47" spans="1:16" ht="409.5">
      <c r="A47" s="6" t="s">
        <v>6715</v>
      </c>
      <c r="B47" s="6" t="s">
        <v>6716</v>
      </c>
      <c r="C47" s="6" t="s">
        <v>6724</v>
      </c>
      <c r="D47" s="6" t="s">
        <v>326</v>
      </c>
      <c r="E47" s="6" t="s">
        <v>327</v>
      </c>
      <c r="F47" s="7" t="s">
        <v>6370</v>
      </c>
      <c r="G47" s="6"/>
      <c r="H47" s="6" t="s">
        <v>54</v>
      </c>
      <c r="I47" s="6"/>
      <c r="J47" s="6"/>
      <c r="K47" s="6" t="s">
        <v>328</v>
      </c>
      <c r="L47" s="6" t="s">
        <v>329</v>
      </c>
      <c r="M47" s="6"/>
      <c r="N47" s="6" t="s">
        <v>330</v>
      </c>
      <c r="O47" s="6" t="str">
        <f>HYPERLINK("https://ceds.ed.gov/cedselementdetails.aspx?termid=6249")</f>
        <v>https://ceds.ed.gov/cedselementdetails.aspx?termid=6249</v>
      </c>
      <c r="P47" s="6" t="str">
        <f>HYPERLINK("https://ceds.ed.gov/elementComment.aspx?elementName=Allergy Type &amp;elementID=6249", "Click here to submit comment")</f>
        <v>Click here to submit comment</v>
      </c>
    </row>
    <row r="48" spans="1:16" ht="45">
      <c r="A48" s="6" t="s">
        <v>6715</v>
      </c>
      <c r="B48" s="6" t="s">
        <v>6716</v>
      </c>
      <c r="C48" s="6" t="s">
        <v>6724</v>
      </c>
      <c r="D48" s="6" t="s">
        <v>2924</v>
      </c>
      <c r="E48" s="6" t="s">
        <v>2925</v>
      </c>
      <c r="F48" s="6" t="s">
        <v>13</v>
      </c>
      <c r="G48" s="6"/>
      <c r="H48" s="6" t="s">
        <v>54</v>
      </c>
      <c r="I48" s="6" t="s">
        <v>93</v>
      </c>
      <c r="J48" s="6"/>
      <c r="K48" s="6"/>
      <c r="L48" s="6" t="s">
        <v>2927</v>
      </c>
      <c r="M48" s="6"/>
      <c r="N48" s="6" t="s">
        <v>2928</v>
      </c>
      <c r="O48" s="6" t="str">
        <f>HYPERLINK("https://ceds.ed.gov/cedselementdetails.aspx?termid=6325")</f>
        <v>https://ceds.ed.gov/cedselementdetails.aspx?termid=6325</v>
      </c>
      <c r="P48" s="6" t="str">
        <f>HYPERLINK("https://ceds.ed.gov/elementComment.aspx?elementName=Health Screening Equipment Used &amp;elementID=6325", "Click here to submit comment")</f>
        <v>Click here to submit comment</v>
      </c>
    </row>
    <row r="49" spans="1:16" ht="45">
      <c r="A49" s="6" t="s">
        <v>6715</v>
      </c>
      <c r="B49" s="6" t="s">
        <v>6716</v>
      </c>
      <c r="C49" s="6" t="s">
        <v>6724</v>
      </c>
      <c r="D49" s="6" t="s">
        <v>2929</v>
      </c>
      <c r="E49" s="6" t="s">
        <v>2930</v>
      </c>
      <c r="F49" s="6" t="s">
        <v>13</v>
      </c>
      <c r="G49" s="6"/>
      <c r="H49" s="6" t="s">
        <v>54</v>
      </c>
      <c r="I49" s="6" t="s">
        <v>319</v>
      </c>
      <c r="J49" s="6"/>
      <c r="K49" s="6"/>
      <c r="L49" s="6" t="s">
        <v>2931</v>
      </c>
      <c r="M49" s="6"/>
      <c r="N49" s="6" t="s">
        <v>2932</v>
      </c>
      <c r="O49" s="6" t="str">
        <f>HYPERLINK("https://ceds.ed.gov/cedselementdetails.aspx?termid=6326")</f>
        <v>https://ceds.ed.gov/cedselementdetails.aspx?termid=6326</v>
      </c>
      <c r="P49" s="6" t="str">
        <f>HYPERLINK("https://ceds.ed.gov/elementComment.aspx?elementName=Health Screening Follow-up Recommendation &amp;elementID=6326", "Click here to submit comment")</f>
        <v>Click here to submit comment</v>
      </c>
    </row>
    <row r="50" spans="1:16" ht="75">
      <c r="A50" s="6" t="s">
        <v>6715</v>
      </c>
      <c r="B50" s="6" t="s">
        <v>6716</v>
      </c>
      <c r="C50" s="6" t="s">
        <v>6725</v>
      </c>
      <c r="D50" s="6" t="s">
        <v>3084</v>
      </c>
      <c r="E50" s="6" t="s">
        <v>3085</v>
      </c>
      <c r="F50" s="6" t="s">
        <v>13</v>
      </c>
      <c r="G50" s="6" t="s">
        <v>6204</v>
      </c>
      <c r="H50" s="6"/>
      <c r="I50" s="6" t="s">
        <v>73</v>
      </c>
      <c r="J50" s="6"/>
      <c r="K50" s="6"/>
      <c r="L50" s="6" t="s">
        <v>3086</v>
      </c>
      <c r="M50" s="6"/>
      <c r="N50" s="6" t="s">
        <v>3087</v>
      </c>
      <c r="O50" s="6" t="str">
        <f>HYPERLINK("https://ceds.ed.gov/cedselementdetails.aspx?termid=5306")</f>
        <v>https://ceds.ed.gov/cedselementdetails.aspx?termid=5306</v>
      </c>
      <c r="P50" s="6" t="str">
        <f>HYPERLINK("https://ceds.ed.gov/elementComment.aspx?elementName=Immunization Date &amp;elementID=5306", "Click here to submit comment")</f>
        <v>Click here to submit comment</v>
      </c>
    </row>
    <row r="51" spans="1:16" ht="409.5">
      <c r="A51" s="6" t="s">
        <v>6715</v>
      </c>
      <c r="B51" s="6" t="s">
        <v>6716</v>
      </c>
      <c r="C51" s="6" t="s">
        <v>6725</v>
      </c>
      <c r="D51" s="6" t="s">
        <v>3096</v>
      </c>
      <c r="E51" s="6" t="s">
        <v>3097</v>
      </c>
      <c r="F51" s="7" t="s">
        <v>6540</v>
      </c>
      <c r="G51" s="6"/>
      <c r="H51" s="6"/>
      <c r="I51" s="6"/>
      <c r="J51" s="6"/>
      <c r="K51" s="6"/>
      <c r="L51" s="6" t="s">
        <v>3098</v>
      </c>
      <c r="M51" s="6"/>
      <c r="N51" s="6" t="s">
        <v>3099</v>
      </c>
      <c r="O51" s="6" t="str">
        <f>HYPERLINK("https://ceds.ed.gov/cedselementdetails.aspx?termid=6214")</f>
        <v>https://ceds.ed.gov/cedselementdetails.aspx?termid=6214</v>
      </c>
      <c r="P51" s="6" t="str">
        <f>HYPERLINK("https://ceds.ed.gov/elementComment.aspx?elementName=Immunization Type &amp;elementID=6214", "Click here to submit comment")</f>
        <v>Click here to submit comment</v>
      </c>
    </row>
    <row r="52" spans="1:16" ht="30">
      <c r="A52" s="6" t="s">
        <v>6715</v>
      </c>
      <c r="B52" s="6" t="s">
        <v>6716</v>
      </c>
      <c r="C52" s="6" t="s">
        <v>6726</v>
      </c>
      <c r="D52" s="6" t="s">
        <v>5883</v>
      </c>
      <c r="E52" s="6" t="s">
        <v>5884</v>
      </c>
      <c r="F52" s="6" t="s">
        <v>13</v>
      </c>
      <c r="G52" s="6"/>
      <c r="H52" s="6" t="s">
        <v>3</v>
      </c>
      <c r="I52" s="6" t="s">
        <v>73</v>
      </c>
      <c r="J52" s="6"/>
      <c r="K52" s="6"/>
      <c r="L52" s="6" t="s">
        <v>5885</v>
      </c>
      <c r="M52" s="6"/>
      <c r="N52" s="6" t="s">
        <v>5886</v>
      </c>
      <c r="O52" s="6" t="str">
        <f>HYPERLINK("https://ceds.ed.gov/cedselementdetails.aspx?termid=5680")</f>
        <v>https://ceds.ed.gov/cedselementdetails.aspx?termid=5680</v>
      </c>
      <c r="P52" s="6" t="str">
        <f>HYPERLINK("https://ceds.ed.gov/elementComment.aspx?elementName=Vision Screening Date &amp;elementID=5680", "Click here to submit comment")</f>
        <v>Click here to submit comment</v>
      </c>
    </row>
    <row r="53" spans="1:16" ht="75">
      <c r="A53" s="6" t="s">
        <v>6715</v>
      </c>
      <c r="B53" s="6" t="s">
        <v>6716</v>
      </c>
      <c r="C53" s="6" t="s">
        <v>6726</v>
      </c>
      <c r="D53" s="6" t="s">
        <v>5887</v>
      </c>
      <c r="E53" s="6" t="s">
        <v>5888</v>
      </c>
      <c r="F53" s="7" t="s">
        <v>6526</v>
      </c>
      <c r="G53" s="6" t="s">
        <v>2158</v>
      </c>
      <c r="H53" s="6" t="s">
        <v>3</v>
      </c>
      <c r="I53" s="6"/>
      <c r="J53" s="6"/>
      <c r="K53" s="6"/>
      <c r="L53" s="6" t="s">
        <v>5889</v>
      </c>
      <c r="M53" s="6"/>
      <c r="N53" s="6" t="s">
        <v>5890</v>
      </c>
      <c r="O53" s="6" t="str">
        <f>HYPERLINK("https://ceds.ed.gov/cedselementdetails.aspx?termid=5308")</f>
        <v>https://ceds.ed.gov/cedselementdetails.aspx?termid=5308</v>
      </c>
      <c r="P53" s="6" t="str">
        <f>HYPERLINK("https://ceds.ed.gov/elementComment.aspx?elementName=Vision Screening Status &amp;elementID=5308", "Click here to submit comment")</f>
        <v>Click here to submit comment</v>
      </c>
    </row>
    <row r="54" spans="1:16" ht="30">
      <c r="A54" s="6" t="s">
        <v>6715</v>
      </c>
      <c r="B54" s="6" t="s">
        <v>6716</v>
      </c>
      <c r="C54" s="6" t="s">
        <v>6727</v>
      </c>
      <c r="D54" s="6" t="s">
        <v>2933</v>
      </c>
      <c r="E54" s="6" t="s">
        <v>2934</v>
      </c>
      <c r="F54" s="6" t="s">
        <v>13</v>
      </c>
      <c r="G54" s="6"/>
      <c r="H54" s="6" t="s">
        <v>3</v>
      </c>
      <c r="I54" s="6" t="s">
        <v>73</v>
      </c>
      <c r="J54" s="6"/>
      <c r="K54" s="6"/>
      <c r="L54" s="6" t="s">
        <v>2935</v>
      </c>
      <c r="M54" s="6"/>
      <c r="N54" s="6" t="s">
        <v>2936</v>
      </c>
      <c r="O54" s="6" t="str">
        <f>HYPERLINK("https://ceds.ed.gov/cedselementdetails.aspx?termid=5681")</f>
        <v>https://ceds.ed.gov/cedselementdetails.aspx?termid=5681</v>
      </c>
      <c r="P54" s="6" t="str">
        <f>HYPERLINK("https://ceds.ed.gov/elementComment.aspx?elementName=Hearing Screening Date &amp;elementID=5681", "Click here to submit comment")</f>
        <v>Click here to submit comment</v>
      </c>
    </row>
    <row r="55" spans="1:16" ht="75">
      <c r="A55" s="6" t="s">
        <v>6715</v>
      </c>
      <c r="B55" s="6" t="s">
        <v>6716</v>
      </c>
      <c r="C55" s="6" t="s">
        <v>6727</v>
      </c>
      <c r="D55" s="6" t="s">
        <v>2937</v>
      </c>
      <c r="E55" s="6" t="s">
        <v>2938</v>
      </c>
      <c r="F55" s="7" t="s">
        <v>6526</v>
      </c>
      <c r="G55" s="6" t="s">
        <v>2158</v>
      </c>
      <c r="H55" s="6" t="s">
        <v>3</v>
      </c>
      <c r="I55" s="6"/>
      <c r="J55" s="6"/>
      <c r="K55" s="6"/>
      <c r="L55" s="6" t="s">
        <v>2939</v>
      </c>
      <c r="M55" s="6"/>
      <c r="N55" s="6" t="s">
        <v>2940</v>
      </c>
      <c r="O55" s="6" t="str">
        <f>HYPERLINK("https://ceds.ed.gov/cedselementdetails.aspx?termid=5309")</f>
        <v>https://ceds.ed.gov/cedselementdetails.aspx?termid=5309</v>
      </c>
      <c r="P55" s="6" t="str">
        <f>HYPERLINK("https://ceds.ed.gov/elementComment.aspx?elementName=Hearing Screening Status &amp;elementID=5309", "Click here to submit comment")</f>
        <v>Click here to submit comment</v>
      </c>
    </row>
    <row r="56" spans="1:16" ht="30">
      <c r="A56" s="6" t="s">
        <v>6715</v>
      </c>
      <c r="B56" s="6" t="s">
        <v>6716</v>
      </c>
      <c r="C56" s="6" t="s">
        <v>6728</v>
      </c>
      <c r="D56" s="6" t="s">
        <v>2151</v>
      </c>
      <c r="E56" s="6" t="s">
        <v>2152</v>
      </c>
      <c r="F56" s="6" t="s">
        <v>13</v>
      </c>
      <c r="G56" s="6"/>
      <c r="H56" s="6"/>
      <c r="I56" s="6" t="s">
        <v>73</v>
      </c>
      <c r="J56" s="6"/>
      <c r="K56" s="6"/>
      <c r="L56" s="6" t="s">
        <v>2154</v>
      </c>
      <c r="M56" s="6"/>
      <c r="N56" s="6" t="s">
        <v>2155</v>
      </c>
      <c r="O56" s="6" t="str">
        <f>HYPERLINK("https://ceds.ed.gov/cedselementdetails.aspx?termid=5682")</f>
        <v>https://ceds.ed.gov/cedselementdetails.aspx?termid=5682</v>
      </c>
      <c r="P56" s="6" t="str">
        <f>HYPERLINK("https://ceds.ed.gov/elementComment.aspx?elementName=Dental Screening Date &amp;elementID=5682", "Click here to submit comment")</f>
        <v>Click here to submit comment</v>
      </c>
    </row>
    <row r="57" spans="1:16" ht="135">
      <c r="A57" s="6" t="s">
        <v>6715</v>
      </c>
      <c r="B57" s="6" t="s">
        <v>6716</v>
      </c>
      <c r="C57" s="6" t="s">
        <v>6728</v>
      </c>
      <c r="D57" s="6" t="s">
        <v>2156</v>
      </c>
      <c r="E57" s="6" t="s">
        <v>2157</v>
      </c>
      <c r="F57" s="7" t="s">
        <v>6456</v>
      </c>
      <c r="G57" s="6" t="s">
        <v>2158</v>
      </c>
      <c r="H57" s="6"/>
      <c r="I57" s="6"/>
      <c r="J57" s="6"/>
      <c r="K57" s="6"/>
      <c r="L57" s="6" t="s">
        <v>2159</v>
      </c>
      <c r="M57" s="6"/>
      <c r="N57" s="6" t="s">
        <v>2160</v>
      </c>
      <c r="O57" s="6" t="str">
        <f>HYPERLINK("https://ceds.ed.gov/cedselementdetails.aspx?termid=5310")</f>
        <v>https://ceds.ed.gov/cedselementdetails.aspx?termid=5310</v>
      </c>
      <c r="P57" s="6" t="str">
        <f>HYPERLINK("https://ceds.ed.gov/elementComment.aspx?elementName=Dental Screening Status &amp;elementID=5310", "Click here to submit comment")</f>
        <v>Click here to submit comment</v>
      </c>
    </row>
    <row r="58" spans="1:16" ht="240">
      <c r="A58" s="6" t="s">
        <v>6715</v>
      </c>
      <c r="B58" s="6" t="s">
        <v>6716</v>
      </c>
      <c r="C58" s="6" t="s">
        <v>6729</v>
      </c>
      <c r="D58" s="6" t="s">
        <v>3339</v>
      </c>
      <c r="E58" s="6" t="s">
        <v>3340</v>
      </c>
      <c r="F58" s="7" t="s">
        <v>6455</v>
      </c>
      <c r="G58" s="6" t="s">
        <v>2147</v>
      </c>
      <c r="H58" s="6"/>
      <c r="I58" s="6"/>
      <c r="J58" s="6"/>
      <c r="K58" s="6"/>
      <c r="L58" s="6" t="s">
        <v>3341</v>
      </c>
      <c r="M58" s="6"/>
      <c r="N58" s="6" t="s">
        <v>3342</v>
      </c>
      <c r="O58" s="6" t="str">
        <f>HYPERLINK("https://ceds.ed.gov/cedselementdetails.aspx?termid=5334")</f>
        <v>https://ceds.ed.gov/cedselementdetails.aspx?termid=5334</v>
      </c>
      <c r="P58" s="6" t="str">
        <f>HYPERLINK("https://ceds.ed.gov/elementComment.aspx?elementName=Insurance Coverage &amp;elementID=5334", "Click here to submit comment")</f>
        <v>Click here to submit comment</v>
      </c>
    </row>
    <row r="59" spans="1:16" ht="240">
      <c r="A59" s="6" t="s">
        <v>6715</v>
      </c>
      <c r="B59" s="6" t="s">
        <v>6716</v>
      </c>
      <c r="C59" s="6" t="s">
        <v>6729</v>
      </c>
      <c r="D59" s="6" t="s">
        <v>2144</v>
      </c>
      <c r="E59" s="6" t="s">
        <v>2145</v>
      </c>
      <c r="F59" s="7" t="s">
        <v>6455</v>
      </c>
      <c r="G59" s="6" t="s">
        <v>2147</v>
      </c>
      <c r="H59" s="6" t="s">
        <v>66</v>
      </c>
      <c r="I59" s="6"/>
      <c r="J59" s="6" t="s">
        <v>2148</v>
      </c>
      <c r="K59" s="6"/>
      <c r="L59" s="6" t="s">
        <v>2149</v>
      </c>
      <c r="M59" s="6"/>
      <c r="N59" s="6" t="s">
        <v>2150</v>
      </c>
      <c r="O59" s="6" t="str">
        <f>HYPERLINK("https://ceds.ed.gov/cedselementdetails.aspx?termid=5335")</f>
        <v>https://ceds.ed.gov/cedselementdetails.aspx?termid=5335</v>
      </c>
      <c r="P59" s="6" t="str">
        <f>HYPERLINK("https://ceds.ed.gov/elementComment.aspx?elementName=Dental Insurance Coverage Type &amp;elementID=5335", "Click here to submit comment")</f>
        <v>Click here to submit comment</v>
      </c>
    </row>
    <row r="60" spans="1:16" ht="30">
      <c r="A60" s="6" t="s">
        <v>6715</v>
      </c>
      <c r="B60" s="6" t="s">
        <v>6716</v>
      </c>
      <c r="C60" s="6" t="s">
        <v>6730</v>
      </c>
      <c r="D60" s="6" t="s">
        <v>5921</v>
      </c>
      <c r="E60" s="6" t="s">
        <v>5922</v>
      </c>
      <c r="F60" s="6" t="s">
        <v>13</v>
      </c>
      <c r="G60" s="6" t="s">
        <v>2158</v>
      </c>
      <c r="H60" s="6"/>
      <c r="I60" s="6" t="s">
        <v>319</v>
      </c>
      <c r="J60" s="6"/>
      <c r="K60" s="6"/>
      <c r="L60" s="6" t="s">
        <v>5923</v>
      </c>
      <c r="M60" s="6"/>
      <c r="N60" s="6" t="s">
        <v>5924</v>
      </c>
      <c r="O60" s="6" t="str">
        <f>HYPERLINK("https://ceds.ed.gov/cedselementdetails.aspx?termid=5312")</f>
        <v>https://ceds.ed.gov/cedselementdetails.aspx?termid=5312</v>
      </c>
      <c r="P60" s="6" t="str">
        <f>HYPERLINK("https://ceds.ed.gov/elementComment.aspx?elementName=Weight at Birth &amp;elementID=5312", "Click here to submit comment")</f>
        <v>Click here to submit comment</v>
      </c>
    </row>
    <row r="61" spans="1:16" ht="30">
      <c r="A61" s="6" t="s">
        <v>6715</v>
      </c>
      <c r="B61" s="6" t="s">
        <v>6716</v>
      </c>
      <c r="C61" s="6" t="s">
        <v>6730</v>
      </c>
      <c r="D61" s="6" t="s">
        <v>5916</v>
      </c>
      <c r="E61" s="6" t="s">
        <v>5917</v>
      </c>
      <c r="F61" s="6" t="s">
        <v>13</v>
      </c>
      <c r="G61" s="6" t="s">
        <v>2158</v>
      </c>
      <c r="H61" s="6"/>
      <c r="I61" s="6" t="s">
        <v>308</v>
      </c>
      <c r="J61" s="6"/>
      <c r="K61" s="6"/>
      <c r="L61" s="6" t="s">
        <v>5919</v>
      </c>
      <c r="M61" s="6"/>
      <c r="N61" s="6" t="s">
        <v>5920</v>
      </c>
      <c r="O61" s="6" t="str">
        <f>HYPERLINK("https://ceds.ed.gov/cedselementdetails.aspx?termid=5313")</f>
        <v>https://ceds.ed.gov/cedselementdetails.aspx?termid=5313</v>
      </c>
      <c r="P61" s="6" t="str">
        <f>HYPERLINK("https://ceds.ed.gov/elementComment.aspx?elementName=Weeks of Gestation &amp;elementID=5313", "Click here to submit comment")</f>
        <v>Click here to submit comment</v>
      </c>
    </row>
    <row r="62" spans="1:16" ht="135">
      <c r="A62" s="6" t="s">
        <v>6715</v>
      </c>
      <c r="B62" s="6" t="s">
        <v>6716</v>
      </c>
      <c r="C62" s="6" t="s">
        <v>6731</v>
      </c>
      <c r="D62" s="6" t="s">
        <v>2322</v>
      </c>
      <c r="E62" s="6" t="s">
        <v>2323</v>
      </c>
      <c r="F62" s="7" t="s">
        <v>6475</v>
      </c>
      <c r="G62" s="6" t="s">
        <v>2158</v>
      </c>
      <c r="H62" s="6" t="s">
        <v>66</v>
      </c>
      <c r="I62" s="6"/>
      <c r="J62" s="6" t="s">
        <v>2177</v>
      </c>
      <c r="K62" s="6"/>
      <c r="L62" s="6" t="s">
        <v>2324</v>
      </c>
      <c r="M62" s="6"/>
      <c r="N62" s="6" t="s">
        <v>2325</v>
      </c>
      <c r="O62" s="6" t="str">
        <f>HYPERLINK("https://ceds.ed.gov/cedselementdetails.aspx?termid=5314")</f>
        <v>https://ceds.ed.gov/cedselementdetails.aspx?termid=5314</v>
      </c>
      <c r="P62" s="6" t="str">
        <f>HYPERLINK("https://ceds.ed.gov/elementComment.aspx?elementName=Early Learning Child Developmental Screening Status &amp;elementID=5314", "Click here to submit comment")</f>
        <v>Click here to submit comment</v>
      </c>
    </row>
    <row r="63" spans="1:16" ht="360">
      <c r="A63" s="6" t="s">
        <v>6715</v>
      </c>
      <c r="B63" s="6" t="s">
        <v>6716</v>
      </c>
      <c r="C63" s="6" t="s">
        <v>6731</v>
      </c>
      <c r="D63" s="6" t="s">
        <v>2174</v>
      </c>
      <c r="E63" s="6" t="s">
        <v>2175</v>
      </c>
      <c r="F63" s="7" t="s">
        <v>6457</v>
      </c>
      <c r="G63" s="6" t="s">
        <v>2158</v>
      </c>
      <c r="H63" s="6" t="s">
        <v>66</v>
      </c>
      <c r="I63" s="6"/>
      <c r="J63" s="6" t="s">
        <v>2177</v>
      </c>
      <c r="K63" s="6"/>
      <c r="L63" s="6" t="s">
        <v>2178</v>
      </c>
      <c r="M63" s="6"/>
      <c r="N63" s="6" t="s">
        <v>2179</v>
      </c>
      <c r="O63" s="6" t="str">
        <f>HYPERLINK("https://ceds.ed.gov/cedselementdetails.aspx?termid=5315")</f>
        <v>https://ceds.ed.gov/cedselementdetails.aspx?termid=5315</v>
      </c>
      <c r="P63" s="6" t="str">
        <f>HYPERLINK("https://ceds.ed.gov/elementComment.aspx?elementName=Developmental Evaluation Finding &amp;elementID=5315", "Click here to submit comment")</f>
        <v>Click here to submit comment</v>
      </c>
    </row>
    <row r="64" spans="1:16" ht="315">
      <c r="A64" s="6" t="s">
        <v>6715</v>
      </c>
      <c r="B64" s="6" t="s">
        <v>6716</v>
      </c>
      <c r="C64" s="6" t="s">
        <v>6731</v>
      </c>
      <c r="D64" s="6" t="s">
        <v>4587</v>
      </c>
      <c r="E64" s="6" t="s">
        <v>4588</v>
      </c>
      <c r="F64" s="7" t="s">
        <v>6607</v>
      </c>
      <c r="G64" s="6" t="s">
        <v>6286</v>
      </c>
      <c r="H64" s="6" t="s">
        <v>3</v>
      </c>
      <c r="I64" s="6"/>
      <c r="J64" s="6"/>
      <c r="K64" s="6"/>
      <c r="L64" s="6" t="s">
        <v>4589</v>
      </c>
      <c r="M64" s="6"/>
      <c r="N64" s="6" t="s">
        <v>4590</v>
      </c>
      <c r="O64" s="6" t="str">
        <f>HYPERLINK("https://ceds.ed.gov/cedselementdetails.aspx?termid=5218")</f>
        <v>https://ceds.ed.gov/cedselementdetails.aspx?termid=5218</v>
      </c>
      <c r="P64" s="6" t="str">
        <f>HYPERLINK("https://ceds.ed.gov/elementComment.aspx?elementName=Primary Disability Type &amp;elementID=5218", "Click here to submit comment")</f>
        <v>Click here to submit comment</v>
      </c>
    </row>
    <row r="65" spans="1:16" ht="409.5">
      <c r="A65" s="6" t="s">
        <v>6715</v>
      </c>
      <c r="B65" s="6" t="s">
        <v>6716</v>
      </c>
      <c r="C65" s="6" t="s">
        <v>6732</v>
      </c>
      <c r="D65" s="6" t="s">
        <v>2390</v>
      </c>
      <c r="E65" s="6" t="s">
        <v>2391</v>
      </c>
      <c r="F65" s="7" t="s">
        <v>6484</v>
      </c>
      <c r="G65" s="6" t="s">
        <v>2147</v>
      </c>
      <c r="H65" s="6" t="s">
        <v>3</v>
      </c>
      <c r="I65" s="6"/>
      <c r="J65" s="6"/>
      <c r="K65" s="6"/>
      <c r="L65" s="6" t="s">
        <v>2393</v>
      </c>
      <c r="M65" s="6"/>
      <c r="N65" s="6" t="s">
        <v>2394</v>
      </c>
      <c r="O65" s="6" t="str">
        <f>HYPERLINK("https://ceds.ed.gov/cedselementdetails.aspx?termid=5304")</f>
        <v>https://ceds.ed.gov/cedselementdetails.aspx?termid=5304</v>
      </c>
      <c r="P65" s="6" t="str">
        <f>HYPERLINK("https://ceds.ed.gov/elementComment.aspx?elementName=Early Learning Program Eligibility Category &amp;elementID=5304", "Click here to submit comment")</f>
        <v>Click here to submit comment</v>
      </c>
    </row>
    <row r="66" spans="1:16" ht="225">
      <c r="A66" s="6" t="s">
        <v>6715</v>
      </c>
      <c r="B66" s="6" t="s">
        <v>6716</v>
      </c>
      <c r="C66" s="6" t="s">
        <v>6731</v>
      </c>
      <c r="D66" s="6" t="s">
        <v>491</v>
      </c>
      <c r="E66" s="6" t="s">
        <v>492</v>
      </c>
      <c r="F66" s="7" t="s">
        <v>6381</v>
      </c>
      <c r="G66" s="6" t="s">
        <v>493</v>
      </c>
      <c r="H66" s="6"/>
      <c r="I66" s="6"/>
      <c r="J66" s="6"/>
      <c r="K66" s="6"/>
      <c r="L66" s="6" t="s">
        <v>494</v>
      </c>
      <c r="M66" s="6"/>
      <c r="N66" s="6" t="s">
        <v>495</v>
      </c>
      <c r="O66" s="6" t="str">
        <f>HYPERLINK("https://ceds.ed.gov/cedselementdetails.aspx?termid=6003")</f>
        <v>https://ceds.ed.gov/cedselementdetails.aspx?termid=6003</v>
      </c>
      <c r="P66" s="6" t="str">
        <f>HYPERLINK("https://ceds.ed.gov/elementComment.aspx?elementName=Assessment Early Learning Developmental Domain &amp;elementID=6003", "Click here to submit comment")</f>
        <v>Click here to submit comment</v>
      </c>
    </row>
    <row r="67" spans="1:16" ht="375">
      <c r="A67" s="6" t="s">
        <v>6715</v>
      </c>
      <c r="B67" s="6" t="s">
        <v>6716</v>
      </c>
      <c r="C67" s="6" t="s">
        <v>6731</v>
      </c>
      <c r="D67" s="6" t="s">
        <v>942</v>
      </c>
      <c r="E67" s="6" t="s">
        <v>943</v>
      </c>
      <c r="F67" s="7" t="s">
        <v>6390</v>
      </c>
      <c r="G67" s="6" t="s">
        <v>6030</v>
      </c>
      <c r="H67" s="6"/>
      <c r="I67" s="6"/>
      <c r="J67" s="6"/>
      <c r="K67" s="6"/>
      <c r="L67" s="6" t="s">
        <v>944</v>
      </c>
      <c r="M67" s="6"/>
      <c r="N67" s="6" t="s">
        <v>945</v>
      </c>
      <c r="O67" s="6" t="str">
        <f>HYPERLINK("https://ceds.ed.gov/cedselementdetails.aspx?termid=5177")</f>
        <v>https://ceds.ed.gov/cedselementdetails.aspx?termid=5177</v>
      </c>
      <c r="P67" s="6" t="str">
        <f>HYPERLINK("https://ceds.ed.gov/elementComment.aspx?elementName=Assessment Level for Which Designed &amp;elementID=5177", "Click here to submit comment")</f>
        <v>Click here to submit comment</v>
      </c>
    </row>
    <row r="68" spans="1:16" ht="409.5">
      <c r="A68" s="6" t="s">
        <v>6715</v>
      </c>
      <c r="B68" s="6" t="s">
        <v>6716</v>
      </c>
      <c r="C68" s="6" t="s">
        <v>6731</v>
      </c>
      <c r="D68" s="6" t="s">
        <v>2199</v>
      </c>
      <c r="E68" s="6" t="s">
        <v>2200</v>
      </c>
      <c r="F68" s="7" t="s">
        <v>6459</v>
      </c>
      <c r="G68" s="6"/>
      <c r="H68" s="6" t="s">
        <v>54</v>
      </c>
      <c r="I68" s="6"/>
      <c r="J68" s="6"/>
      <c r="K68" s="6" t="s">
        <v>2201</v>
      </c>
      <c r="L68" s="6" t="s">
        <v>2202</v>
      </c>
      <c r="M68" s="6"/>
      <c r="N68" s="6" t="s">
        <v>2203</v>
      </c>
      <c r="O68" s="6" t="str">
        <f>HYPERLINK("https://ceds.ed.gov/cedselementdetails.aspx?termid=6286")</f>
        <v>https://ceds.ed.gov/cedselementdetails.aspx?termid=6286</v>
      </c>
      <c r="P68" s="6" t="str">
        <f>HYPERLINK("https://ceds.ed.gov/elementComment.aspx?elementName=Disability Condition Type &amp;elementID=6286", "Click here to submit comment")</f>
        <v>Click here to submit comment</v>
      </c>
    </row>
    <row r="69" spans="1:16" ht="255">
      <c r="A69" s="6" t="s">
        <v>6715</v>
      </c>
      <c r="B69" s="6" t="s">
        <v>6716</v>
      </c>
      <c r="C69" s="6" t="s">
        <v>6731</v>
      </c>
      <c r="D69" s="6" t="s">
        <v>2204</v>
      </c>
      <c r="E69" s="6" t="s">
        <v>2205</v>
      </c>
      <c r="F69" s="7" t="s">
        <v>6460</v>
      </c>
      <c r="G69" s="6"/>
      <c r="H69" s="6" t="s">
        <v>54</v>
      </c>
      <c r="I69" s="6"/>
      <c r="J69" s="6"/>
      <c r="K69" s="6" t="s">
        <v>2201</v>
      </c>
      <c r="L69" s="6" t="s">
        <v>2206</v>
      </c>
      <c r="M69" s="6"/>
      <c r="N69" s="6" t="s">
        <v>2207</v>
      </c>
      <c r="O69" s="6" t="str">
        <f>HYPERLINK("https://ceds.ed.gov/cedselementdetails.aspx?termid=6287")</f>
        <v>https://ceds.ed.gov/cedselementdetails.aspx?termid=6287</v>
      </c>
      <c r="P69" s="6" t="str">
        <f>HYPERLINK("https://ceds.ed.gov/elementComment.aspx?elementName=Disability Determination Source Type &amp;elementID=6287", "Click here to submit comment")</f>
        <v>Click here to submit comment</v>
      </c>
    </row>
    <row r="70" spans="1:16" ht="45">
      <c r="A70" s="6" t="s">
        <v>6715</v>
      </c>
      <c r="B70" s="6" t="s">
        <v>6716</v>
      </c>
      <c r="C70" s="6" t="s">
        <v>6732</v>
      </c>
      <c r="D70" s="6" t="s">
        <v>2395</v>
      </c>
      <c r="E70" s="6" t="s">
        <v>2396</v>
      </c>
      <c r="F70" s="6" t="s">
        <v>13</v>
      </c>
      <c r="G70" s="6"/>
      <c r="H70" s="6" t="s">
        <v>54</v>
      </c>
      <c r="I70" s="6" t="s">
        <v>73</v>
      </c>
      <c r="J70" s="6"/>
      <c r="K70" s="6"/>
      <c r="L70" s="6" t="s">
        <v>2398</v>
      </c>
      <c r="M70" s="6"/>
      <c r="N70" s="6" t="s">
        <v>2399</v>
      </c>
      <c r="O70" s="6" t="str">
        <f>HYPERLINK("https://ceds.ed.gov/cedselementdetails.aspx?termid=6305")</f>
        <v>https://ceds.ed.gov/cedselementdetails.aspx?termid=6305</v>
      </c>
      <c r="P70" s="6" t="str">
        <f>HYPERLINK("https://ceds.ed.gov/elementComment.aspx?elementName=Early Learning Program Eligibility Expiration Date &amp;elementID=6305", "Click here to submit comment")</f>
        <v>Click here to submit comment</v>
      </c>
    </row>
    <row r="71" spans="1:16" ht="90">
      <c r="A71" s="6" t="s">
        <v>6715</v>
      </c>
      <c r="B71" s="6" t="s">
        <v>6716</v>
      </c>
      <c r="C71" s="6" t="s">
        <v>6732</v>
      </c>
      <c r="D71" s="6" t="s">
        <v>2400</v>
      </c>
      <c r="E71" s="6" t="s">
        <v>2401</v>
      </c>
      <c r="F71" s="7" t="s">
        <v>6485</v>
      </c>
      <c r="G71" s="6"/>
      <c r="H71" s="6" t="s">
        <v>54</v>
      </c>
      <c r="I71" s="6"/>
      <c r="J71" s="6"/>
      <c r="K71" s="6"/>
      <c r="L71" s="6" t="s">
        <v>2402</v>
      </c>
      <c r="M71" s="6"/>
      <c r="N71" s="6" t="s">
        <v>2403</v>
      </c>
      <c r="O71" s="6" t="str">
        <f>HYPERLINK("https://ceds.ed.gov/cedselementdetails.aspx?termid=6306")</f>
        <v>https://ceds.ed.gov/cedselementdetails.aspx?termid=6306</v>
      </c>
      <c r="P71" s="6" t="str">
        <f>HYPERLINK("https://ceds.ed.gov/elementComment.aspx?elementName=Early Learning Program Eligibility Status &amp;elementID=6306", "Click here to submit comment")</f>
        <v>Click here to submit comment</v>
      </c>
    </row>
    <row r="72" spans="1:16" ht="45">
      <c r="A72" s="6" t="s">
        <v>6715</v>
      </c>
      <c r="B72" s="6" t="s">
        <v>6716</v>
      </c>
      <c r="C72" s="6" t="s">
        <v>6732</v>
      </c>
      <c r="D72" s="6" t="s">
        <v>2404</v>
      </c>
      <c r="E72" s="6" t="s">
        <v>2405</v>
      </c>
      <c r="F72" s="6" t="s">
        <v>13</v>
      </c>
      <c r="G72" s="6"/>
      <c r="H72" s="6" t="s">
        <v>54</v>
      </c>
      <c r="I72" s="6" t="s">
        <v>73</v>
      </c>
      <c r="J72" s="6"/>
      <c r="K72" s="6"/>
      <c r="L72" s="6" t="s">
        <v>2406</v>
      </c>
      <c r="M72" s="6"/>
      <c r="N72" s="6" t="s">
        <v>2407</v>
      </c>
      <c r="O72" s="6" t="str">
        <f>HYPERLINK("https://ceds.ed.gov/cedselementdetails.aspx?termid=6307")</f>
        <v>https://ceds.ed.gov/cedselementdetails.aspx?termid=6307</v>
      </c>
      <c r="P72" s="6" t="str">
        <f>HYPERLINK("https://ceds.ed.gov/elementComment.aspx?elementName=Early Learning Program Eligibility Status Date &amp;elementID=6307", "Click here to submit comment")</f>
        <v>Click here to submit comment</v>
      </c>
    </row>
    <row r="73" spans="1:16" ht="45">
      <c r="A73" s="6" t="s">
        <v>6715</v>
      </c>
      <c r="B73" s="6" t="s">
        <v>6716</v>
      </c>
      <c r="C73" s="6" t="s">
        <v>6732</v>
      </c>
      <c r="D73" s="6" t="s">
        <v>3052</v>
      </c>
      <c r="E73" s="6" t="s">
        <v>3053</v>
      </c>
      <c r="F73" s="6" t="s">
        <v>5963</v>
      </c>
      <c r="G73" s="6"/>
      <c r="H73" s="6" t="s">
        <v>54</v>
      </c>
      <c r="I73" s="6"/>
      <c r="J73" s="6"/>
      <c r="K73" s="6"/>
      <c r="L73" s="6" t="s">
        <v>3054</v>
      </c>
      <c r="M73" s="6"/>
      <c r="N73" s="6" t="s">
        <v>3055</v>
      </c>
      <c r="O73" s="6" t="str">
        <f>HYPERLINK("https://ceds.ed.gov/cedselementdetails.aspx?termid=6327")</f>
        <v>https://ceds.ed.gov/cedselementdetails.aspx?termid=6327</v>
      </c>
      <c r="P73" s="6" t="str">
        <f>HYPERLINK("https://ceds.ed.gov/elementComment.aspx?elementName=IDEA Part B 619 Potential Eligibility Indicator &amp;elementID=6327", "Click here to submit comment")</f>
        <v>Click here to submit comment</v>
      </c>
    </row>
    <row r="74" spans="1:16" ht="180">
      <c r="A74" s="6" t="s">
        <v>6715</v>
      </c>
      <c r="B74" s="6" t="s">
        <v>6716</v>
      </c>
      <c r="C74" s="6" t="s">
        <v>6733</v>
      </c>
      <c r="D74" s="6" t="s">
        <v>3419</v>
      </c>
      <c r="E74" s="6" t="s">
        <v>3420</v>
      </c>
      <c r="F74" s="7" t="s">
        <v>6563</v>
      </c>
      <c r="G74" s="6" t="s">
        <v>6214</v>
      </c>
      <c r="H74" s="6"/>
      <c r="I74" s="6"/>
      <c r="J74" s="6"/>
      <c r="K74" s="6"/>
      <c r="L74" s="6" t="s">
        <v>3421</v>
      </c>
      <c r="M74" s="6"/>
      <c r="N74" s="6" t="s">
        <v>3422</v>
      </c>
      <c r="O74" s="6" t="str">
        <f>HYPERLINK("https://ceds.ed.gov/cedselementdetails.aspx?termid=5316")</f>
        <v>https://ceds.ed.gov/cedselementdetails.aspx?termid=5316</v>
      </c>
      <c r="P74" s="6" t="str">
        <f>HYPERLINK("https://ceds.ed.gov/elementComment.aspx?elementName=Language Type &amp;elementID=5316", "Click here to submit comment")</f>
        <v>Click here to submit comment</v>
      </c>
    </row>
    <row r="75" spans="1:16" ht="90">
      <c r="A75" s="6" t="s">
        <v>6715</v>
      </c>
      <c r="B75" s="6" t="s">
        <v>6716</v>
      </c>
      <c r="C75" s="6" t="s">
        <v>6733</v>
      </c>
      <c r="D75" s="6" t="s">
        <v>3406</v>
      </c>
      <c r="E75" s="6" t="s">
        <v>3407</v>
      </c>
      <c r="F75" s="5" t="s">
        <v>939</v>
      </c>
      <c r="G75" s="6" t="s">
        <v>6214</v>
      </c>
      <c r="H75" s="6" t="s">
        <v>66</v>
      </c>
      <c r="I75" s="6"/>
      <c r="J75" s="6" t="s">
        <v>2645</v>
      </c>
      <c r="K75" s="6" t="s">
        <v>3408</v>
      </c>
      <c r="L75" s="6" t="s">
        <v>3409</v>
      </c>
      <c r="M75" s="6"/>
      <c r="N75" s="6" t="s">
        <v>3410</v>
      </c>
      <c r="O75" s="6" t="str">
        <f>HYPERLINK("https://ceds.ed.gov/cedselementdetails.aspx?termid=5317")</f>
        <v>https://ceds.ed.gov/cedselementdetails.aspx?termid=5317</v>
      </c>
      <c r="P75" s="6" t="str">
        <f>HYPERLINK("https://ceds.ed.gov/elementComment.aspx?elementName=Language Code &amp;elementID=5317", "Click here to submit comment")</f>
        <v>Click here to submit comment</v>
      </c>
    </row>
    <row r="76" spans="1:16" ht="75">
      <c r="A76" s="6" t="s">
        <v>6715</v>
      </c>
      <c r="B76" s="6" t="s">
        <v>6716</v>
      </c>
      <c r="C76" s="6" t="s">
        <v>6734</v>
      </c>
      <c r="D76" s="6" t="s">
        <v>3035</v>
      </c>
      <c r="E76" s="6" t="s">
        <v>3036</v>
      </c>
      <c r="F76" s="7" t="s">
        <v>6537</v>
      </c>
      <c r="G76" s="6"/>
      <c r="H76" s="6" t="s">
        <v>54</v>
      </c>
      <c r="I76" s="6"/>
      <c r="J76" s="6"/>
      <c r="K76" s="6"/>
      <c r="L76" s="6" t="s">
        <v>3038</v>
      </c>
      <c r="M76" s="6"/>
      <c r="N76" s="6" t="s">
        <v>3039</v>
      </c>
      <c r="O76" s="6" t="str">
        <f>HYPERLINK("https://ceds.ed.gov/cedselementdetails.aspx?termid=6473")</f>
        <v>https://ceds.ed.gov/cedselementdetails.aspx?termid=6473</v>
      </c>
      <c r="P76" s="6" t="str">
        <f>HYPERLINK("https://ceds.ed.gov/elementComment.aspx?elementName=IDEA IEP Status &amp;elementID=6473", "Click here to submit comment")</f>
        <v>Click here to submit comment</v>
      </c>
    </row>
    <row r="77" spans="1:16" ht="45">
      <c r="A77" s="6" t="s">
        <v>6715</v>
      </c>
      <c r="B77" s="6" t="s">
        <v>6716</v>
      </c>
      <c r="C77" s="6" t="s">
        <v>6734</v>
      </c>
      <c r="D77" s="6" t="s">
        <v>3052</v>
      </c>
      <c r="E77" s="6" t="s">
        <v>3053</v>
      </c>
      <c r="F77" s="6" t="s">
        <v>5963</v>
      </c>
      <c r="G77" s="6"/>
      <c r="H77" s="6" t="s">
        <v>54</v>
      </c>
      <c r="I77" s="6"/>
      <c r="J77" s="6"/>
      <c r="K77" s="6"/>
      <c r="L77" s="6" t="s">
        <v>3054</v>
      </c>
      <c r="M77" s="6"/>
      <c r="N77" s="6" t="s">
        <v>3055</v>
      </c>
      <c r="O77" s="6" t="str">
        <f>HYPERLINK("https://ceds.ed.gov/cedselementdetails.aspx?termid=6327")</f>
        <v>https://ceds.ed.gov/cedselementdetails.aspx?termid=6327</v>
      </c>
      <c r="P77" s="6" t="str">
        <f>HYPERLINK("https://ceds.ed.gov/elementComment.aspx?elementName=IDEA Part B 619 Potential Eligibility Indicator &amp;elementID=6327", "Click here to submit comment")</f>
        <v>Click here to submit comment</v>
      </c>
    </row>
    <row r="78" spans="1:16" ht="75">
      <c r="A78" s="6" t="s">
        <v>6715</v>
      </c>
      <c r="B78" s="6" t="s">
        <v>6716</v>
      </c>
      <c r="C78" s="6" t="s">
        <v>6734</v>
      </c>
      <c r="D78" s="6" t="s">
        <v>3056</v>
      </c>
      <c r="E78" s="6" t="s">
        <v>3057</v>
      </c>
      <c r="F78" s="6" t="s">
        <v>13</v>
      </c>
      <c r="G78" s="6"/>
      <c r="H78" s="6" t="s">
        <v>54</v>
      </c>
      <c r="I78" s="6" t="s">
        <v>73</v>
      </c>
      <c r="J78" s="6"/>
      <c r="K78" s="6"/>
      <c r="L78" s="6" t="s">
        <v>3058</v>
      </c>
      <c r="M78" s="6"/>
      <c r="N78" s="6" t="s">
        <v>3059</v>
      </c>
      <c r="O78" s="6" t="str">
        <f>HYPERLINK("https://ceds.ed.gov/cedselementdetails.aspx?termid=6472")</f>
        <v>https://ceds.ed.gov/cedselementdetails.aspx?termid=6472</v>
      </c>
      <c r="P78" s="6" t="str">
        <f>HYPERLINK("https://ceds.ed.gov/elementComment.aspx?elementName=IDEA Part C to B Sharing Notification Date &amp;elementID=6472", "Click here to submit comment")</f>
        <v>Click here to submit comment</v>
      </c>
    </row>
    <row r="79" spans="1:16" ht="60">
      <c r="A79" s="6" t="s">
        <v>6715</v>
      </c>
      <c r="B79" s="6" t="s">
        <v>6716</v>
      </c>
      <c r="C79" s="6" t="s">
        <v>6734</v>
      </c>
      <c r="D79" s="6" t="s">
        <v>3060</v>
      </c>
      <c r="E79" s="6" t="s">
        <v>3061</v>
      </c>
      <c r="F79" s="6" t="s">
        <v>13</v>
      </c>
      <c r="G79" s="6"/>
      <c r="H79" s="6" t="s">
        <v>54</v>
      </c>
      <c r="I79" s="6" t="s">
        <v>73</v>
      </c>
      <c r="J79" s="6"/>
      <c r="K79" s="6"/>
      <c r="L79" s="6" t="s">
        <v>3062</v>
      </c>
      <c r="M79" s="6"/>
      <c r="N79" s="6" t="s">
        <v>3063</v>
      </c>
      <c r="O79" s="6" t="str">
        <f>HYPERLINK("https://ceds.ed.gov/cedselementdetails.aspx?termid=6333")</f>
        <v>https://ceds.ed.gov/cedselementdetails.aspx?termid=6333</v>
      </c>
      <c r="P79" s="6" t="str">
        <f>HYPERLINK("https://ceds.ed.gov/elementComment.aspx?elementName=IDEA Part C to Part B Date of Transition Conference &amp;elementID=6333", "Click here to submit comment")</f>
        <v>Click here to submit comment</v>
      </c>
    </row>
    <row r="80" spans="1:16" ht="75">
      <c r="A80" s="6" t="s">
        <v>6715</v>
      </c>
      <c r="B80" s="6" t="s">
        <v>6716</v>
      </c>
      <c r="C80" s="6" t="s">
        <v>6734</v>
      </c>
      <c r="D80" s="6" t="s">
        <v>3064</v>
      </c>
      <c r="E80" s="6" t="s">
        <v>3065</v>
      </c>
      <c r="F80" s="6" t="s">
        <v>13</v>
      </c>
      <c r="G80" s="6"/>
      <c r="H80" s="6" t="s">
        <v>54</v>
      </c>
      <c r="I80" s="6" t="s">
        <v>73</v>
      </c>
      <c r="J80" s="6"/>
      <c r="K80" s="6"/>
      <c r="L80" s="6" t="s">
        <v>3066</v>
      </c>
      <c r="M80" s="6"/>
      <c r="N80" s="6" t="s">
        <v>3067</v>
      </c>
      <c r="O80" s="6" t="str">
        <f>HYPERLINK("https://ceds.ed.gov/cedselementdetails.aspx?termid=6334")</f>
        <v>https://ceds.ed.gov/cedselementdetails.aspx?termid=6334</v>
      </c>
      <c r="P80" s="6" t="str">
        <f>HYPERLINK("https://ceds.ed.gov/elementComment.aspx?elementName=IDEA Part C to Part B Date of Transition Conference Decline &amp;elementID=6334", "Click here to submit comment")</f>
        <v>Click here to submit comment</v>
      </c>
    </row>
    <row r="81" spans="1:16" ht="60">
      <c r="A81" s="6" t="s">
        <v>6715</v>
      </c>
      <c r="B81" s="6" t="s">
        <v>6716</v>
      </c>
      <c r="C81" s="6" t="s">
        <v>6734</v>
      </c>
      <c r="D81" s="6" t="s">
        <v>3068</v>
      </c>
      <c r="E81" s="6" t="s">
        <v>3069</v>
      </c>
      <c r="F81" s="6" t="s">
        <v>13</v>
      </c>
      <c r="G81" s="6"/>
      <c r="H81" s="6" t="s">
        <v>54</v>
      </c>
      <c r="I81" s="6" t="s">
        <v>73</v>
      </c>
      <c r="J81" s="6"/>
      <c r="K81" s="6"/>
      <c r="L81" s="6" t="s">
        <v>3070</v>
      </c>
      <c r="M81" s="6"/>
      <c r="N81" s="6" t="s">
        <v>3071</v>
      </c>
      <c r="O81" s="6" t="str">
        <f>HYPERLINK("https://ceds.ed.gov/cedselementdetails.aspx?termid=6335")</f>
        <v>https://ceds.ed.gov/cedselementdetails.aspx?termid=6335</v>
      </c>
      <c r="P81" s="6" t="str">
        <f>HYPERLINK("https://ceds.ed.gov/elementComment.aspx?elementName=IDEA Part C to Part B Date of Transition Plan Steps or Services &amp;elementID=6335", "Click here to submit comment")</f>
        <v>Click here to submit comment</v>
      </c>
    </row>
    <row r="82" spans="1:16" ht="105">
      <c r="A82" s="6" t="s">
        <v>6715</v>
      </c>
      <c r="B82" s="6" t="s">
        <v>6716</v>
      </c>
      <c r="C82" s="6" t="s">
        <v>6734</v>
      </c>
      <c r="D82" s="6" t="s">
        <v>3072</v>
      </c>
      <c r="E82" s="6" t="s">
        <v>3073</v>
      </c>
      <c r="F82" s="6" t="s">
        <v>13</v>
      </c>
      <c r="G82" s="6"/>
      <c r="H82" s="6" t="s">
        <v>54</v>
      </c>
      <c r="I82" s="6" t="s">
        <v>73</v>
      </c>
      <c r="J82" s="6"/>
      <c r="K82" s="6"/>
      <c r="L82" s="6" t="s">
        <v>3074</v>
      </c>
      <c r="M82" s="6"/>
      <c r="N82" s="6" t="s">
        <v>3075</v>
      </c>
      <c r="O82" s="6" t="str">
        <f>HYPERLINK("https://ceds.ed.gov/cedselementdetails.aspx?termid=6331")</f>
        <v>https://ceds.ed.gov/cedselementdetails.aspx?termid=6331</v>
      </c>
      <c r="P82" s="6" t="str">
        <f>HYPERLINK("https://ceds.ed.gov/elementComment.aspx?elementName=IDEA Part C to Part B Parent Notification Opt Out Date &amp;elementID=6331", "Click here to submit comment")</f>
        <v>Click here to submit comment</v>
      </c>
    </row>
    <row r="83" spans="1:16" ht="105">
      <c r="A83" s="6" t="s">
        <v>6715</v>
      </c>
      <c r="B83" s="6" t="s">
        <v>6716</v>
      </c>
      <c r="C83" s="6" t="s">
        <v>6734</v>
      </c>
      <c r="D83" s="6" t="s">
        <v>3076</v>
      </c>
      <c r="E83" s="6" t="s">
        <v>3077</v>
      </c>
      <c r="F83" s="6" t="s">
        <v>5963</v>
      </c>
      <c r="G83" s="6"/>
      <c r="H83" s="6" t="s">
        <v>54</v>
      </c>
      <c r="I83" s="6"/>
      <c r="J83" s="6"/>
      <c r="K83" s="6"/>
      <c r="L83" s="6" t="s">
        <v>3078</v>
      </c>
      <c r="M83" s="6"/>
      <c r="N83" s="6" t="s">
        <v>3079</v>
      </c>
      <c r="O83" s="6" t="str">
        <f>HYPERLINK("https://ceds.ed.gov/cedselementdetails.aspx?termid=6330")</f>
        <v>https://ceds.ed.gov/cedselementdetails.aspx?termid=6330</v>
      </c>
      <c r="P83" s="6" t="str">
        <f>HYPERLINK("https://ceds.ed.gov/elementComment.aspx?elementName=IDEA Part C to Part B Parent Notification Opt Out Indicator &amp;elementID=6330", "Click here to submit comment")</f>
        <v>Click here to submit comment</v>
      </c>
    </row>
    <row r="84" spans="1:16" ht="30">
      <c r="A84" s="6" t="s">
        <v>6715</v>
      </c>
      <c r="B84" s="6" t="s">
        <v>6716</v>
      </c>
      <c r="C84" s="6" t="s">
        <v>6734</v>
      </c>
      <c r="D84" s="6" t="s">
        <v>4967</v>
      </c>
      <c r="E84" s="6" t="s">
        <v>4968</v>
      </c>
      <c r="F84" s="6" t="s">
        <v>13</v>
      </c>
      <c r="G84" s="6"/>
      <c r="H84" s="6" t="s">
        <v>54</v>
      </c>
      <c r="I84" s="6" t="s">
        <v>319</v>
      </c>
      <c r="J84" s="6"/>
      <c r="K84" s="6"/>
      <c r="L84" s="6" t="s">
        <v>4969</v>
      </c>
      <c r="M84" s="6"/>
      <c r="N84" s="6" t="s">
        <v>4970</v>
      </c>
      <c r="O84" s="6" t="str">
        <f>HYPERLINK("https://ceds.ed.gov/cedselementdetails.aspx?termid=6460")</f>
        <v>https://ceds.ed.gov/cedselementdetails.aspx?termid=6460</v>
      </c>
      <c r="P84" s="6" t="str">
        <f>HYPERLINK("https://ceds.ed.gov/elementComment.aspx?elementName=Reason for Declined Services &amp;elementID=6460", "Click here to submit comment")</f>
        <v>Click here to submit comment</v>
      </c>
    </row>
    <row r="85" spans="1:16" ht="120">
      <c r="A85" s="6" t="s">
        <v>6715</v>
      </c>
      <c r="B85" s="6" t="s">
        <v>6716</v>
      </c>
      <c r="C85" s="6" t="s">
        <v>6734</v>
      </c>
      <c r="D85" s="6" t="s">
        <v>4971</v>
      </c>
      <c r="E85" s="6" t="s">
        <v>4972</v>
      </c>
      <c r="F85" s="7" t="s">
        <v>6635</v>
      </c>
      <c r="G85" s="6"/>
      <c r="H85" s="6" t="s">
        <v>54</v>
      </c>
      <c r="I85" s="6"/>
      <c r="J85" s="6"/>
      <c r="K85" s="6"/>
      <c r="L85" s="6" t="s">
        <v>4973</v>
      </c>
      <c r="M85" s="6"/>
      <c r="N85" s="6" t="s">
        <v>4974</v>
      </c>
      <c r="O85" s="6" t="str">
        <f>HYPERLINK("https://ceds.ed.gov/cedselementdetails.aspx?termid=6494")</f>
        <v>https://ceds.ed.gov/cedselementdetails.aspx?termid=6494</v>
      </c>
      <c r="P85" s="6" t="str">
        <f>HYPERLINK("https://ceds.ed.gov/elementComment.aspx?elementName=Reason for Delay of Transition Conference &amp;elementID=6494", "Click here to submit comment")</f>
        <v>Click here to submit comment</v>
      </c>
    </row>
    <row r="86" spans="1:16" ht="409.5">
      <c r="A86" s="6" t="s">
        <v>6715</v>
      </c>
      <c r="B86" s="6" t="s">
        <v>6716</v>
      </c>
      <c r="C86" s="6" t="s">
        <v>6734</v>
      </c>
      <c r="D86" s="6" t="s">
        <v>5406</v>
      </c>
      <c r="E86" s="6" t="s">
        <v>5407</v>
      </c>
      <c r="F86" s="7" t="s">
        <v>6660</v>
      </c>
      <c r="G86" s="6" t="s">
        <v>218</v>
      </c>
      <c r="H86" s="6" t="s">
        <v>66</v>
      </c>
      <c r="I86" s="6"/>
      <c r="J86" s="6" t="s">
        <v>5408</v>
      </c>
      <c r="K86" s="6"/>
      <c r="L86" s="6" t="s">
        <v>5409</v>
      </c>
      <c r="M86" s="6"/>
      <c r="N86" s="6" t="s">
        <v>5410</v>
      </c>
      <c r="O86" s="6" t="str">
        <f>HYPERLINK("https://ceds.ed.gov/cedselementdetails.aspx?termid=5260")</f>
        <v>https://ceds.ed.gov/cedselementdetails.aspx?termid=5260</v>
      </c>
      <c r="P86" s="6" t="str">
        <f>HYPERLINK("https://ceds.ed.gov/elementComment.aspx?elementName=Special Education Exit Reason &amp;elementID=5260", "Click here to submit comment")</f>
        <v>Click here to submit comment</v>
      </c>
    </row>
    <row r="87" spans="1:16" ht="45">
      <c r="A87" s="6" t="s">
        <v>6715</v>
      </c>
      <c r="B87" s="6" t="s">
        <v>6716</v>
      </c>
      <c r="C87" s="6" t="s">
        <v>6735</v>
      </c>
      <c r="D87" s="6" t="s">
        <v>381</v>
      </c>
      <c r="E87" s="6" t="s">
        <v>382</v>
      </c>
      <c r="F87" s="6" t="s">
        <v>13</v>
      </c>
      <c r="G87" s="6" t="s">
        <v>5988</v>
      </c>
      <c r="H87" s="6"/>
      <c r="I87" s="6" t="s">
        <v>73</v>
      </c>
      <c r="J87" s="6"/>
      <c r="K87" s="6"/>
      <c r="L87" s="6" t="s">
        <v>384</v>
      </c>
      <c r="M87" s="6"/>
      <c r="N87" s="6" t="s">
        <v>385</v>
      </c>
      <c r="O87" s="6" t="str">
        <f>HYPERLINK("https://ceds.ed.gov/cedselementdetails.aspx?termid=5323")</f>
        <v>https://ceds.ed.gov/cedselementdetails.aspx?termid=5323</v>
      </c>
      <c r="P87" s="6" t="str">
        <f>HYPERLINK("https://ceds.ed.gov/elementComment.aspx?elementName=Application Date &amp;elementID=5323", "Click here to submit comment")</f>
        <v>Click here to submit comment</v>
      </c>
    </row>
    <row r="88" spans="1:16" ht="375">
      <c r="A88" s="6" t="s">
        <v>6715</v>
      </c>
      <c r="B88" s="6" t="s">
        <v>6716</v>
      </c>
      <c r="C88" s="6" t="s">
        <v>6735</v>
      </c>
      <c r="D88" s="6" t="s">
        <v>3027</v>
      </c>
      <c r="E88" s="6" t="s">
        <v>3028</v>
      </c>
      <c r="F88" s="7" t="s">
        <v>6535</v>
      </c>
      <c r="G88" s="6" t="s">
        <v>218</v>
      </c>
      <c r="H88" s="6"/>
      <c r="I88" s="6"/>
      <c r="J88" s="6"/>
      <c r="K88" s="6"/>
      <c r="L88" s="6" t="s">
        <v>3029</v>
      </c>
      <c r="M88" s="6"/>
      <c r="N88" s="6" t="s">
        <v>3030</v>
      </c>
      <c r="O88" s="6" t="str">
        <f>HYPERLINK("https://ceds.ed.gov/cedselementdetails.aspx?termid=5550")</f>
        <v>https://ceds.ed.gov/cedselementdetails.aspx?termid=5550</v>
      </c>
      <c r="P88" s="6" t="str">
        <f>HYPERLINK("https://ceds.ed.gov/elementComment.aspx?elementName=IDEA Educational Environment for Early Childhood &amp;elementID=5550", "Click here to submit comment")</f>
        <v>Click here to submit comment</v>
      </c>
    </row>
    <row r="89" spans="1:16" ht="270">
      <c r="A89" s="6" t="s">
        <v>6715</v>
      </c>
      <c r="B89" s="6" t="s">
        <v>6716</v>
      </c>
      <c r="C89" s="6" t="s">
        <v>6735</v>
      </c>
      <c r="D89" s="6" t="s">
        <v>2298</v>
      </c>
      <c r="E89" s="6" t="s">
        <v>2299</v>
      </c>
      <c r="F89" s="7" t="s">
        <v>6470</v>
      </c>
      <c r="G89" s="6" t="s">
        <v>6140</v>
      </c>
      <c r="H89" s="6"/>
      <c r="I89" s="6"/>
      <c r="J89" s="6"/>
      <c r="K89" s="6"/>
      <c r="L89" s="6" t="s">
        <v>2300</v>
      </c>
      <c r="M89" s="6"/>
      <c r="N89" s="6" t="s">
        <v>2301</v>
      </c>
      <c r="O89" s="6" t="str">
        <f>HYPERLINK("https://ceds.ed.gov/cedselementdetails.aspx?termid=5318")</f>
        <v>https://ceds.ed.gov/cedselementdetails.aspx?termid=5318</v>
      </c>
      <c r="P89" s="6" t="str">
        <f>HYPERLINK("https://ceds.ed.gov/elementComment.aspx?elementName=Early Childhood Enrollment Service Type &amp;elementID=5318", "Click here to submit comment")</f>
        <v>Click here to submit comment</v>
      </c>
    </row>
    <row r="90" spans="1:16" ht="375">
      <c r="A90" s="6" t="s">
        <v>6715</v>
      </c>
      <c r="B90" s="6" t="s">
        <v>6716</v>
      </c>
      <c r="C90" s="6" t="s">
        <v>6735</v>
      </c>
      <c r="D90" s="6" t="s">
        <v>4595</v>
      </c>
      <c r="E90" s="6" t="s">
        <v>4596</v>
      </c>
      <c r="F90" s="7" t="s">
        <v>6608</v>
      </c>
      <c r="G90" s="6" t="s">
        <v>2147</v>
      </c>
      <c r="H90" s="6"/>
      <c r="I90" s="6"/>
      <c r="J90" s="6"/>
      <c r="K90" s="6"/>
      <c r="L90" s="6" t="s">
        <v>4597</v>
      </c>
      <c r="M90" s="6"/>
      <c r="N90" s="6" t="s">
        <v>4598</v>
      </c>
      <c r="O90" s="6" t="str">
        <f>HYPERLINK("https://ceds.ed.gov/cedselementdetails.aspx?termid=5319")</f>
        <v>https://ceds.ed.gov/cedselementdetails.aspx?termid=5319</v>
      </c>
      <c r="P90" s="6" t="str">
        <f>HYPERLINK("https://ceds.ed.gov/elementComment.aspx?elementName=Prior Early Childhood Experience &amp;elementID=5319", "Click here to submit comment")</f>
        <v>Click here to submit comment</v>
      </c>
    </row>
    <row r="91" spans="1:16" ht="45">
      <c r="A91" s="6" t="s">
        <v>6715</v>
      </c>
      <c r="B91" s="6" t="s">
        <v>6716</v>
      </c>
      <c r="C91" s="6" t="s">
        <v>6735</v>
      </c>
      <c r="D91" s="6" t="s">
        <v>2550</v>
      </c>
      <c r="E91" s="6" t="s">
        <v>2551</v>
      </c>
      <c r="F91" s="6" t="s">
        <v>13</v>
      </c>
      <c r="G91" s="6" t="s">
        <v>5988</v>
      </c>
      <c r="H91" s="6"/>
      <c r="I91" s="6" t="s">
        <v>73</v>
      </c>
      <c r="J91" s="6"/>
      <c r="K91" s="6"/>
      <c r="L91" s="6" t="s">
        <v>2552</v>
      </c>
      <c r="M91" s="6"/>
      <c r="N91" s="6" t="s">
        <v>2553</v>
      </c>
      <c r="O91" s="6" t="str">
        <f>HYPERLINK("https://ceds.ed.gov/cedselementdetails.aspx?termid=5324")</f>
        <v>https://ceds.ed.gov/cedselementdetails.aspx?termid=5324</v>
      </c>
      <c r="P91" s="6" t="str">
        <f>HYPERLINK("https://ceds.ed.gov/elementComment.aspx?elementName=Enrollment Date &amp;elementID=5324", "Click here to submit comment")</f>
        <v>Click here to submit comment</v>
      </c>
    </row>
    <row r="92" spans="1:16" ht="165">
      <c r="A92" s="6" t="s">
        <v>6715</v>
      </c>
      <c r="B92" s="6" t="s">
        <v>6716</v>
      </c>
      <c r="C92" s="6" t="s">
        <v>6735</v>
      </c>
      <c r="D92" s="6" t="s">
        <v>2554</v>
      </c>
      <c r="E92" s="6" t="s">
        <v>2555</v>
      </c>
      <c r="F92" s="6" t="s">
        <v>13</v>
      </c>
      <c r="G92" s="6" t="s">
        <v>6159</v>
      </c>
      <c r="H92" s="6"/>
      <c r="I92" s="6" t="s">
        <v>73</v>
      </c>
      <c r="J92" s="6"/>
      <c r="K92" s="6"/>
      <c r="L92" s="6" t="s">
        <v>2556</v>
      </c>
      <c r="M92" s="6"/>
      <c r="N92" s="6" t="s">
        <v>2557</v>
      </c>
      <c r="O92" s="6" t="str">
        <f>HYPERLINK("https://ceds.ed.gov/cedselementdetails.aspx?termid=5097")</f>
        <v>https://ceds.ed.gov/cedselementdetails.aspx?termid=5097</v>
      </c>
      <c r="P92" s="6" t="str">
        <f>HYPERLINK("https://ceds.ed.gov/elementComment.aspx?elementName=Enrollment Entry Date &amp;elementID=5097", "Click here to submit comment")</f>
        <v>Click here to submit comment</v>
      </c>
    </row>
    <row r="93" spans="1:16" ht="60">
      <c r="A93" s="6" t="s">
        <v>6715</v>
      </c>
      <c r="B93" s="6" t="s">
        <v>6716</v>
      </c>
      <c r="C93" s="6" t="s">
        <v>6735</v>
      </c>
      <c r="D93" s="6" t="s">
        <v>2578</v>
      </c>
      <c r="E93" s="6" t="s">
        <v>2579</v>
      </c>
      <c r="F93" s="6" t="s">
        <v>13</v>
      </c>
      <c r="G93" s="6" t="s">
        <v>24</v>
      </c>
      <c r="H93" s="6"/>
      <c r="I93" s="6" t="s">
        <v>73</v>
      </c>
      <c r="J93" s="6"/>
      <c r="K93" s="6"/>
      <c r="L93" s="6" t="s">
        <v>2580</v>
      </c>
      <c r="M93" s="6"/>
      <c r="N93" s="6" t="s">
        <v>2581</v>
      </c>
      <c r="O93" s="6" t="str">
        <f>HYPERLINK("https://ceds.ed.gov/cedselementdetails.aspx?termid=5107")</f>
        <v>https://ceds.ed.gov/cedselementdetails.aspx?termid=5107</v>
      </c>
      <c r="P93" s="6" t="str">
        <f>HYPERLINK("https://ceds.ed.gov/elementComment.aspx?elementName=Exit Date &amp;elementID=5107", "Click here to submit comment")</f>
        <v>Click here to submit comment</v>
      </c>
    </row>
    <row r="94" spans="1:16" ht="60">
      <c r="A94" s="6" t="s">
        <v>6715</v>
      </c>
      <c r="B94" s="6" t="s">
        <v>6716</v>
      </c>
      <c r="C94" s="6" t="s">
        <v>6735</v>
      </c>
      <c r="D94" s="6" t="s">
        <v>5297</v>
      </c>
      <c r="E94" s="6" t="s">
        <v>5298</v>
      </c>
      <c r="F94" s="6" t="s">
        <v>13</v>
      </c>
      <c r="G94" s="6"/>
      <c r="H94" s="6"/>
      <c r="I94" s="6" t="s">
        <v>73</v>
      </c>
      <c r="J94" s="6"/>
      <c r="K94" s="6"/>
      <c r="L94" s="6" t="s">
        <v>5299</v>
      </c>
      <c r="M94" s="6"/>
      <c r="N94" s="6" t="s">
        <v>5300</v>
      </c>
      <c r="O94" s="6" t="str">
        <f>HYPERLINK("https://ceds.ed.gov/cedselementdetails.aspx?termid=5326")</f>
        <v>https://ceds.ed.gov/cedselementdetails.aspx?termid=5326</v>
      </c>
      <c r="P94" s="6" t="str">
        <f>HYPERLINK("https://ceds.ed.gov/elementComment.aspx?elementName=Service Entry Date &amp;elementID=5326", "Click here to submit comment")</f>
        <v>Click here to submit comment</v>
      </c>
    </row>
    <row r="95" spans="1:16" ht="60">
      <c r="A95" s="6" t="s">
        <v>6715</v>
      </c>
      <c r="B95" s="6" t="s">
        <v>6716</v>
      </c>
      <c r="C95" s="6" t="s">
        <v>6735</v>
      </c>
      <c r="D95" s="6" t="s">
        <v>5301</v>
      </c>
      <c r="E95" s="6" t="s">
        <v>5302</v>
      </c>
      <c r="F95" s="6" t="s">
        <v>13</v>
      </c>
      <c r="G95" s="6"/>
      <c r="H95" s="6"/>
      <c r="I95" s="6" t="s">
        <v>73</v>
      </c>
      <c r="J95" s="6"/>
      <c r="K95" s="6"/>
      <c r="L95" s="6" t="s">
        <v>5303</v>
      </c>
      <c r="M95" s="6"/>
      <c r="N95" s="6" t="s">
        <v>5304</v>
      </c>
      <c r="O95" s="6" t="str">
        <f>HYPERLINK("https://ceds.ed.gov/cedselementdetails.aspx?termid=5327")</f>
        <v>https://ceds.ed.gov/cedselementdetails.aspx?termid=5327</v>
      </c>
      <c r="P95" s="6" t="str">
        <f>HYPERLINK("https://ceds.ed.gov/elementComment.aspx?elementName=Service Exit Date &amp;elementID=5327", "Click here to submit comment")</f>
        <v>Click here to submit comment</v>
      </c>
    </row>
    <row r="96" spans="1:16" ht="255">
      <c r="A96" s="6" t="s">
        <v>6715</v>
      </c>
      <c r="B96" s="6" t="s">
        <v>6716</v>
      </c>
      <c r="C96" s="6" t="s">
        <v>6735</v>
      </c>
      <c r="D96" s="6" t="s">
        <v>4269</v>
      </c>
      <c r="E96" s="6" t="s">
        <v>4270</v>
      </c>
      <c r="F96" s="6" t="s">
        <v>13</v>
      </c>
      <c r="G96" s="6" t="s">
        <v>6263</v>
      </c>
      <c r="H96" s="6"/>
      <c r="I96" s="6" t="s">
        <v>1461</v>
      </c>
      <c r="J96" s="6"/>
      <c r="K96" s="6" t="s">
        <v>4271</v>
      </c>
      <c r="L96" s="6" t="s">
        <v>4272</v>
      </c>
      <c r="M96" s="6"/>
      <c r="N96" s="6" t="s">
        <v>4273</v>
      </c>
      <c r="O96" s="6" t="str">
        <f>HYPERLINK("https://ceds.ed.gov/cedselementdetails.aspx?termid=5202")</f>
        <v>https://ceds.ed.gov/cedselementdetails.aspx?termid=5202</v>
      </c>
      <c r="P96" s="6" t="str">
        <f>HYPERLINK("https://ceds.ed.gov/elementComment.aspx?elementName=Number of Days in Attendance &amp;elementID=5202", "Click here to submit comment")</f>
        <v>Click here to submit comment</v>
      </c>
    </row>
    <row r="97" spans="1:16" ht="45">
      <c r="A97" s="6" t="s">
        <v>6715</v>
      </c>
      <c r="B97" s="6" t="s">
        <v>6716</v>
      </c>
      <c r="C97" s="6" t="s">
        <v>6735</v>
      </c>
      <c r="D97" s="6" t="s">
        <v>4821</v>
      </c>
      <c r="E97" s="6" t="s">
        <v>4822</v>
      </c>
      <c r="F97" s="6" t="s">
        <v>13</v>
      </c>
      <c r="G97" s="6" t="s">
        <v>6051</v>
      </c>
      <c r="H97" s="6"/>
      <c r="I97" s="6" t="s">
        <v>73</v>
      </c>
      <c r="J97" s="6"/>
      <c r="K97" s="6"/>
      <c r="L97" s="6" t="s">
        <v>4823</v>
      </c>
      <c r="M97" s="6"/>
      <c r="N97" s="6" t="s">
        <v>4824</v>
      </c>
      <c r="O97" s="6" t="str">
        <f>HYPERLINK("https://ceds.ed.gov/cedselementdetails.aspx?termid=5583")</f>
        <v>https://ceds.ed.gov/cedselementdetails.aspx?termid=5583</v>
      </c>
      <c r="P97" s="6" t="str">
        <f>HYPERLINK("https://ceds.ed.gov/elementComment.aspx?elementName=Program Participation Start Date &amp;elementID=5583", "Click here to submit comment")</f>
        <v>Click here to submit comment</v>
      </c>
    </row>
    <row r="98" spans="1:16" ht="45">
      <c r="A98" s="6" t="s">
        <v>6715</v>
      </c>
      <c r="B98" s="6" t="s">
        <v>6716</v>
      </c>
      <c r="C98" s="6" t="s">
        <v>6735</v>
      </c>
      <c r="D98" s="6" t="s">
        <v>4817</v>
      </c>
      <c r="E98" s="6" t="s">
        <v>4818</v>
      </c>
      <c r="F98" s="6" t="s">
        <v>13</v>
      </c>
      <c r="G98" s="6" t="s">
        <v>218</v>
      </c>
      <c r="H98" s="6"/>
      <c r="I98" s="6" t="s">
        <v>73</v>
      </c>
      <c r="J98" s="6"/>
      <c r="K98" s="6"/>
      <c r="L98" s="6" t="s">
        <v>4819</v>
      </c>
      <c r="M98" s="6"/>
      <c r="N98" s="6" t="s">
        <v>4820</v>
      </c>
      <c r="O98" s="6" t="str">
        <f>HYPERLINK("https://ceds.ed.gov/cedselementdetails.aspx?termid=5584")</f>
        <v>https://ceds.ed.gov/cedselementdetails.aspx?termid=5584</v>
      </c>
      <c r="P98" s="6" t="str">
        <f>HYPERLINK("https://ceds.ed.gov/elementComment.aspx?elementName=Program Participation Exit Date &amp;elementID=5584", "Click here to submit comment")</f>
        <v>Click here to submit comment</v>
      </c>
    </row>
    <row r="99" spans="1:16" ht="390">
      <c r="A99" s="6" t="s">
        <v>6715</v>
      </c>
      <c r="B99" s="6" t="s">
        <v>6716</v>
      </c>
      <c r="C99" s="6" t="s">
        <v>6735</v>
      </c>
      <c r="D99" s="6" t="s">
        <v>4423</v>
      </c>
      <c r="E99" s="6" t="s">
        <v>4424</v>
      </c>
      <c r="F99" s="7" t="s">
        <v>6596</v>
      </c>
      <c r="G99" s="6" t="s">
        <v>5988</v>
      </c>
      <c r="H99" s="6"/>
      <c r="I99" s="6"/>
      <c r="J99" s="6"/>
      <c r="K99" s="6"/>
      <c r="L99" s="6" t="s">
        <v>4425</v>
      </c>
      <c r="M99" s="6"/>
      <c r="N99" s="6" t="s">
        <v>4426</v>
      </c>
      <c r="O99" s="6" t="str">
        <f>HYPERLINK("https://ceds.ed.gov/cedselementdetails.aspx?termid=5325")</f>
        <v>https://ceds.ed.gov/cedselementdetails.aspx?termid=5325</v>
      </c>
      <c r="P99" s="6" t="str">
        <f>HYPERLINK("https://ceds.ed.gov/elementComment.aspx?elementName=Participation in School Food Service Programs &amp;elementID=5325", "Click here to submit comment")</f>
        <v>Click here to submit comment</v>
      </c>
    </row>
    <row r="100" spans="1:16" ht="409.5">
      <c r="A100" s="6" t="s">
        <v>6715</v>
      </c>
      <c r="B100" s="6" t="s">
        <v>6716</v>
      </c>
      <c r="C100" s="6" t="s">
        <v>6735</v>
      </c>
      <c r="D100" s="6" t="s">
        <v>2594</v>
      </c>
      <c r="E100" s="6" t="s">
        <v>2595</v>
      </c>
      <c r="F100" s="7" t="s">
        <v>6502</v>
      </c>
      <c r="G100" s="6"/>
      <c r="H100" s="6" t="s">
        <v>3</v>
      </c>
      <c r="I100" s="6"/>
      <c r="J100" s="6"/>
      <c r="K100" s="6"/>
      <c r="L100" s="6" t="s">
        <v>2596</v>
      </c>
      <c r="M100" s="6"/>
      <c r="N100" s="6" t="s">
        <v>2597</v>
      </c>
      <c r="O100" s="6" t="str">
        <f>HYPERLINK("https://ceds.ed.gov/cedselementdetails.aspx?termid=5222")</f>
        <v>https://ceds.ed.gov/cedselementdetails.aspx?termid=5222</v>
      </c>
      <c r="P100" s="6" t="str">
        <f>HYPERLINK("https://ceds.ed.gov/elementComment.aspx?elementName=Exit Reason &amp;elementID=5222", "Click here to submit comment")</f>
        <v>Click here to submit comment</v>
      </c>
    </row>
    <row r="101" spans="1:16" ht="360">
      <c r="A101" s="6" t="s">
        <v>6715</v>
      </c>
      <c r="B101" s="6" t="s">
        <v>6716</v>
      </c>
      <c r="C101" s="6" t="s">
        <v>6736</v>
      </c>
      <c r="D101" s="6" t="s">
        <v>2312</v>
      </c>
      <c r="E101" s="6" t="s">
        <v>2313</v>
      </c>
      <c r="F101" s="7" t="s">
        <v>6473</v>
      </c>
      <c r="G101" s="6" t="s">
        <v>2158</v>
      </c>
      <c r="H101" s="6" t="s">
        <v>66</v>
      </c>
      <c r="I101" s="6"/>
      <c r="J101" s="6" t="s">
        <v>2315</v>
      </c>
      <c r="K101" s="6"/>
      <c r="L101" s="6" t="s">
        <v>2316</v>
      </c>
      <c r="M101" s="6"/>
      <c r="N101" s="6" t="s">
        <v>2317</v>
      </c>
      <c r="O101" s="6" t="str">
        <f>HYPERLINK("https://ceds.ed.gov/cedselementdetails.aspx?termid=5321")</f>
        <v>https://ceds.ed.gov/cedselementdetails.aspx?termid=5321</v>
      </c>
      <c r="P101" s="6" t="str">
        <f>HYPERLINK("https://ceds.ed.gov/elementComment.aspx?elementName=Early Intervention or Special Education Services Received &amp;elementID=5321", "Click here to submit comment")</f>
        <v>Click here to submit comment</v>
      </c>
    </row>
    <row r="102" spans="1:16" ht="300">
      <c r="A102" s="6" t="s">
        <v>6715</v>
      </c>
      <c r="B102" s="6" t="s">
        <v>6716</v>
      </c>
      <c r="C102" s="6" t="s">
        <v>6736</v>
      </c>
      <c r="D102" s="6" t="s">
        <v>2318</v>
      </c>
      <c r="E102" s="6" t="s">
        <v>2319</v>
      </c>
      <c r="F102" s="7" t="s">
        <v>6474</v>
      </c>
      <c r="G102" s="6" t="s">
        <v>6141</v>
      </c>
      <c r="H102" s="6"/>
      <c r="I102" s="6"/>
      <c r="J102" s="6"/>
      <c r="K102" s="6"/>
      <c r="L102" s="6" t="s">
        <v>2320</v>
      </c>
      <c r="M102" s="6"/>
      <c r="N102" s="6" t="s">
        <v>2321</v>
      </c>
      <c r="O102" s="6" t="str">
        <f>HYPERLINK("https://ceds.ed.gov/cedselementdetails.aspx?termid=5322")</f>
        <v>https://ceds.ed.gov/cedselementdetails.aspx?termid=5322</v>
      </c>
      <c r="P102" s="6" t="str">
        <f>HYPERLINK("https://ceds.ed.gov/elementComment.aspx?elementName=Early Intervention or Special Education Services Setting &amp;elementID=5322", "Click here to submit comment")</f>
        <v>Click here to submit comment</v>
      </c>
    </row>
    <row r="103" spans="1:16" ht="90">
      <c r="A103" s="6" t="s">
        <v>6715</v>
      </c>
      <c r="B103" s="6" t="s">
        <v>6716</v>
      </c>
      <c r="C103" s="6" t="s">
        <v>6736</v>
      </c>
      <c r="D103" s="6" t="s">
        <v>5411</v>
      </c>
      <c r="E103" s="6" t="s">
        <v>5412</v>
      </c>
      <c r="F103" s="6" t="s">
        <v>13</v>
      </c>
      <c r="G103" s="6"/>
      <c r="H103" s="6"/>
      <c r="I103" s="6" t="s">
        <v>5413</v>
      </c>
      <c r="J103" s="6"/>
      <c r="K103" s="6"/>
      <c r="L103" s="6" t="s">
        <v>5414</v>
      </c>
      <c r="M103" s="6" t="s">
        <v>5415</v>
      </c>
      <c r="N103" s="6" t="s">
        <v>5416</v>
      </c>
      <c r="O103" s="6" t="str">
        <f>HYPERLINK("https://ceds.ed.gov/cedselementdetails.aspx?termid=6208")</f>
        <v>https://ceds.ed.gov/cedselementdetails.aspx?termid=6208</v>
      </c>
      <c r="P103" s="6" t="str">
        <f>HYPERLINK("https://ceds.ed.gov/elementComment.aspx?elementName=Special Education Full Time Equivalency &amp;elementID=6208", "Click here to submit comment")</f>
        <v>Click here to submit comment</v>
      </c>
    </row>
    <row r="104" spans="1:16" ht="210">
      <c r="A104" s="6" t="s">
        <v>6715</v>
      </c>
      <c r="B104" s="6" t="s">
        <v>6716</v>
      </c>
      <c r="C104" s="6" t="s">
        <v>6737</v>
      </c>
      <c r="D104" s="6" t="s">
        <v>2344</v>
      </c>
      <c r="E104" s="6" t="s">
        <v>2345</v>
      </c>
      <c r="F104" s="7" t="s">
        <v>6478</v>
      </c>
      <c r="G104" s="6"/>
      <c r="H104" s="6" t="s">
        <v>54</v>
      </c>
      <c r="I104" s="6"/>
      <c r="J104" s="6"/>
      <c r="K104" s="6"/>
      <c r="L104" s="6" t="s">
        <v>2347</v>
      </c>
      <c r="M104" s="6"/>
      <c r="N104" s="6" t="s">
        <v>2348</v>
      </c>
      <c r="O104" s="6" t="str">
        <f>HYPERLINK("https://ceds.ed.gov/cedselementdetails.aspx?termid=6294")</f>
        <v>https://ceds.ed.gov/cedselementdetails.aspx?termid=6294</v>
      </c>
      <c r="P104" s="6" t="str">
        <f>HYPERLINK("https://ceds.ed.gov/elementComment.aspx?elementName=Early Learning Federal Funding Type &amp;elementID=6294", "Click here to submit comment")</f>
        <v>Click here to submit comment</v>
      </c>
    </row>
    <row r="105" spans="1:16" ht="150">
      <c r="A105" s="6" t="s">
        <v>6715</v>
      </c>
      <c r="B105" s="6" t="s">
        <v>6716</v>
      </c>
      <c r="C105" s="6" t="s">
        <v>6737</v>
      </c>
      <c r="D105" s="6" t="s">
        <v>2363</v>
      </c>
      <c r="E105" s="6" t="s">
        <v>2364</v>
      </c>
      <c r="F105" s="7" t="s">
        <v>6480</v>
      </c>
      <c r="G105" s="6"/>
      <c r="H105" s="6" t="s">
        <v>54</v>
      </c>
      <c r="I105" s="6"/>
      <c r="J105" s="6"/>
      <c r="K105" s="6"/>
      <c r="L105" s="6" t="s">
        <v>2365</v>
      </c>
      <c r="M105" s="6"/>
      <c r="N105" s="6" t="s">
        <v>2366</v>
      </c>
      <c r="O105" s="6" t="str">
        <f>HYPERLINK("https://ceds.ed.gov/cedselementdetails.aspx?termid=6302")</f>
        <v>https://ceds.ed.gov/cedselementdetails.aspx?termid=6302</v>
      </c>
      <c r="P105" s="6" t="str">
        <f>HYPERLINK("https://ceds.ed.gov/elementComment.aspx?elementName=Early Learning Other Federal Funding Sources &amp;elementID=6302", "Click here to submit comment")</f>
        <v>Click here to submit comment</v>
      </c>
    </row>
    <row r="106" spans="1:16" ht="75">
      <c r="A106" s="6" t="s">
        <v>6715</v>
      </c>
      <c r="B106" s="6" t="s">
        <v>6716</v>
      </c>
      <c r="C106" s="6" t="s">
        <v>6737</v>
      </c>
      <c r="D106" s="6" t="s">
        <v>2653</v>
      </c>
      <c r="E106" s="6" t="s">
        <v>2654</v>
      </c>
      <c r="F106" s="6" t="s">
        <v>13</v>
      </c>
      <c r="G106" s="6" t="s">
        <v>218</v>
      </c>
      <c r="H106" s="6" t="s">
        <v>3</v>
      </c>
      <c r="I106" s="6"/>
      <c r="J106" s="6"/>
      <c r="K106" s="6"/>
      <c r="L106" s="6" t="s">
        <v>2655</v>
      </c>
      <c r="M106" s="6"/>
      <c r="N106" s="6" t="s">
        <v>2656</v>
      </c>
      <c r="O106" s="6" t="str">
        <f>HYPERLINK("https://ceds.ed.gov/cedselementdetails.aspx?termid=5538")</f>
        <v>https://ceds.ed.gov/cedselementdetails.aspx?termid=5538</v>
      </c>
      <c r="P106" s="6" t="str">
        <f>HYPERLINK("https://ceds.ed.gov/elementComment.aspx?elementName=Federal Program Code &amp;elementID=5538", "Click here to submit comment")</f>
        <v>Click here to submit comment</v>
      </c>
    </row>
    <row r="107" spans="1:16" ht="90">
      <c r="A107" s="6" t="s">
        <v>6715</v>
      </c>
      <c r="B107" s="6" t="s">
        <v>6716</v>
      </c>
      <c r="C107" s="6" t="s">
        <v>6738</v>
      </c>
      <c r="D107" s="6" t="s">
        <v>2802</v>
      </c>
      <c r="E107" s="6" t="s">
        <v>2803</v>
      </c>
      <c r="F107" s="6" t="s">
        <v>6177</v>
      </c>
      <c r="G107" s="6"/>
      <c r="H107" s="6" t="s">
        <v>54</v>
      </c>
      <c r="I107" s="6"/>
      <c r="J107" s="6"/>
      <c r="K107" s="6"/>
      <c r="L107" s="6" t="s">
        <v>2805</v>
      </c>
      <c r="M107" s="6"/>
      <c r="N107" s="6" t="s">
        <v>2806</v>
      </c>
      <c r="O107" s="6" t="str">
        <f>HYPERLINK("https://ceds.ed.gov/cedselementdetails.aspx?termid=6323")</f>
        <v>https://ceds.ed.gov/cedselementdetails.aspx?termid=6323</v>
      </c>
      <c r="P107" s="6" t="str">
        <f>HYPERLINK("https://ceds.ed.gov/elementComment.aspx?elementName=Frequency of Service &amp;elementID=6323", "Click here to submit comment")</f>
        <v>Click here to submit comment</v>
      </c>
    </row>
    <row r="108" spans="1:16" ht="45">
      <c r="A108" s="6" t="s">
        <v>6715</v>
      </c>
      <c r="B108" s="6" t="s">
        <v>6716</v>
      </c>
      <c r="C108" s="6" t="s">
        <v>6738</v>
      </c>
      <c r="D108" s="6" t="s">
        <v>3215</v>
      </c>
      <c r="E108" s="6" t="s">
        <v>3216</v>
      </c>
      <c r="F108" s="6" t="s">
        <v>13</v>
      </c>
      <c r="G108" s="6"/>
      <c r="H108" s="6" t="s">
        <v>54</v>
      </c>
      <c r="I108" s="6" t="s">
        <v>1461</v>
      </c>
      <c r="J108" s="6"/>
      <c r="K108" s="6"/>
      <c r="L108" s="6" t="s">
        <v>3217</v>
      </c>
      <c r="M108" s="6"/>
      <c r="N108" s="6" t="s">
        <v>3218</v>
      </c>
      <c r="O108" s="6" t="str">
        <f>HYPERLINK("https://ceds.ed.gov/cedselementdetails.aspx?termid=6493")</f>
        <v>https://ceds.ed.gov/cedselementdetails.aspx?termid=6493</v>
      </c>
      <c r="P108" s="6" t="str">
        <f>HYPERLINK("https://ceds.ed.gov/elementComment.aspx?elementName=Individualized Program Planned Service Duration &amp;elementID=6493", "Click here to submit comment")</f>
        <v>Click here to submit comment</v>
      </c>
    </row>
    <row r="109" spans="1:16" ht="150">
      <c r="A109" s="6" t="s">
        <v>6715</v>
      </c>
      <c r="B109" s="6" t="s">
        <v>6716</v>
      </c>
      <c r="C109" s="6" t="s">
        <v>6738</v>
      </c>
      <c r="D109" s="6" t="s">
        <v>3219</v>
      </c>
      <c r="E109" s="6" t="s">
        <v>3220</v>
      </c>
      <c r="F109" s="6" t="s">
        <v>6208</v>
      </c>
      <c r="G109" s="6"/>
      <c r="H109" s="6" t="s">
        <v>54</v>
      </c>
      <c r="I109" s="6"/>
      <c r="J109" s="6"/>
      <c r="K109" s="6"/>
      <c r="L109" s="6" t="s">
        <v>3221</v>
      </c>
      <c r="M109" s="6"/>
      <c r="N109" s="6" t="s">
        <v>3222</v>
      </c>
      <c r="O109" s="6" t="str">
        <f>HYPERLINK("https://ceds.ed.gov/cedselementdetails.aspx?termid=6492")</f>
        <v>https://ceds.ed.gov/cedselementdetails.aspx?termid=6492</v>
      </c>
      <c r="P109" s="6" t="str">
        <f>HYPERLINK("https://ceds.ed.gov/elementComment.aspx?elementName=Individualized Program Planned Service Frequency &amp;elementID=6492", "Click here to submit comment")</f>
        <v>Click here to submit comment</v>
      </c>
    </row>
    <row r="110" spans="1:16" ht="45">
      <c r="A110" s="6" t="s">
        <v>6715</v>
      </c>
      <c r="B110" s="6" t="s">
        <v>6716</v>
      </c>
      <c r="C110" s="6" t="s">
        <v>6738</v>
      </c>
      <c r="D110" s="6" t="s">
        <v>3223</v>
      </c>
      <c r="E110" s="6" t="s">
        <v>3224</v>
      </c>
      <c r="F110" s="6" t="s">
        <v>13</v>
      </c>
      <c r="G110" s="6"/>
      <c r="H110" s="6" t="s">
        <v>54</v>
      </c>
      <c r="I110" s="6" t="s">
        <v>73</v>
      </c>
      <c r="J110" s="6"/>
      <c r="K110" s="6" t="s">
        <v>3225</v>
      </c>
      <c r="L110" s="6" t="s">
        <v>3226</v>
      </c>
      <c r="M110" s="6"/>
      <c r="N110" s="6" t="s">
        <v>3227</v>
      </c>
      <c r="O110" s="6" t="str">
        <f>HYPERLINK("https://ceds.ed.gov/cedselementdetails.aspx?termid=6350")</f>
        <v>https://ceds.ed.gov/cedselementdetails.aspx?termid=6350</v>
      </c>
      <c r="P110" s="6" t="str">
        <f>HYPERLINK("https://ceds.ed.gov/elementComment.aspx?elementName=Individualized Program Planned Service Start Date &amp;elementID=6350", "Click here to submit comment")</f>
        <v>Click here to submit comment</v>
      </c>
    </row>
    <row r="111" spans="1:16" ht="360">
      <c r="A111" s="6" t="s">
        <v>6715</v>
      </c>
      <c r="B111" s="6" t="s">
        <v>6716</v>
      </c>
      <c r="C111" s="6" t="s">
        <v>6738</v>
      </c>
      <c r="D111" s="6" t="s">
        <v>3228</v>
      </c>
      <c r="E111" s="6" t="s">
        <v>2313</v>
      </c>
      <c r="F111" s="7" t="s">
        <v>6473</v>
      </c>
      <c r="G111" s="6"/>
      <c r="H111" s="6" t="s">
        <v>54</v>
      </c>
      <c r="I111" s="6"/>
      <c r="J111" s="6"/>
      <c r="K111" s="6"/>
      <c r="L111" s="6" t="s">
        <v>3229</v>
      </c>
      <c r="M111" s="6"/>
      <c r="N111" s="6" t="s">
        <v>3230</v>
      </c>
      <c r="O111" s="6" t="str">
        <f>HYPERLINK("https://ceds.ed.gov/cedselementdetails.aspx?termid=6352")</f>
        <v>https://ceds.ed.gov/cedselementdetails.aspx?termid=6352</v>
      </c>
      <c r="P111" s="6" t="str">
        <f>HYPERLINK("https://ceds.ed.gov/elementComment.aspx?elementName=Individualized Program Planned Service Type &amp;elementID=6352", "Click here to submit comment")</f>
        <v>Click here to submit comment</v>
      </c>
    </row>
    <row r="112" spans="1:16" ht="135">
      <c r="A112" s="6" t="s">
        <v>6715</v>
      </c>
      <c r="B112" s="6" t="s">
        <v>6716</v>
      </c>
      <c r="C112" s="6" t="s">
        <v>6739</v>
      </c>
      <c r="D112" s="6" t="s">
        <v>3203</v>
      </c>
      <c r="E112" s="6" t="s">
        <v>3204</v>
      </c>
      <c r="F112" s="7" t="s">
        <v>6549</v>
      </c>
      <c r="G112" s="6"/>
      <c r="H112" s="6"/>
      <c r="I112" s="6"/>
      <c r="J112" s="6"/>
      <c r="K112" s="6"/>
      <c r="L112" s="6" t="s">
        <v>3205</v>
      </c>
      <c r="M112" s="6"/>
      <c r="N112" s="6" t="s">
        <v>3206</v>
      </c>
      <c r="O112" s="6" t="str">
        <f>HYPERLINK("https://ceds.ed.gov/cedselementdetails.aspx?termid=6196")</f>
        <v>https://ceds.ed.gov/cedselementdetails.aspx?termid=6196</v>
      </c>
      <c r="P112" s="6" t="str">
        <f>HYPERLINK("https://ceds.ed.gov/elementComment.aspx?elementName=Individualized Program Date Type &amp;elementID=6196", "Click here to submit comment")</f>
        <v>Click here to submit comment</v>
      </c>
    </row>
    <row r="113" spans="1:16" ht="45">
      <c r="A113" s="6" t="s">
        <v>6715</v>
      </c>
      <c r="B113" s="6" t="s">
        <v>6716</v>
      </c>
      <c r="C113" s="6" t="s">
        <v>6739</v>
      </c>
      <c r="D113" s="6" t="s">
        <v>3199</v>
      </c>
      <c r="E113" s="6" t="s">
        <v>3200</v>
      </c>
      <c r="F113" s="6" t="s">
        <v>13</v>
      </c>
      <c r="G113" s="6"/>
      <c r="H113" s="6" t="s">
        <v>3</v>
      </c>
      <c r="I113" s="6" t="s">
        <v>73</v>
      </c>
      <c r="J113" s="6"/>
      <c r="K113" s="6"/>
      <c r="L113" s="6" t="s">
        <v>3201</v>
      </c>
      <c r="M113" s="6"/>
      <c r="N113" s="6" t="s">
        <v>3202</v>
      </c>
      <c r="O113" s="6" t="str">
        <f>HYPERLINK("https://ceds.ed.gov/cedselementdetails.aspx?termid=6197")</f>
        <v>https://ceds.ed.gov/cedselementdetails.aspx?termid=6197</v>
      </c>
      <c r="P113" s="6" t="str">
        <f>HYPERLINK("https://ceds.ed.gov/elementComment.aspx?elementName=Individualized Program Date &amp;elementID=6197", "Click here to submit comment")</f>
        <v>Click here to submit comment</v>
      </c>
    </row>
    <row r="114" spans="1:16" ht="60">
      <c r="A114" s="6" t="s">
        <v>6715</v>
      </c>
      <c r="B114" s="6" t="s">
        <v>6716</v>
      </c>
      <c r="C114" s="6" t="s">
        <v>6739</v>
      </c>
      <c r="D114" s="6" t="s">
        <v>3211</v>
      </c>
      <c r="E114" s="6" t="s">
        <v>3212</v>
      </c>
      <c r="F114" s="6" t="s">
        <v>13</v>
      </c>
      <c r="G114" s="6"/>
      <c r="H114" s="6"/>
      <c r="I114" s="6" t="s">
        <v>575</v>
      </c>
      <c r="J114" s="6"/>
      <c r="K114" s="6"/>
      <c r="L114" s="6" t="s">
        <v>3213</v>
      </c>
      <c r="M114" s="6"/>
      <c r="N114" s="6" t="s">
        <v>3214</v>
      </c>
      <c r="O114" s="6" t="str">
        <f>HYPERLINK("https://ceds.ed.gov/cedselementdetails.aspx?termid=6198")</f>
        <v>https://ceds.ed.gov/cedselementdetails.aspx?termid=6198</v>
      </c>
      <c r="P114" s="6" t="str">
        <f>HYPERLINK("https://ceds.ed.gov/elementComment.aspx?elementName=Individualized Program NonInclusion Minutes Per Week &amp;elementID=6198", "Click here to submit comment")</f>
        <v>Click here to submit comment</v>
      </c>
    </row>
    <row r="115" spans="1:16" ht="60">
      <c r="A115" s="6" t="s">
        <v>6715</v>
      </c>
      <c r="B115" s="6" t="s">
        <v>6716</v>
      </c>
      <c r="C115" s="6" t="s">
        <v>6739</v>
      </c>
      <c r="D115" s="6" t="s">
        <v>3207</v>
      </c>
      <c r="E115" s="6" t="s">
        <v>3208</v>
      </c>
      <c r="F115" s="6" t="s">
        <v>13</v>
      </c>
      <c r="G115" s="6"/>
      <c r="H115" s="6"/>
      <c r="I115" s="6" t="s">
        <v>575</v>
      </c>
      <c r="J115" s="6"/>
      <c r="K115" s="6"/>
      <c r="L115" s="6" t="s">
        <v>3209</v>
      </c>
      <c r="M115" s="6"/>
      <c r="N115" s="6" t="s">
        <v>3210</v>
      </c>
      <c r="O115" s="6" t="str">
        <f>HYPERLINK("https://ceds.ed.gov/cedselementdetails.aspx?termid=6199")</f>
        <v>https://ceds.ed.gov/cedselementdetails.aspx?termid=6199</v>
      </c>
      <c r="P115" s="6" t="str">
        <f>HYPERLINK("https://ceds.ed.gov/elementComment.aspx?elementName=Individualized Program Inclusion Minutes Per Week &amp;elementID=6199", "Click here to submit comment")</f>
        <v>Click here to submit comment</v>
      </c>
    </row>
    <row r="116" spans="1:16" ht="75">
      <c r="A116" s="6" t="s">
        <v>6715</v>
      </c>
      <c r="B116" s="6" t="s">
        <v>6716</v>
      </c>
      <c r="C116" s="6" t="s">
        <v>6739</v>
      </c>
      <c r="D116" s="6" t="s">
        <v>3255</v>
      </c>
      <c r="E116" s="6" t="s">
        <v>3256</v>
      </c>
      <c r="F116" s="7" t="s">
        <v>6551</v>
      </c>
      <c r="G116" s="6"/>
      <c r="H116" s="6"/>
      <c r="I116" s="6"/>
      <c r="J116" s="6"/>
      <c r="K116" s="6"/>
      <c r="L116" s="6" t="s">
        <v>3257</v>
      </c>
      <c r="M116" s="6"/>
      <c r="N116" s="6" t="s">
        <v>3258</v>
      </c>
      <c r="O116" s="6" t="str">
        <f>HYPERLINK("https://ceds.ed.gov/cedselementdetails.aspx?termid=6200")</f>
        <v>https://ceds.ed.gov/cedselementdetails.aspx?termid=6200</v>
      </c>
      <c r="P116" s="6" t="str">
        <f>HYPERLINK("https://ceds.ed.gov/elementComment.aspx?elementName=Individualized Program Transition Plan Type &amp;elementID=6200", "Click here to submit comment")</f>
        <v>Click here to submit comment</v>
      </c>
    </row>
    <row r="117" spans="1:16" ht="330">
      <c r="A117" s="6" t="s">
        <v>6715</v>
      </c>
      <c r="B117" s="6" t="s">
        <v>6716</v>
      </c>
      <c r="C117" s="6" t="s">
        <v>6739</v>
      </c>
      <c r="D117" s="6" t="s">
        <v>3259</v>
      </c>
      <c r="E117" s="6" t="s">
        <v>3260</v>
      </c>
      <c r="F117" s="7" t="s">
        <v>6552</v>
      </c>
      <c r="G117" s="6" t="s">
        <v>5988</v>
      </c>
      <c r="H117" s="6"/>
      <c r="I117" s="6"/>
      <c r="J117" s="6"/>
      <c r="K117" s="6"/>
      <c r="L117" s="6" t="s">
        <v>3261</v>
      </c>
      <c r="M117" s="6"/>
      <c r="N117" s="6" t="s">
        <v>3262</v>
      </c>
      <c r="O117" s="6" t="str">
        <f>HYPERLINK("https://ceds.ed.gov/cedselementdetails.aspx?termid=5320")</f>
        <v>https://ceds.ed.gov/cedselementdetails.aspx?termid=5320</v>
      </c>
      <c r="P117" s="6" t="str">
        <f>HYPERLINK("https://ceds.ed.gov/elementComment.aspx?elementName=Individualized Program Type &amp;elementID=5320", "Click here to submit comment")</f>
        <v>Click here to submit comment</v>
      </c>
    </row>
    <row r="118" spans="1:16" ht="45">
      <c r="A118" s="6" t="s">
        <v>6715</v>
      </c>
      <c r="B118" s="6" t="s">
        <v>6716</v>
      </c>
      <c r="C118" s="6" t="s">
        <v>6739</v>
      </c>
      <c r="D118" s="6" t="s">
        <v>3231</v>
      </c>
      <c r="E118" s="6" t="s">
        <v>3232</v>
      </c>
      <c r="F118" s="6" t="s">
        <v>13</v>
      </c>
      <c r="G118" s="6"/>
      <c r="H118" s="6"/>
      <c r="I118" s="6" t="s">
        <v>73</v>
      </c>
      <c r="J118" s="6"/>
      <c r="K118" s="6"/>
      <c r="L118" s="6" t="s">
        <v>3233</v>
      </c>
      <c r="M118" s="6"/>
      <c r="N118" s="6" t="s">
        <v>3234</v>
      </c>
      <c r="O118" s="6" t="str">
        <f>HYPERLINK("https://ceds.ed.gov/cedselementdetails.aspx?termid=6201")</f>
        <v>https://ceds.ed.gov/cedselementdetails.aspx?termid=6201</v>
      </c>
      <c r="P118" s="6" t="str">
        <f>HYPERLINK("https://ceds.ed.gov/elementComment.aspx?elementName=Individualized Program Service Plan Date &amp;elementID=6201", "Click here to submit comment")</f>
        <v>Click here to submit comment</v>
      </c>
    </row>
    <row r="119" spans="1:16" ht="345">
      <c r="A119" s="6" t="s">
        <v>6715</v>
      </c>
      <c r="B119" s="6" t="s">
        <v>6716</v>
      </c>
      <c r="C119" s="6" t="s">
        <v>6739</v>
      </c>
      <c r="D119" s="6" t="s">
        <v>3235</v>
      </c>
      <c r="E119" s="6" t="s">
        <v>3236</v>
      </c>
      <c r="F119" s="7" t="s">
        <v>6550</v>
      </c>
      <c r="G119" s="6"/>
      <c r="H119" s="6"/>
      <c r="I119" s="6"/>
      <c r="J119" s="6"/>
      <c r="K119" s="6"/>
      <c r="L119" s="6" t="s">
        <v>3237</v>
      </c>
      <c r="M119" s="6"/>
      <c r="N119" s="6" t="s">
        <v>3238</v>
      </c>
      <c r="O119" s="6" t="str">
        <f>HYPERLINK("https://ceds.ed.gov/cedselementdetails.aspx?termid=6202")</f>
        <v>https://ceds.ed.gov/cedselementdetails.aspx?termid=6202</v>
      </c>
      <c r="P119" s="6" t="str">
        <f>HYPERLINK("https://ceds.ed.gov/elementComment.aspx?elementName=Individualized Program Service Plan Meeting Location &amp;elementID=6202", "Click here to submit comment")</f>
        <v>Click here to submit comment</v>
      </c>
    </row>
    <row r="120" spans="1:16" ht="60">
      <c r="A120" s="6" t="s">
        <v>6715</v>
      </c>
      <c r="B120" s="6" t="s">
        <v>6716</v>
      </c>
      <c r="C120" s="6" t="s">
        <v>6739</v>
      </c>
      <c r="D120" s="6" t="s">
        <v>3239</v>
      </c>
      <c r="E120" s="6" t="s">
        <v>3240</v>
      </c>
      <c r="F120" s="6" t="s">
        <v>13</v>
      </c>
      <c r="G120" s="6"/>
      <c r="H120" s="6"/>
      <c r="I120" s="6" t="s">
        <v>319</v>
      </c>
      <c r="J120" s="6"/>
      <c r="K120" s="6"/>
      <c r="L120" s="6" t="s">
        <v>3241</v>
      </c>
      <c r="M120" s="6"/>
      <c r="N120" s="6" t="s">
        <v>3242</v>
      </c>
      <c r="O120" s="6" t="str">
        <f>HYPERLINK("https://ceds.ed.gov/cedselementdetails.aspx?termid=6203")</f>
        <v>https://ceds.ed.gov/cedselementdetails.aspx?termid=6203</v>
      </c>
      <c r="P120" s="6" t="str">
        <f>HYPERLINK("https://ceds.ed.gov/elementComment.aspx?elementName=Individualized Program Service Plan Meeting Participants &amp;elementID=6203", "Click here to submit comment")</f>
        <v>Click here to submit comment</v>
      </c>
    </row>
    <row r="121" spans="1:16" ht="45">
      <c r="A121" s="6" t="s">
        <v>6715</v>
      </c>
      <c r="B121" s="6" t="s">
        <v>6716</v>
      </c>
      <c r="C121" s="6" t="s">
        <v>6739</v>
      </c>
      <c r="D121" s="6" t="s">
        <v>3251</v>
      </c>
      <c r="E121" s="6" t="s">
        <v>3252</v>
      </c>
      <c r="F121" s="6" t="s">
        <v>13</v>
      </c>
      <c r="G121" s="6"/>
      <c r="H121" s="6"/>
      <c r="I121" s="6" t="s">
        <v>319</v>
      </c>
      <c r="J121" s="6"/>
      <c r="K121" s="6"/>
      <c r="L121" s="6" t="s">
        <v>3253</v>
      </c>
      <c r="M121" s="6"/>
      <c r="N121" s="6" t="s">
        <v>3254</v>
      </c>
      <c r="O121" s="6" t="str">
        <f>HYPERLINK("https://ceds.ed.gov/cedselementdetails.aspx?termid=6204")</f>
        <v>https://ceds.ed.gov/cedselementdetails.aspx?termid=6204</v>
      </c>
      <c r="P121" s="6" t="str">
        <f>HYPERLINK("https://ceds.ed.gov/elementComment.aspx?elementName=Individualized Program Service Plan Signed By &amp;elementID=6204", "Click here to submit comment")</f>
        <v>Click here to submit comment</v>
      </c>
    </row>
    <row r="122" spans="1:16" ht="60">
      <c r="A122" s="6" t="s">
        <v>6715</v>
      </c>
      <c r="B122" s="6" t="s">
        <v>6716</v>
      </c>
      <c r="C122" s="6" t="s">
        <v>6739</v>
      </c>
      <c r="D122" s="6" t="s">
        <v>3247</v>
      </c>
      <c r="E122" s="6" t="s">
        <v>3248</v>
      </c>
      <c r="F122" s="6" t="s">
        <v>13</v>
      </c>
      <c r="G122" s="6"/>
      <c r="H122" s="6"/>
      <c r="I122" s="6" t="s">
        <v>73</v>
      </c>
      <c r="J122" s="6"/>
      <c r="K122" s="6"/>
      <c r="L122" s="6" t="s">
        <v>3249</v>
      </c>
      <c r="M122" s="6"/>
      <c r="N122" s="6" t="s">
        <v>3250</v>
      </c>
      <c r="O122" s="6" t="str">
        <f>HYPERLINK("https://ceds.ed.gov/cedselementdetails.aspx?termid=6205")</f>
        <v>https://ceds.ed.gov/cedselementdetails.aspx?termid=6205</v>
      </c>
      <c r="P122" s="6" t="str">
        <f>HYPERLINK("https://ceds.ed.gov/elementComment.aspx?elementName=Individualized Program Service Plan Signature Date &amp;elementID=6205", "Click here to submit comment")</f>
        <v>Click here to submit comment</v>
      </c>
    </row>
    <row r="123" spans="1:16" ht="60">
      <c r="A123" s="6" t="s">
        <v>6715</v>
      </c>
      <c r="B123" s="6" t="s">
        <v>6716</v>
      </c>
      <c r="C123" s="6" t="s">
        <v>6739</v>
      </c>
      <c r="D123" s="6" t="s">
        <v>3243</v>
      </c>
      <c r="E123" s="6" t="s">
        <v>3244</v>
      </c>
      <c r="F123" s="6" t="s">
        <v>13</v>
      </c>
      <c r="G123" s="6"/>
      <c r="H123" s="6"/>
      <c r="I123" s="6" t="s">
        <v>73</v>
      </c>
      <c r="J123" s="6"/>
      <c r="K123" s="6"/>
      <c r="L123" s="6" t="s">
        <v>3245</v>
      </c>
      <c r="M123" s="6"/>
      <c r="N123" s="6" t="s">
        <v>3246</v>
      </c>
      <c r="O123" s="6" t="str">
        <f>HYPERLINK("https://ceds.ed.gov/cedselementdetails.aspx?termid=6207")</f>
        <v>https://ceds.ed.gov/cedselementdetails.aspx?termid=6207</v>
      </c>
      <c r="P123" s="6" t="str">
        <f>HYPERLINK("https://ceds.ed.gov/elementComment.aspx?elementName=Individualized Program Service Plan Reevaluation Date &amp;elementID=6207", "Click here to submit comment")</f>
        <v>Click here to submit comment</v>
      </c>
    </row>
    <row r="124" spans="1:16" ht="45">
      <c r="A124" s="6" t="s">
        <v>6715</v>
      </c>
      <c r="B124" s="6" t="s">
        <v>6716</v>
      </c>
      <c r="C124" s="6" t="s">
        <v>6739</v>
      </c>
      <c r="D124" s="6" t="s">
        <v>4078</v>
      </c>
      <c r="E124" s="6" t="s">
        <v>4079</v>
      </c>
      <c r="F124" s="6" t="s">
        <v>6254</v>
      </c>
      <c r="G124" s="6"/>
      <c r="H124" s="6" t="s">
        <v>54</v>
      </c>
      <c r="I124" s="6" t="s">
        <v>106</v>
      </c>
      <c r="J124" s="6"/>
      <c r="K124" s="6"/>
      <c r="L124" s="6" t="s">
        <v>4081</v>
      </c>
      <c r="M124" s="6"/>
      <c r="N124" s="6" t="s">
        <v>4082</v>
      </c>
      <c r="O124" s="6" t="str">
        <f>HYPERLINK("https://ceds.ed.gov/cedselementdetails.aspx?termid=6482")</f>
        <v>https://ceds.ed.gov/cedselementdetails.aspx?termid=6482</v>
      </c>
      <c r="P124" s="6" t="str">
        <f>HYPERLINK("https://ceds.ed.gov/elementComment.aspx?elementName=Method of Service Delivery &amp;elementID=6482", "Click here to submit comment")</f>
        <v>Click here to submit comment</v>
      </c>
    </row>
    <row r="125" spans="1:16" ht="45">
      <c r="A125" s="6" t="s">
        <v>6715</v>
      </c>
      <c r="B125" s="6" t="s">
        <v>6716</v>
      </c>
      <c r="C125" s="6" t="s">
        <v>6740</v>
      </c>
      <c r="D125" s="6" t="s">
        <v>1642</v>
      </c>
      <c r="E125" s="6" t="s">
        <v>1643</v>
      </c>
      <c r="F125" s="6" t="s">
        <v>5963</v>
      </c>
      <c r="G125" s="6"/>
      <c r="H125" s="6" t="s">
        <v>54</v>
      </c>
      <c r="I125" s="6"/>
      <c r="J125" s="6"/>
      <c r="K125" s="6"/>
      <c r="L125" s="6" t="s">
        <v>1645</v>
      </c>
      <c r="M125" s="6" t="s">
        <v>1646</v>
      </c>
      <c r="N125" s="6" t="s">
        <v>1647</v>
      </c>
      <c r="O125" s="6" t="str">
        <f>HYPERLINK("https://ceds.ed.gov/cedselementdetails.aspx?termid=6476")</f>
        <v>https://ceds.ed.gov/cedselementdetails.aspx?termid=6476</v>
      </c>
      <c r="P125" s="6" t="str">
        <f>HYPERLINK("https://ceds.ed.gov/elementComment.aspx?elementName=Child Outcomes Summary Progress A Indicator &amp;elementID=6476", "Click here to submit comment")</f>
        <v>Click here to submit comment</v>
      </c>
    </row>
    <row r="126" spans="1:16" ht="60">
      <c r="A126" s="6" t="s">
        <v>6715</v>
      </c>
      <c r="B126" s="6" t="s">
        <v>6716</v>
      </c>
      <c r="C126" s="6" t="s">
        <v>6740</v>
      </c>
      <c r="D126" s="6" t="s">
        <v>1648</v>
      </c>
      <c r="E126" s="6" t="s">
        <v>1649</v>
      </c>
      <c r="F126" s="6" t="s">
        <v>5963</v>
      </c>
      <c r="G126" s="6"/>
      <c r="H126" s="6" t="s">
        <v>54</v>
      </c>
      <c r="I126" s="6"/>
      <c r="J126" s="6"/>
      <c r="K126" s="6"/>
      <c r="L126" s="6" t="s">
        <v>1650</v>
      </c>
      <c r="M126" s="6" t="s">
        <v>1651</v>
      </c>
      <c r="N126" s="6" t="s">
        <v>1652</v>
      </c>
      <c r="O126" s="6" t="str">
        <f>HYPERLINK("https://ceds.ed.gov/cedselementdetails.aspx?termid=6477")</f>
        <v>https://ceds.ed.gov/cedselementdetails.aspx?termid=6477</v>
      </c>
      <c r="P126" s="6" t="str">
        <f>HYPERLINK("https://ceds.ed.gov/elementComment.aspx?elementName=Child Outcomes Summary Progress B Indicator &amp;elementID=6477", "Click here to submit comment")</f>
        <v>Click here to submit comment</v>
      </c>
    </row>
    <row r="127" spans="1:16" ht="45">
      <c r="A127" s="6" t="s">
        <v>6715</v>
      </c>
      <c r="B127" s="6" t="s">
        <v>6716</v>
      </c>
      <c r="C127" s="6" t="s">
        <v>6740</v>
      </c>
      <c r="D127" s="6" t="s">
        <v>1653</v>
      </c>
      <c r="E127" s="6" t="s">
        <v>1654</v>
      </c>
      <c r="F127" s="6" t="s">
        <v>5963</v>
      </c>
      <c r="G127" s="6"/>
      <c r="H127" s="6" t="s">
        <v>54</v>
      </c>
      <c r="I127" s="6"/>
      <c r="J127" s="6"/>
      <c r="K127" s="6"/>
      <c r="L127" s="6" t="s">
        <v>1655</v>
      </c>
      <c r="M127" s="6" t="s">
        <v>1656</v>
      </c>
      <c r="N127" s="6" t="s">
        <v>1657</v>
      </c>
      <c r="O127" s="6" t="str">
        <f>HYPERLINK("https://ceds.ed.gov/cedselementdetails.aspx?termid=6478")</f>
        <v>https://ceds.ed.gov/cedselementdetails.aspx?termid=6478</v>
      </c>
      <c r="P127" s="6" t="str">
        <f>HYPERLINK("https://ceds.ed.gov/elementComment.aspx?elementName=Child Outcomes Summary Progress C Indicator &amp;elementID=6478", "Click here to submit comment")</f>
        <v>Click here to submit comment</v>
      </c>
    </row>
    <row r="128" spans="1:16" ht="409.5">
      <c r="A128" s="6" t="s">
        <v>6715</v>
      </c>
      <c r="B128" s="6" t="s">
        <v>6716</v>
      </c>
      <c r="C128" s="6" t="s">
        <v>6740</v>
      </c>
      <c r="D128" s="6" t="s">
        <v>1658</v>
      </c>
      <c r="E128" s="6" t="s">
        <v>1659</v>
      </c>
      <c r="F128" s="7" t="s">
        <v>6423</v>
      </c>
      <c r="G128" s="6"/>
      <c r="H128" s="6" t="s">
        <v>54</v>
      </c>
      <c r="I128" s="6"/>
      <c r="J128" s="6"/>
      <c r="K128" s="6"/>
      <c r="L128" s="6" t="s">
        <v>1660</v>
      </c>
      <c r="M128" s="6" t="s">
        <v>1661</v>
      </c>
      <c r="N128" s="6" t="s">
        <v>1662</v>
      </c>
      <c r="O128" s="6" t="str">
        <f>HYPERLINK("https://ceds.ed.gov/cedselementdetails.aspx?termid=6479")</f>
        <v>https://ceds.ed.gov/cedselementdetails.aspx?termid=6479</v>
      </c>
      <c r="P128" s="6" t="str">
        <f>HYPERLINK("https://ceds.ed.gov/elementComment.aspx?elementName=Child Outcomes Summary Rating A &amp;elementID=6479", "Click here to submit comment")</f>
        <v>Click here to submit comment</v>
      </c>
    </row>
    <row r="129" spans="1:16" ht="409.5">
      <c r="A129" s="6" t="s">
        <v>6715</v>
      </c>
      <c r="B129" s="6" t="s">
        <v>6716</v>
      </c>
      <c r="C129" s="6" t="s">
        <v>6740</v>
      </c>
      <c r="D129" s="6" t="s">
        <v>1663</v>
      </c>
      <c r="E129" s="6" t="s">
        <v>1664</v>
      </c>
      <c r="F129" s="7" t="s">
        <v>6423</v>
      </c>
      <c r="G129" s="6"/>
      <c r="H129" s="6" t="s">
        <v>54</v>
      </c>
      <c r="I129" s="6"/>
      <c r="J129" s="6"/>
      <c r="K129" s="6"/>
      <c r="L129" s="6" t="s">
        <v>1665</v>
      </c>
      <c r="M129" s="6" t="s">
        <v>1666</v>
      </c>
      <c r="N129" s="6" t="s">
        <v>1667</v>
      </c>
      <c r="O129" s="6" t="str">
        <f>HYPERLINK("https://ceds.ed.gov/cedselementdetails.aspx?termid=6480")</f>
        <v>https://ceds.ed.gov/cedselementdetails.aspx?termid=6480</v>
      </c>
      <c r="P129" s="6" t="str">
        <f>HYPERLINK("https://ceds.ed.gov/elementComment.aspx?elementName=Child Outcomes Summary Rating B &amp;elementID=6480", "Click here to submit comment")</f>
        <v>Click here to submit comment</v>
      </c>
    </row>
    <row r="130" spans="1:16" ht="409.5">
      <c r="A130" s="6" t="s">
        <v>6715</v>
      </c>
      <c r="B130" s="6" t="s">
        <v>6716</v>
      </c>
      <c r="C130" s="6" t="s">
        <v>6740</v>
      </c>
      <c r="D130" s="6" t="s">
        <v>1668</v>
      </c>
      <c r="E130" s="6" t="s">
        <v>1669</v>
      </c>
      <c r="F130" s="7" t="s">
        <v>6423</v>
      </c>
      <c r="G130" s="6"/>
      <c r="H130" s="6" t="s">
        <v>54</v>
      </c>
      <c r="I130" s="6"/>
      <c r="J130" s="6"/>
      <c r="K130" s="6"/>
      <c r="L130" s="6" t="s">
        <v>1670</v>
      </c>
      <c r="M130" s="6" t="s">
        <v>1671</v>
      </c>
      <c r="N130" s="6" t="s">
        <v>1672</v>
      </c>
      <c r="O130" s="6" t="str">
        <f>HYPERLINK("https://ceds.ed.gov/cedselementdetails.aspx?termid=6481")</f>
        <v>https://ceds.ed.gov/cedselementdetails.aspx?termid=6481</v>
      </c>
      <c r="P130" s="6" t="str">
        <f>HYPERLINK("https://ceds.ed.gov/elementComment.aspx?elementName=Child Outcomes Summary Rating C &amp;elementID=6481", "Click here to submit comment")</f>
        <v>Click here to submit comment</v>
      </c>
    </row>
    <row r="131" spans="1:16" ht="210">
      <c r="A131" s="6" t="s">
        <v>6715</v>
      </c>
      <c r="B131" s="6" t="s">
        <v>6741</v>
      </c>
      <c r="C131" s="6"/>
      <c r="D131" s="6" t="s">
        <v>2096</v>
      </c>
      <c r="E131" s="6" t="s">
        <v>2097</v>
      </c>
      <c r="F131" s="7" t="s">
        <v>6453</v>
      </c>
      <c r="G131" s="6" t="s">
        <v>5988</v>
      </c>
      <c r="H131" s="6"/>
      <c r="I131" s="6"/>
      <c r="J131" s="6"/>
      <c r="K131" s="6"/>
      <c r="L131" s="6" t="s">
        <v>2099</v>
      </c>
      <c r="M131" s="6"/>
      <c r="N131" s="6" t="s">
        <v>2100</v>
      </c>
      <c r="O131" s="6" t="str">
        <f>HYPERLINK("https://ceds.ed.gov/cedselementdetails.aspx?termid=5328")</f>
        <v>https://ceds.ed.gov/cedselementdetails.aspx?termid=5328</v>
      </c>
      <c r="P131" s="6" t="str">
        <f>HYPERLINK("https://ceds.ed.gov/elementComment.aspx?elementName=Custodial Parent or Guardian Indicator &amp;elementID=5328", "Click here to submit comment")</f>
        <v>Click here to submit comment</v>
      </c>
    </row>
    <row r="132" spans="1:16" ht="409.5">
      <c r="A132" s="6" t="s">
        <v>6715</v>
      </c>
      <c r="B132" s="6" t="s">
        <v>6741</v>
      </c>
      <c r="C132" s="6"/>
      <c r="D132" s="6" t="s">
        <v>4490</v>
      </c>
      <c r="E132" s="6" t="s">
        <v>4491</v>
      </c>
      <c r="F132" s="7" t="s">
        <v>6598</v>
      </c>
      <c r="G132" s="6" t="s">
        <v>1480</v>
      </c>
      <c r="H132" s="6" t="s">
        <v>3</v>
      </c>
      <c r="I132" s="6"/>
      <c r="J132" s="6"/>
      <c r="K132" s="6"/>
      <c r="L132" s="6" t="s">
        <v>4492</v>
      </c>
      <c r="M132" s="6"/>
      <c r="N132" s="6" t="s">
        <v>4493</v>
      </c>
      <c r="O132" s="6" t="str">
        <f>HYPERLINK("https://ceds.ed.gov/cedselementdetails.aspx?termid=5415")</f>
        <v>https://ceds.ed.gov/cedselementdetails.aspx?termid=5415</v>
      </c>
      <c r="P132" s="6" t="str">
        <f>HYPERLINK("https://ceds.ed.gov/elementComment.aspx?elementName=Person Relationship to Learner Type &amp;elementID=5415", "Click here to submit comment")</f>
        <v>Click here to submit comment</v>
      </c>
    </row>
    <row r="133" spans="1:16" ht="45">
      <c r="A133" s="6" t="s">
        <v>6715</v>
      </c>
      <c r="B133" s="6" t="s">
        <v>6741</v>
      </c>
      <c r="C133" s="6"/>
      <c r="D133" s="6" t="s">
        <v>2470</v>
      </c>
      <c r="E133" s="6" t="s">
        <v>2471</v>
      </c>
      <c r="F133" s="6" t="s">
        <v>5963</v>
      </c>
      <c r="G133" s="6"/>
      <c r="H133" s="6" t="s">
        <v>54</v>
      </c>
      <c r="I133" s="6"/>
      <c r="J133" s="6"/>
      <c r="K133" s="6"/>
      <c r="L133" s="6" t="s">
        <v>2472</v>
      </c>
      <c r="M133" s="6"/>
      <c r="N133" s="6" t="s">
        <v>2473</v>
      </c>
      <c r="O133" s="6" t="str">
        <f>HYPERLINK("https://ceds.ed.gov/cedselementdetails.aspx?termid=6308")</f>
        <v>https://ceds.ed.gov/cedselementdetails.aspx?termid=6308</v>
      </c>
      <c r="P133" s="6" t="str">
        <f>HYPERLINK("https://ceds.ed.gov/elementComment.aspx?elementName=Emergency Contact Indicator &amp;elementID=6308", "Click here to submit comment")</f>
        <v>Click here to submit comment</v>
      </c>
    </row>
    <row r="134" spans="1:16" ht="60">
      <c r="A134" s="6" t="s">
        <v>6715</v>
      </c>
      <c r="B134" s="6" t="s">
        <v>6741</v>
      </c>
      <c r="C134" s="6"/>
      <c r="D134" s="6" t="s">
        <v>4478</v>
      </c>
      <c r="E134" s="6" t="s">
        <v>4479</v>
      </c>
      <c r="F134" s="6" t="s">
        <v>13</v>
      </c>
      <c r="G134" s="6"/>
      <c r="H134" s="6" t="s">
        <v>54</v>
      </c>
      <c r="I134" s="6" t="s">
        <v>575</v>
      </c>
      <c r="J134" s="6"/>
      <c r="K134" s="6"/>
      <c r="L134" s="6" t="s">
        <v>4480</v>
      </c>
      <c r="M134" s="6"/>
      <c r="N134" s="6" t="s">
        <v>4481</v>
      </c>
      <c r="O134" s="6" t="str">
        <f>HYPERLINK("https://ceds.ed.gov/cedselementdetails.aspx?termid=6392")</f>
        <v>https://ceds.ed.gov/cedselementdetails.aspx?termid=6392</v>
      </c>
      <c r="P134" s="6" t="str">
        <f>HYPERLINK("https://ceds.ed.gov/elementComment.aspx?elementName=Person Relationship to Learner Contact Priority Number &amp;elementID=6392", "Click here to submit comment")</f>
        <v>Click here to submit comment</v>
      </c>
    </row>
    <row r="135" spans="1:16" ht="75">
      <c r="A135" s="6" t="s">
        <v>6715</v>
      </c>
      <c r="B135" s="6" t="s">
        <v>6741</v>
      </c>
      <c r="C135" s="6"/>
      <c r="D135" s="6" t="s">
        <v>4482</v>
      </c>
      <c r="E135" s="6" t="s">
        <v>4483</v>
      </c>
      <c r="F135" s="6" t="s">
        <v>13</v>
      </c>
      <c r="G135" s="6"/>
      <c r="H135" s="6" t="s">
        <v>54</v>
      </c>
      <c r="I135" s="6" t="s">
        <v>319</v>
      </c>
      <c r="J135" s="6"/>
      <c r="K135" s="6"/>
      <c r="L135" s="6" t="s">
        <v>4484</v>
      </c>
      <c r="M135" s="6"/>
      <c r="N135" s="6" t="s">
        <v>4485</v>
      </c>
      <c r="O135" s="6" t="str">
        <f>HYPERLINK("https://ceds.ed.gov/cedselementdetails.aspx?termid=6393")</f>
        <v>https://ceds.ed.gov/cedselementdetails.aspx?termid=6393</v>
      </c>
      <c r="P135" s="6" t="str">
        <f>HYPERLINK("https://ceds.ed.gov/elementComment.aspx?elementName=Person Relationship to Learner Contact Restrictions Description &amp;elementID=6393", "Click here to submit comment")</f>
        <v>Click here to submit comment</v>
      </c>
    </row>
    <row r="136" spans="1:16" ht="60">
      <c r="A136" s="6" t="s">
        <v>6715</v>
      </c>
      <c r="B136" s="6" t="s">
        <v>6741</v>
      </c>
      <c r="C136" s="6"/>
      <c r="D136" s="6" t="s">
        <v>4486</v>
      </c>
      <c r="E136" s="6" t="s">
        <v>4487</v>
      </c>
      <c r="F136" s="6" t="s">
        <v>5963</v>
      </c>
      <c r="G136" s="6"/>
      <c r="H136" s="6" t="s">
        <v>54</v>
      </c>
      <c r="I136" s="6"/>
      <c r="J136" s="6"/>
      <c r="K136" s="6"/>
      <c r="L136" s="6" t="s">
        <v>4488</v>
      </c>
      <c r="M136" s="6"/>
      <c r="N136" s="6" t="s">
        <v>4489</v>
      </c>
      <c r="O136" s="6" t="str">
        <f>HYPERLINK("https://ceds.ed.gov/cedselementdetails.aspx?termid=6394")</f>
        <v>https://ceds.ed.gov/cedselementdetails.aspx?termid=6394</v>
      </c>
      <c r="P136" s="6" t="str">
        <f>HYPERLINK("https://ceds.ed.gov/elementComment.aspx?elementName=Person Relationship to Learner Lives With Indicator &amp;elementID=6394", "Click here to submit comment")</f>
        <v>Click here to submit comment</v>
      </c>
    </row>
    <row r="137" spans="1:16" ht="90">
      <c r="A137" s="6" t="s">
        <v>6715</v>
      </c>
      <c r="B137" s="6" t="s">
        <v>6741</v>
      </c>
      <c r="C137" s="6"/>
      <c r="D137" s="6" t="s">
        <v>4583</v>
      </c>
      <c r="E137" s="6" t="s">
        <v>4584</v>
      </c>
      <c r="F137" s="6" t="s">
        <v>5963</v>
      </c>
      <c r="G137" s="6"/>
      <c r="H137" s="6" t="s">
        <v>54</v>
      </c>
      <c r="I137" s="6"/>
      <c r="J137" s="6"/>
      <c r="K137" s="6"/>
      <c r="L137" s="6" t="s">
        <v>4585</v>
      </c>
      <c r="M137" s="6"/>
      <c r="N137" s="6" t="s">
        <v>4586</v>
      </c>
      <c r="O137" s="6" t="str">
        <f>HYPERLINK("https://ceds.ed.gov/cedselementdetails.aspx?termid=6397")</f>
        <v>https://ceds.ed.gov/cedselementdetails.aspx?termid=6397</v>
      </c>
      <c r="P137" s="6" t="str">
        <f>HYPERLINK("https://ceds.ed.gov/elementComment.aspx?elementName=Primary Contact Indicator &amp;elementID=6397", "Click here to submit comment")</f>
        <v>Click here to submit comment</v>
      </c>
    </row>
    <row r="138" spans="1:16" ht="195">
      <c r="A138" s="6" t="s">
        <v>6715</v>
      </c>
      <c r="B138" s="6" t="s">
        <v>6741</v>
      </c>
      <c r="C138" s="6" t="s">
        <v>6717</v>
      </c>
      <c r="D138" s="6" t="s">
        <v>2776</v>
      </c>
      <c r="E138" s="6" t="s">
        <v>2777</v>
      </c>
      <c r="F138" s="6" t="s">
        <v>13</v>
      </c>
      <c r="G138" s="6" t="s">
        <v>6176</v>
      </c>
      <c r="H138" s="6" t="s">
        <v>3</v>
      </c>
      <c r="I138" s="6" t="s">
        <v>1368</v>
      </c>
      <c r="J138" s="6"/>
      <c r="K138" s="6" t="s">
        <v>2778</v>
      </c>
      <c r="L138" s="6" t="s">
        <v>2779</v>
      </c>
      <c r="M138" s="6"/>
      <c r="N138" s="6" t="s">
        <v>2780</v>
      </c>
      <c r="O138" s="6" t="str">
        <f>HYPERLINK("https://ceds.ed.gov/cedselementdetails.aspx?termid=5115")</f>
        <v>https://ceds.ed.gov/cedselementdetails.aspx?termid=5115</v>
      </c>
      <c r="P138" s="6" t="str">
        <f>HYPERLINK("https://ceds.ed.gov/elementComment.aspx?elementName=First Name &amp;elementID=5115", "Click here to submit comment")</f>
        <v>Click here to submit comment</v>
      </c>
    </row>
    <row r="139" spans="1:16" ht="195">
      <c r="A139" s="6" t="s">
        <v>6715</v>
      </c>
      <c r="B139" s="6" t="s">
        <v>6741</v>
      </c>
      <c r="C139" s="6" t="s">
        <v>6717</v>
      </c>
      <c r="D139" s="6" t="s">
        <v>4088</v>
      </c>
      <c r="E139" s="6" t="s">
        <v>4089</v>
      </c>
      <c r="F139" s="6" t="s">
        <v>13</v>
      </c>
      <c r="G139" s="6" t="s">
        <v>6176</v>
      </c>
      <c r="H139" s="6" t="s">
        <v>3</v>
      </c>
      <c r="I139" s="6" t="s">
        <v>1368</v>
      </c>
      <c r="J139" s="6"/>
      <c r="K139" s="6" t="s">
        <v>2778</v>
      </c>
      <c r="L139" s="6" t="s">
        <v>4090</v>
      </c>
      <c r="M139" s="6"/>
      <c r="N139" s="6" t="s">
        <v>4091</v>
      </c>
      <c r="O139" s="6" t="str">
        <f>HYPERLINK("https://ceds.ed.gov/cedselementdetails.aspx?termid=5184")</f>
        <v>https://ceds.ed.gov/cedselementdetails.aspx?termid=5184</v>
      </c>
      <c r="P139" s="6" t="str">
        <f>HYPERLINK("https://ceds.ed.gov/elementComment.aspx?elementName=Middle Name &amp;elementID=5184", "Click here to submit comment")</f>
        <v>Click here to submit comment</v>
      </c>
    </row>
    <row r="140" spans="1:16" ht="195">
      <c r="A140" s="6" t="s">
        <v>6715</v>
      </c>
      <c r="B140" s="6" t="s">
        <v>6741</v>
      </c>
      <c r="C140" s="6" t="s">
        <v>6717</v>
      </c>
      <c r="D140" s="6" t="s">
        <v>3427</v>
      </c>
      <c r="E140" s="6" t="s">
        <v>3428</v>
      </c>
      <c r="F140" s="6" t="s">
        <v>13</v>
      </c>
      <c r="G140" s="6" t="s">
        <v>6176</v>
      </c>
      <c r="H140" s="6" t="s">
        <v>3</v>
      </c>
      <c r="I140" s="6" t="s">
        <v>1368</v>
      </c>
      <c r="J140" s="6"/>
      <c r="K140" s="6" t="s">
        <v>2778</v>
      </c>
      <c r="L140" s="6" t="s">
        <v>3429</v>
      </c>
      <c r="M140" s="6" t="s">
        <v>3430</v>
      </c>
      <c r="N140" s="6" t="s">
        <v>3431</v>
      </c>
      <c r="O140" s="6" t="str">
        <f>HYPERLINK("https://ceds.ed.gov/cedselementdetails.aspx?termid=5172")</f>
        <v>https://ceds.ed.gov/cedselementdetails.aspx?termid=5172</v>
      </c>
      <c r="P140" s="6" t="str">
        <f>HYPERLINK("https://ceds.ed.gov/elementComment.aspx?elementName=Last or Surname &amp;elementID=5172", "Click here to submit comment")</f>
        <v>Click here to submit comment</v>
      </c>
    </row>
    <row r="141" spans="1:16" ht="150">
      <c r="A141" s="6" t="s">
        <v>6715</v>
      </c>
      <c r="B141" s="6" t="s">
        <v>6741</v>
      </c>
      <c r="C141" s="6" t="s">
        <v>6717</v>
      </c>
      <c r="D141" s="6" t="s">
        <v>2829</v>
      </c>
      <c r="E141" s="6" t="s">
        <v>2830</v>
      </c>
      <c r="F141" s="6" t="s">
        <v>13</v>
      </c>
      <c r="G141" s="6" t="s">
        <v>6179</v>
      </c>
      <c r="H141" s="6" t="s">
        <v>3</v>
      </c>
      <c r="I141" s="6" t="s">
        <v>2031</v>
      </c>
      <c r="J141" s="6"/>
      <c r="K141" s="6" t="s">
        <v>2778</v>
      </c>
      <c r="L141" s="6" t="s">
        <v>2831</v>
      </c>
      <c r="M141" s="6"/>
      <c r="N141" s="6" t="s">
        <v>2832</v>
      </c>
      <c r="O141" s="6" t="str">
        <f>HYPERLINK("https://ceds.ed.gov/cedselementdetails.aspx?termid=5121")</f>
        <v>https://ceds.ed.gov/cedselementdetails.aspx?termid=5121</v>
      </c>
      <c r="P141" s="6" t="str">
        <f>HYPERLINK("https://ceds.ed.gov/elementComment.aspx?elementName=Generation Code or Suffix &amp;elementID=5121", "Click here to submit comment")</f>
        <v>Click here to submit comment</v>
      </c>
    </row>
    <row r="142" spans="1:16" ht="105">
      <c r="A142" s="6" t="s">
        <v>6715</v>
      </c>
      <c r="B142" s="6" t="s">
        <v>6741</v>
      </c>
      <c r="C142" s="6" t="s">
        <v>6717</v>
      </c>
      <c r="D142" s="6" t="s">
        <v>4498</v>
      </c>
      <c r="E142" s="6" t="s">
        <v>4499</v>
      </c>
      <c r="F142" s="6" t="s">
        <v>13</v>
      </c>
      <c r="G142" s="6" t="s">
        <v>6280</v>
      </c>
      <c r="H142" s="6" t="s">
        <v>3</v>
      </c>
      <c r="I142" s="6" t="s">
        <v>100</v>
      </c>
      <c r="J142" s="6"/>
      <c r="K142" s="6"/>
      <c r="L142" s="6" t="s">
        <v>4500</v>
      </c>
      <c r="M142" s="6" t="s">
        <v>4501</v>
      </c>
      <c r="N142" s="6" t="s">
        <v>4502</v>
      </c>
      <c r="O142" s="6" t="str">
        <f>HYPERLINK("https://ceds.ed.gov/cedselementdetails.aspx?termid=5212")</f>
        <v>https://ceds.ed.gov/cedselementdetails.aspx?termid=5212</v>
      </c>
      <c r="P142" s="6" t="str">
        <f>HYPERLINK("https://ceds.ed.gov/elementComment.aspx?elementName=Personal Title or Prefix &amp;elementID=5212", "Click here to submit comment")</f>
        <v>Click here to submit comment</v>
      </c>
    </row>
    <row r="143" spans="1:16" ht="90">
      <c r="A143" s="6" t="s">
        <v>6715</v>
      </c>
      <c r="B143" s="6" t="s">
        <v>6741</v>
      </c>
      <c r="C143" s="6" t="s">
        <v>6718</v>
      </c>
      <c r="D143" s="6" t="s">
        <v>4394</v>
      </c>
      <c r="E143" s="6" t="s">
        <v>4395</v>
      </c>
      <c r="F143" s="7" t="s">
        <v>6593</v>
      </c>
      <c r="G143" s="6" t="s">
        <v>6273</v>
      </c>
      <c r="H143" s="6" t="s">
        <v>3</v>
      </c>
      <c r="I143" s="6" t="s">
        <v>100</v>
      </c>
      <c r="J143" s="6"/>
      <c r="K143" s="6"/>
      <c r="L143" s="6" t="s">
        <v>4396</v>
      </c>
      <c r="M143" s="6"/>
      <c r="N143" s="6" t="s">
        <v>4397</v>
      </c>
      <c r="O143" s="6" t="str">
        <f>HYPERLINK("https://ceds.ed.gov/cedselementdetails.aspx?termid=5627")</f>
        <v>https://ceds.ed.gov/cedselementdetails.aspx?termid=5627</v>
      </c>
      <c r="P143" s="6" t="str">
        <f>HYPERLINK("https://ceds.ed.gov/elementComment.aspx?elementName=Other Name Type &amp;elementID=5627", "Click here to submit comment")</f>
        <v>Click here to submit comment</v>
      </c>
    </row>
    <row r="144" spans="1:16" ht="30">
      <c r="A144" s="6" t="s">
        <v>6715</v>
      </c>
      <c r="B144" s="6" t="s">
        <v>6741</v>
      </c>
      <c r="C144" s="6" t="s">
        <v>6718</v>
      </c>
      <c r="D144" s="6" t="s">
        <v>4375</v>
      </c>
      <c r="E144" s="6" t="s">
        <v>4376</v>
      </c>
      <c r="F144" s="6" t="s">
        <v>13</v>
      </c>
      <c r="G144" s="6"/>
      <c r="H144" s="6" t="s">
        <v>54</v>
      </c>
      <c r="I144" s="6" t="s">
        <v>1368</v>
      </c>
      <c r="J144" s="6"/>
      <c r="K144" s="6" t="s">
        <v>4377</v>
      </c>
      <c r="L144" s="6" t="s">
        <v>4378</v>
      </c>
      <c r="M144" s="6"/>
      <c r="N144" s="6" t="s">
        <v>4379</v>
      </c>
      <c r="O144" s="6" t="str">
        <f>HYPERLINK("https://ceds.ed.gov/cedselementdetails.aspx?termid=6486")</f>
        <v>https://ceds.ed.gov/cedselementdetails.aspx?termid=6486</v>
      </c>
      <c r="P144" s="6" t="str">
        <f>HYPERLINK("https://ceds.ed.gov/elementComment.aspx?elementName=Other First Name &amp;elementID=6486", "Click here to submit comment")</f>
        <v>Click here to submit comment</v>
      </c>
    </row>
    <row r="145" spans="1:16" ht="30">
      <c r="A145" s="6" t="s">
        <v>6715</v>
      </c>
      <c r="B145" s="6" t="s">
        <v>6741</v>
      </c>
      <c r="C145" s="6" t="s">
        <v>6718</v>
      </c>
      <c r="D145" s="6" t="s">
        <v>4380</v>
      </c>
      <c r="E145" s="6" t="s">
        <v>4381</v>
      </c>
      <c r="F145" s="6" t="s">
        <v>13</v>
      </c>
      <c r="G145" s="6"/>
      <c r="H145" s="6" t="s">
        <v>54</v>
      </c>
      <c r="I145" s="6" t="s">
        <v>1368</v>
      </c>
      <c r="J145" s="6"/>
      <c r="K145" s="6" t="s">
        <v>4382</v>
      </c>
      <c r="L145" s="6" t="s">
        <v>4383</v>
      </c>
      <c r="M145" s="6"/>
      <c r="N145" s="6" t="s">
        <v>4384</v>
      </c>
      <c r="O145" s="6" t="str">
        <f>HYPERLINK("https://ceds.ed.gov/cedselementdetails.aspx?termid=6485")</f>
        <v>https://ceds.ed.gov/cedselementdetails.aspx?termid=6485</v>
      </c>
      <c r="P145" s="6" t="str">
        <f>HYPERLINK("https://ceds.ed.gov/elementComment.aspx?elementName=Other Last Name &amp;elementID=6485", "Click here to submit comment")</f>
        <v>Click here to submit comment</v>
      </c>
    </row>
    <row r="146" spans="1:16" ht="30">
      <c r="A146" s="6" t="s">
        <v>6715</v>
      </c>
      <c r="B146" s="6" t="s">
        <v>6741</v>
      </c>
      <c r="C146" s="6" t="s">
        <v>6718</v>
      </c>
      <c r="D146" s="6" t="s">
        <v>4385</v>
      </c>
      <c r="E146" s="6" t="s">
        <v>4386</v>
      </c>
      <c r="F146" s="6" t="s">
        <v>13</v>
      </c>
      <c r="G146" s="6"/>
      <c r="H146" s="6" t="s">
        <v>54</v>
      </c>
      <c r="I146" s="6" t="s">
        <v>1368</v>
      </c>
      <c r="J146" s="6"/>
      <c r="K146" s="6" t="s">
        <v>4387</v>
      </c>
      <c r="L146" s="6" t="s">
        <v>4388</v>
      </c>
      <c r="M146" s="6"/>
      <c r="N146" s="6" t="s">
        <v>4389</v>
      </c>
      <c r="O146" s="6" t="str">
        <f>HYPERLINK("https://ceds.ed.gov/cedselementdetails.aspx?termid=6487")</f>
        <v>https://ceds.ed.gov/cedselementdetails.aspx?termid=6487</v>
      </c>
      <c r="P146" s="6" t="str">
        <f>HYPERLINK("https://ceds.ed.gov/elementComment.aspx?elementName=Other Middle Name &amp;elementID=6487", "Click here to submit comment")</f>
        <v>Click here to submit comment</v>
      </c>
    </row>
    <row r="147" spans="1:16" ht="150">
      <c r="A147" s="6" t="s">
        <v>6715</v>
      </c>
      <c r="B147" s="6" t="s">
        <v>6741</v>
      </c>
      <c r="C147" s="6" t="s">
        <v>6718</v>
      </c>
      <c r="D147" s="6" t="s">
        <v>4390</v>
      </c>
      <c r="E147" s="6" t="s">
        <v>4391</v>
      </c>
      <c r="F147" s="6" t="s">
        <v>13</v>
      </c>
      <c r="G147" s="6" t="s">
        <v>6179</v>
      </c>
      <c r="H147" s="6" t="s">
        <v>3</v>
      </c>
      <c r="I147" s="6" t="s">
        <v>149</v>
      </c>
      <c r="J147" s="6"/>
      <c r="K147" s="6"/>
      <c r="L147" s="6" t="s">
        <v>4392</v>
      </c>
      <c r="M147" s="6"/>
      <c r="N147" s="6" t="s">
        <v>4393</v>
      </c>
      <c r="O147" s="6" t="str">
        <f>HYPERLINK("https://ceds.ed.gov/cedselementdetails.aspx?termid=5206")</f>
        <v>https://ceds.ed.gov/cedselementdetails.aspx?termid=5206</v>
      </c>
      <c r="P147" s="6" t="str">
        <f>HYPERLINK("https://ceds.ed.gov/elementComment.aspx?elementName=Other Name &amp;elementID=5206", "Click here to submit comment")</f>
        <v>Click here to submit comment</v>
      </c>
    </row>
    <row r="148" spans="1:16" ht="285">
      <c r="A148" s="6" t="s">
        <v>6715</v>
      </c>
      <c r="B148" s="6" t="s">
        <v>6741</v>
      </c>
      <c r="C148" s="6" t="s">
        <v>6720</v>
      </c>
      <c r="D148" s="6" t="s">
        <v>191</v>
      </c>
      <c r="E148" s="6" t="s">
        <v>192</v>
      </c>
      <c r="F148" s="7" t="s">
        <v>6353</v>
      </c>
      <c r="G148" s="6" t="s">
        <v>5976</v>
      </c>
      <c r="H148" s="6" t="s">
        <v>66</v>
      </c>
      <c r="I148" s="6" t="s">
        <v>100</v>
      </c>
      <c r="J148" s="6" t="s">
        <v>193</v>
      </c>
      <c r="K148" s="6"/>
      <c r="L148" s="6" t="s">
        <v>194</v>
      </c>
      <c r="M148" s="6"/>
      <c r="N148" s="6" t="s">
        <v>195</v>
      </c>
      <c r="O148" s="6" t="str">
        <f>HYPERLINK("https://ceds.ed.gov/cedselementdetails.aspx?termid=5358")</f>
        <v>https://ceds.ed.gov/cedselementdetails.aspx?termid=5358</v>
      </c>
      <c r="P148" s="6" t="str">
        <f>HYPERLINK("https://ceds.ed.gov/elementComment.aspx?elementName=Address Type for Learner or Family &amp;elementID=5358", "Click here to submit comment")</f>
        <v>Click here to submit comment</v>
      </c>
    </row>
    <row r="149" spans="1:16" ht="225">
      <c r="A149" s="6" t="s">
        <v>6715</v>
      </c>
      <c r="B149" s="6" t="s">
        <v>6741</v>
      </c>
      <c r="C149" s="6" t="s">
        <v>6720</v>
      </c>
      <c r="D149" s="6" t="s">
        <v>187</v>
      </c>
      <c r="E149" s="6" t="s">
        <v>188</v>
      </c>
      <c r="F149" s="6" t="s">
        <v>13</v>
      </c>
      <c r="G149" s="6" t="s">
        <v>5973</v>
      </c>
      <c r="H149" s="6" t="s">
        <v>3</v>
      </c>
      <c r="I149" s="6" t="s">
        <v>149</v>
      </c>
      <c r="J149" s="6"/>
      <c r="K149" s="6"/>
      <c r="L149" s="6" t="s">
        <v>189</v>
      </c>
      <c r="M149" s="6"/>
      <c r="N149" s="6" t="s">
        <v>190</v>
      </c>
      <c r="O149" s="6" t="str">
        <f>HYPERLINK("https://ceds.ed.gov/cedselementdetails.aspx?termid=5269")</f>
        <v>https://ceds.ed.gov/cedselementdetails.aspx?termid=5269</v>
      </c>
      <c r="P149" s="6" t="str">
        <f>HYPERLINK("https://ceds.ed.gov/elementComment.aspx?elementName=Address Street Number and Name &amp;elementID=5269", "Click here to submit comment")</f>
        <v>Click here to submit comment</v>
      </c>
    </row>
    <row r="150" spans="1:16" ht="225">
      <c r="A150" s="6" t="s">
        <v>6715</v>
      </c>
      <c r="B150" s="6" t="s">
        <v>6741</v>
      </c>
      <c r="C150" s="6" t="s">
        <v>6720</v>
      </c>
      <c r="D150" s="6" t="s">
        <v>170</v>
      </c>
      <c r="E150" s="6" t="s">
        <v>171</v>
      </c>
      <c r="F150" s="6" t="s">
        <v>13</v>
      </c>
      <c r="G150" s="6" t="s">
        <v>5973</v>
      </c>
      <c r="H150" s="6" t="s">
        <v>3</v>
      </c>
      <c r="I150" s="6" t="s">
        <v>100</v>
      </c>
      <c r="J150" s="6"/>
      <c r="K150" s="6"/>
      <c r="L150" s="6" t="s">
        <v>172</v>
      </c>
      <c r="M150" s="6"/>
      <c r="N150" s="6" t="s">
        <v>173</v>
      </c>
      <c r="O150" s="6" t="str">
        <f>HYPERLINK("https://ceds.ed.gov/cedselementdetails.aspx?termid=5019")</f>
        <v>https://ceds.ed.gov/cedselementdetails.aspx?termid=5019</v>
      </c>
      <c r="P150" s="6" t="str">
        <f>HYPERLINK("https://ceds.ed.gov/elementComment.aspx?elementName=Address Apartment Room or Suite Number &amp;elementID=5019", "Click here to submit comment")</f>
        <v>Click here to submit comment</v>
      </c>
    </row>
    <row r="151" spans="1:16" ht="225">
      <c r="A151" s="6" t="s">
        <v>6715</v>
      </c>
      <c r="B151" s="6" t="s">
        <v>6741</v>
      </c>
      <c r="C151" s="6" t="s">
        <v>6720</v>
      </c>
      <c r="D151" s="6" t="s">
        <v>174</v>
      </c>
      <c r="E151" s="6" t="s">
        <v>175</v>
      </c>
      <c r="F151" s="6" t="s">
        <v>13</v>
      </c>
      <c r="G151" s="6" t="s">
        <v>5973</v>
      </c>
      <c r="H151" s="6" t="s">
        <v>3</v>
      </c>
      <c r="I151" s="6" t="s">
        <v>100</v>
      </c>
      <c r="J151" s="6"/>
      <c r="K151" s="6"/>
      <c r="L151" s="6" t="s">
        <v>176</v>
      </c>
      <c r="M151" s="6"/>
      <c r="N151" s="6" t="s">
        <v>177</v>
      </c>
      <c r="O151" s="6" t="str">
        <f>HYPERLINK("https://ceds.ed.gov/cedselementdetails.aspx?termid=5040")</f>
        <v>https://ceds.ed.gov/cedselementdetails.aspx?termid=5040</v>
      </c>
      <c r="P151" s="6" t="str">
        <f>HYPERLINK("https://ceds.ed.gov/elementComment.aspx?elementName=Address City &amp;elementID=5040", "Click here to submit comment")</f>
        <v>Click here to submit comment</v>
      </c>
    </row>
    <row r="152" spans="1:16" ht="409.5">
      <c r="A152" s="6" t="s">
        <v>6715</v>
      </c>
      <c r="B152" s="6" t="s">
        <v>6741</v>
      </c>
      <c r="C152" s="6" t="s">
        <v>6720</v>
      </c>
      <c r="D152" s="6" t="s">
        <v>5533</v>
      </c>
      <c r="E152" s="6" t="s">
        <v>5534</v>
      </c>
      <c r="F152" s="7" t="s">
        <v>6633</v>
      </c>
      <c r="G152" s="6" t="s">
        <v>6324</v>
      </c>
      <c r="H152" s="6" t="s">
        <v>3</v>
      </c>
      <c r="I152" s="6"/>
      <c r="J152" s="6"/>
      <c r="K152" s="6"/>
      <c r="L152" s="6" t="s">
        <v>5535</v>
      </c>
      <c r="M152" s="6"/>
      <c r="N152" s="6" t="s">
        <v>5536</v>
      </c>
      <c r="O152" s="6" t="str">
        <f>HYPERLINK("https://ceds.ed.gov/cedselementdetails.aspx?termid=5267")</f>
        <v>https://ceds.ed.gov/cedselementdetails.aspx?termid=5267</v>
      </c>
      <c r="P152" s="6" t="str">
        <f>HYPERLINK("https://ceds.ed.gov/elementComment.aspx?elementName=State Abbreviation &amp;elementID=5267", "Click here to submit comment")</f>
        <v>Click here to submit comment</v>
      </c>
    </row>
    <row r="153" spans="1:16" ht="225">
      <c r="A153" s="6" t="s">
        <v>6715</v>
      </c>
      <c r="B153" s="6" t="s">
        <v>6741</v>
      </c>
      <c r="C153" s="6" t="s">
        <v>6720</v>
      </c>
      <c r="D153" s="6" t="s">
        <v>182</v>
      </c>
      <c r="E153" s="6" t="s">
        <v>183</v>
      </c>
      <c r="F153" s="6" t="s">
        <v>13</v>
      </c>
      <c r="G153" s="6" t="s">
        <v>5973</v>
      </c>
      <c r="H153" s="6" t="s">
        <v>3</v>
      </c>
      <c r="I153" s="6" t="s">
        <v>184</v>
      </c>
      <c r="J153" s="6"/>
      <c r="K153" s="6"/>
      <c r="L153" s="6" t="s">
        <v>185</v>
      </c>
      <c r="M153" s="6"/>
      <c r="N153" s="6" t="s">
        <v>186</v>
      </c>
      <c r="O153" s="6" t="str">
        <f>HYPERLINK("https://ceds.ed.gov/cedselementdetails.aspx?termid=5214")</f>
        <v>https://ceds.ed.gov/cedselementdetails.aspx?termid=5214</v>
      </c>
      <c r="P153" s="6" t="str">
        <f>HYPERLINK("https://ceds.ed.gov/elementComment.aspx?elementName=Address Postal Code &amp;elementID=5214", "Click here to submit comment")</f>
        <v>Click here to submit comment</v>
      </c>
    </row>
    <row r="154" spans="1:16" ht="225">
      <c r="A154" s="6" t="s">
        <v>6715</v>
      </c>
      <c r="B154" s="6" t="s">
        <v>6741</v>
      </c>
      <c r="C154" s="6" t="s">
        <v>6720</v>
      </c>
      <c r="D154" s="6" t="s">
        <v>178</v>
      </c>
      <c r="E154" s="6" t="s">
        <v>179</v>
      </c>
      <c r="F154" s="6" t="s">
        <v>13</v>
      </c>
      <c r="G154" s="6" t="s">
        <v>5973</v>
      </c>
      <c r="H154" s="6" t="s">
        <v>3</v>
      </c>
      <c r="I154" s="6" t="s">
        <v>100</v>
      </c>
      <c r="J154" s="6"/>
      <c r="K154" s="6"/>
      <c r="L154" s="6" t="s">
        <v>180</v>
      </c>
      <c r="M154" s="6"/>
      <c r="N154" s="6" t="s">
        <v>181</v>
      </c>
      <c r="O154" s="6" t="str">
        <f>HYPERLINK("https://ceds.ed.gov/cedselementdetails.aspx?termid=5190")</f>
        <v>https://ceds.ed.gov/cedselementdetails.aspx?termid=5190</v>
      </c>
      <c r="P154" s="6" t="str">
        <f>HYPERLINK("https://ceds.ed.gov/elementComment.aspx?elementName=Address County Name &amp;elementID=5190", "Click here to submit comment")</f>
        <v>Click here to submit comment</v>
      </c>
    </row>
    <row r="155" spans="1:16" ht="409.5">
      <c r="A155" s="6" t="s">
        <v>6715</v>
      </c>
      <c r="B155" s="6" t="s">
        <v>6741</v>
      </c>
      <c r="C155" s="6" t="s">
        <v>6720</v>
      </c>
      <c r="D155" s="6" t="s">
        <v>1809</v>
      </c>
      <c r="E155" s="6" t="s">
        <v>1810</v>
      </c>
      <c r="F155" s="7" t="s">
        <v>6433</v>
      </c>
      <c r="G155" s="6" t="s">
        <v>6107</v>
      </c>
      <c r="H155" s="6" t="s">
        <v>3</v>
      </c>
      <c r="I155" s="6"/>
      <c r="J155" s="6"/>
      <c r="K155" s="6"/>
      <c r="L155" s="6" t="s">
        <v>1811</v>
      </c>
      <c r="M155" s="6"/>
      <c r="N155" s="6" t="s">
        <v>1812</v>
      </c>
      <c r="O155" s="6" t="str">
        <f>HYPERLINK("https://ceds.ed.gov/cedselementdetails.aspx?termid=5050")</f>
        <v>https://ceds.ed.gov/cedselementdetails.aspx?termid=5050</v>
      </c>
      <c r="P155" s="6" t="str">
        <f>HYPERLINK("https://ceds.ed.gov/elementComment.aspx?elementName=Country Code &amp;elementID=5050", "Click here to submit comment")</f>
        <v>Click here to submit comment</v>
      </c>
    </row>
    <row r="156" spans="1:16" ht="135">
      <c r="A156" s="6" t="s">
        <v>6715</v>
      </c>
      <c r="B156" s="6" t="s">
        <v>6741</v>
      </c>
      <c r="C156" s="6" t="s">
        <v>6721</v>
      </c>
      <c r="D156" s="6" t="s">
        <v>5732</v>
      </c>
      <c r="E156" s="6" t="s">
        <v>5733</v>
      </c>
      <c r="F156" s="7" t="s">
        <v>6675</v>
      </c>
      <c r="G156" s="6" t="s">
        <v>5968</v>
      </c>
      <c r="H156" s="6" t="s">
        <v>3</v>
      </c>
      <c r="I156" s="6" t="s">
        <v>2844</v>
      </c>
      <c r="J156" s="6"/>
      <c r="K156" s="6"/>
      <c r="L156" s="6" t="s">
        <v>5734</v>
      </c>
      <c r="M156" s="6"/>
      <c r="N156" s="6" t="s">
        <v>5735</v>
      </c>
      <c r="O156" s="6" t="str">
        <f>HYPERLINK("https://ceds.ed.gov/cedselementdetails.aspx?termid=5280")</f>
        <v>https://ceds.ed.gov/cedselementdetails.aspx?termid=5280</v>
      </c>
      <c r="P156" s="6" t="str">
        <f>HYPERLINK("https://ceds.ed.gov/elementComment.aspx?elementName=Telephone Number Type &amp;elementID=5280", "Click here to submit comment")</f>
        <v>Click here to submit comment</v>
      </c>
    </row>
    <row r="157" spans="1:16" ht="90">
      <c r="A157" s="6" t="s">
        <v>6715</v>
      </c>
      <c r="B157" s="6" t="s">
        <v>6741</v>
      </c>
      <c r="C157" s="6" t="s">
        <v>6721</v>
      </c>
      <c r="D157" s="6" t="s">
        <v>4591</v>
      </c>
      <c r="E157" s="6" t="s">
        <v>4592</v>
      </c>
      <c r="F157" s="6" t="s">
        <v>5963</v>
      </c>
      <c r="G157" s="6" t="s">
        <v>5968</v>
      </c>
      <c r="H157" s="6" t="s">
        <v>3</v>
      </c>
      <c r="I157" s="6"/>
      <c r="J157" s="6"/>
      <c r="K157" s="6"/>
      <c r="L157" s="6" t="s">
        <v>4593</v>
      </c>
      <c r="M157" s="6"/>
      <c r="N157" s="6" t="s">
        <v>4594</v>
      </c>
      <c r="O157" s="6" t="str">
        <f>HYPERLINK("https://ceds.ed.gov/cedselementdetails.aspx?termid=5219")</f>
        <v>https://ceds.ed.gov/cedselementdetails.aspx?termid=5219</v>
      </c>
      <c r="P157" s="6" t="str">
        <f>HYPERLINK("https://ceds.ed.gov/elementComment.aspx?elementName=Primary Telephone Number Indicator &amp;elementID=5219", "Click here to submit comment")</f>
        <v>Click here to submit comment</v>
      </c>
    </row>
    <row r="158" spans="1:16" ht="90">
      <c r="A158" s="6" t="s">
        <v>6715</v>
      </c>
      <c r="B158" s="6" t="s">
        <v>6741</v>
      </c>
      <c r="C158" s="6" t="s">
        <v>6721</v>
      </c>
      <c r="D158" s="6" t="s">
        <v>5727</v>
      </c>
      <c r="E158" s="6" t="s">
        <v>5728</v>
      </c>
      <c r="F158" s="6" t="s">
        <v>13</v>
      </c>
      <c r="G158" s="6" t="s">
        <v>5968</v>
      </c>
      <c r="H158" s="6" t="s">
        <v>3</v>
      </c>
      <c r="I158" s="6" t="s">
        <v>5729</v>
      </c>
      <c r="J158" s="6"/>
      <c r="K158" s="6"/>
      <c r="L158" s="6" t="s">
        <v>5730</v>
      </c>
      <c r="M158" s="6"/>
      <c r="N158" s="6" t="s">
        <v>5731</v>
      </c>
      <c r="O158" s="6" t="str">
        <f>HYPERLINK("https://ceds.ed.gov/cedselementdetails.aspx?termid=5279")</f>
        <v>https://ceds.ed.gov/cedselementdetails.aspx?termid=5279</v>
      </c>
      <c r="P158" s="6" t="str">
        <f>HYPERLINK("https://ceds.ed.gov/elementComment.aspx?elementName=Telephone Number &amp;elementID=5279", "Click here to submit comment")</f>
        <v>Click here to submit comment</v>
      </c>
    </row>
    <row r="159" spans="1:16" ht="105">
      <c r="A159" s="6" t="s">
        <v>6715</v>
      </c>
      <c r="B159" s="6" t="s">
        <v>6741</v>
      </c>
      <c r="C159" s="6" t="s">
        <v>6742</v>
      </c>
      <c r="D159" s="6" t="s">
        <v>2457</v>
      </c>
      <c r="E159" s="6" t="s">
        <v>2458</v>
      </c>
      <c r="F159" s="7" t="s">
        <v>6489</v>
      </c>
      <c r="G159" s="6" t="s">
        <v>5968</v>
      </c>
      <c r="H159" s="6" t="s">
        <v>3</v>
      </c>
      <c r="I159" s="6"/>
      <c r="J159" s="6"/>
      <c r="K159" s="6"/>
      <c r="L159" s="6" t="s">
        <v>2459</v>
      </c>
      <c r="M159" s="6" t="s">
        <v>2460</v>
      </c>
      <c r="N159" s="6" t="s">
        <v>2461</v>
      </c>
      <c r="O159" s="6" t="str">
        <f>HYPERLINK("https://ceds.ed.gov/cedselementdetails.aspx?termid=5089")</f>
        <v>https://ceds.ed.gov/cedselementdetails.aspx?termid=5089</v>
      </c>
      <c r="P159" s="6" t="str">
        <f>HYPERLINK("https://ceds.ed.gov/elementComment.aspx?elementName=Electronic Mail Address Type &amp;elementID=5089", "Click here to submit comment")</f>
        <v>Click here to submit comment</v>
      </c>
    </row>
    <row r="160" spans="1:16" ht="90">
      <c r="A160" s="6" t="s">
        <v>6715</v>
      </c>
      <c r="B160" s="6" t="s">
        <v>6741</v>
      </c>
      <c r="C160" s="6" t="s">
        <v>6742</v>
      </c>
      <c r="D160" s="6" t="s">
        <v>2451</v>
      </c>
      <c r="E160" s="6" t="s">
        <v>2452</v>
      </c>
      <c r="F160" s="6" t="s">
        <v>13</v>
      </c>
      <c r="G160" s="6" t="s">
        <v>5968</v>
      </c>
      <c r="H160" s="6" t="s">
        <v>3</v>
      </c>
      <c r="I160" s="6" t="s">
        <v>2453</v>
      </c>
      <c r="J160" s="6"/>
      <c r="K160" s="6"/>
      <c r="L160" s="6" t="s">
        <v>2454</v>
      </c>
      <c r="M160" s="6" t="s">
        <v>2455</v>
      </c>
      <c r="N160" s="6" t="s">
        <v>2456</v>
      </c>
      <c r="O160" s="6" t="str">
        <f>HYPERLINK("https://ceds.ed.gov/cedselementdetails.aspx?termid=5088")</f>
        <v>https://ceds.ed.gov/cedselementdetails.aspx?termid=5088</v>
      </c>
      <c r="P160" s="6" t="str">
        <f>HYPERLINK("https://ceds.ed.gov/elementComment.aspx?elementName=Electronic Mail Address &amp;elementID=5088", "Click here to submit comment")</f>
        <v>Click here to submit comment</v>
      </c>
    </row>
    <row r="161" spans="1:16" ht="240">
      <c r="A161" s="6" t="s">
        <v>6715</v>
      </c>
      <c r="B161" s="6" t="s">
        <v>6741</v>
      </c>
      <c r="C161" s="6" t="s">
        <v>6722</v>
      </c>
      <c r="D161" s="6" t="s">
        <v>1474</v>
      </c>
      <c r="E161" s="6" t="s">
        <v>1475</v>
      </c>
      <c r="F161" s="6" t="s">
        <v>13</v>
      </c>
      <c r="G161" s="6" t="s">
        <v>6080</v>
      </c>
      <c r="H161" s="6" t="s">
        <v>3</v>
      </c>
      <c r="I161" s="6" t="s">
        <v>73</v>
      </c>
      <c r="J161" s="6"/>
      <c r="K161" s="6"/>
      <c r="L161" s="6" t="s">
        <v>1476</v>
      </c>
      <c r="M161" s="6"/>
      <c r="N161" s="6" t="s">
        <v>1474</v>
      </c>
      <c r="O161" s="6" t="str">
        <f>HYPERLINK("https://ceds.ed.gov/cedselementdetails.aspx?termid=5033")</f>
        <v>https://ceds.ed.gov/cedselementdetails.aspx?termid=5033</v>
      </c>
      <c r="P161" s="6" t="str">
        <f>HYPERLINK("https://ceds.ed.gov/elementComment.aspx?elementName=Birthdate &amp;elementID=5033", "Click here to submit comment")</f>
        <v>Click here to submit comment</v>
      </c>
    </row>
    <row r="162" spans="1:16" ht="409.5">
      <c r="A162" s="6" t="s">
        <v>6715</v>
      </c>
      <c r="B162" s="6" t="s">
        <v>6741</v>
      </c>
      <c r="C162" s="6" t="s">
        <v>6743</v>
      </c>
      <c r="D162" s="6" t="s">
        <v>2970</v>
      </c>
      <c r="E162" s="6" t="s">
        <v>2971</v>
      </c>
      <c r="F162" s="7" t="s">
        <v>6531</v>
      </c>
      <c r="G162" s="6" t="s">
        <v>6195</v>
      </c>
      <c r="H162" s="6" t="s">
        <v>66</v>
      </c>
      <c r="I162" s="6"/>
      <c r="J162" s="6" t="s">
        <v>2972</v>
      </c>
      <c r="K162" s="6"/>
      <c r="L162" s="6" t="s">
        <v>2973</v>
      </c>
      <c r="M162" s="6"/>
      <c r="N162" s="6" t="s">
        <v>2974</v>
      </c>
      <c r="O162" s="6" t="str">
        <f>HYPERLINK("https://ceds.ed.gov/cedselementdetails.aspx?termid=5141")</f>
        <v>https://ceds.ed.gov/cedselementdetails.aspx?termid=5141</v>
      </c>
      <c r="P162" s="6" t="str">
        <f>HYPERLINK("https://ceds.ed.gov/elementComment.aspx?elementName=Highest Level of Education Completed &amp;elementID=5141", "Click here to submit comment")</f>
        <v>Click here to submit comment</v>
      </c>
    </row>
    <row r="163" spans="1:16" ht="60">
      <c r="A163" s="6" t="s">
        <v>6715</v>
      </c>
      <c r="B163" s="6" t="s">
        <v>6744</v>
      </c>
      <c r="C163" s="6" t="s">
        <v>6745</v>
      </c>
      <c r="D163" s="6" t="s">
        <v>2637</v>
      </c>
      <c r="E163" s="6" t="s">
        <v>2638</v>
      </c>
      <c r="F163" s="6" t="s">
        <v>13</v>
      </c>
      <c r="G163" s="6" t="s">
        <v>6095</v>
      </c>
      <c r="H163" s="6"/>
      <c r="I163" s="6" t="s">
        <v>100</v>
      </c>
      <c r="J163" s="6"/>
      <c r="K163" s="6"/>
      <c r="L163" s="6" t="s">
        <v>2640</v>
      </c>
      <c r="M163" s="6"/>
      <c r="N163" s="6" t="s">
        <v>2641</v>
      </c>
      <c r="O163" s="6" t="str">
        <f>HYPERLINK("https://ceds.ed.gov/cedselementdetails.aspx?termid=5784")</f>
        <v>https://ceds.ed.gov/cedselementdetails.aspx?termid=5784</v>
      </c>
      <c r="P163" s="6" t="str">
        <f>HYPERLINK("https://ceds.ed.gov/elementComment.aspx?elementName=Family Identifier &amp;elementID=5784", "Click here to submit comment")</f>
        <v>Click here to submit comment</v>
      </c>
    </row>
    <row r="164" spans="1:16" ht="195">
      <c r="A164" s="6" t="s">
        <v>6715</v>
      </c>
      <c r="B164" s="6" t="s">
        <v>6744</v>
      </c>
      <c r="C164" s="6" t="s">
        <v>6746</v>
      </c>
      <c r="D164" s="6" t="s">
        <v>4294</v>
      </c>
      <c r="E164" s="6" t="s">
        <v>4295</v>
      </c>
      <c r="F164" s="6" t="s">
        <v>13</v>
      </c>
      <c r="G164" s="6" t="s">
        <v>2147</v>
      </c>
      <c r="H164" s="6"/>
      <c r="I164" s="6" t="s">
        <v>308</v>
      </c>
      <c r="J164" s="6"/>
      <c r="K164" s="6"/>
      <c r="L164" s="6" t="s">
        <v>4296</v>
      </c>
      <c r="M164" s="6"/>
      <c r="N164" s="6" t="s">
        <v>4297</v>
      </c>
      <c r="O164" s="6" t="str">
        <f>HYPERLINK("https://ceds.ed.gov/cedselementdetails.aspx?termid=5329")</f>
        <v>https://ceds.ed.gov/cedselementdetails.aspx?termid=5329</v>
      </c>
      <c r="P164" s="6" t="str">
        <f>HYPERLINK("https://ceds.ed.gov/elementComment.aspx?elementName=Number of People in Family &amp;elementID=5329", "Click here to submit comment")</f>
        <v>Click here to submit comment</v>
      </c>
    </row>
    <row r="165" spans="1:16" ht="30">
      <c r="A165" s="6" t="s">
        <v>6715</v>
      </c>
      <c r="B165" s="6" t="s">
        <v>6744</v>
      </c>
      <c r="C165" s="6" t="s">
        <v>6746</v>
      </c>
      <c r="D165" s="6" t="s">
        <v>4298</v>
      </c>
      <c r="E165" s="6" t="s">
        <v>4299</v>
      </c>
      <c r="F165" s="6" t="s">
        <v>13</v>
      </c>
      <c r="G165" s="6" t="s">
        <v>2147</v>
      </c>
      <c r="H165" s="6"/>
      <c r="I165" s="6" t="s">
        <v>308</v>
      </c>
      <c r="J165" s="6"/>
      <c r="K165" s="6"/>
      <c r="L165" s="6" t="s">
        <v>4300</v>
      </c>
      <c r="M165" s="6"/>
      <c r="N165" s="6" t="s">
        <v>4301</v>
      </c>
      <c r="O165" s="6" t="str">
        <f>HYPERLINK("https://ceds.ed.gov/cedselementdetails.aspx?termid=5330")</f>
        <v>https://ceds.ed.gov/cedselementdetails.aspx?termid=5330</v>
      </c>
      <c r="P165" s="6" t="str">
        <f>HYPERLINK("https://ceds.ed.gov/elementComment.aspx?elementName=Number of People in Household &amp;elementID=5330", "Click here to submit comment")</f>
        <v>Click here to submit comment</v>
      </c>
    </row>
    <row r="166" spans="1:16" ht="409.5">
      <c r="A166" s="6" t="s">
        <v>6715</v>
      </c>
      <c r="B166" s="6" t="s">
        <v>6744</v>
      </c>
      <c r="C166" s="6" t="s">
        <v>6746</v>
      </c>
      <c r="D166" s="6" t="s">
        <v>2642</v>
      </c>
      <c r="E166" s="6" t="s">
        <v>2643</v>
      </c>
      <c r="F166" s="6" t="s">
        <v>13</v>
      </c>
      <c r="G166" s="6" t="s">
        <v>5988</v>
      </c>
      <c r="H166" s="6" t="s">
        <v>66</v>
      </c>
      <c r="I166" s="6" t="s">
        <v>1461</v>
      </c>
      <c r="J166" s="6" t="s">
        <v>2645</v>
      </c>
      <c r="K166" s="6" t="s">
        <v>2646</v>
      </c>
      <c r="L166" s="6" t="s">
        <v>2647</v>
      </c>
      <c r="M166" s="6"/>
      <c r="N166" s="6" t="s">
        <v>2648</v>
      </c>
      <c r="O166" s="6" t="str">
        <f>HYPERLINK("https://ceds.ed.gov/cedselementdetails.aspx?termid=5331")</f>
        <v>https://ceds.ed.gov/cedselementdetails.aspx?termid=5331</v>
      </c>
      <c r="P166" s="6" t="str">
        <f>HYPERLINK("https://ceds.ed.gov/elementComment.aspx?elementName=Family Income &amp;elementID=5331", "Click here to submit comment")</f>
        <v>Click here to submit comment</v>
      </c>
    </row>
    <row r="167" spans="1:16" ht="240">
      <c r="A167" s="6" t="s">
        <v>6715</v>
      </c>
      <c r="B167" s="6" t="s">
        <v>6744</v>
      </c>
      <c r="C167" s="6" t="s">
        <v>6746</v>
      </c>
      <c r="D167" s="6" t="s">
        <v>5394</v>
      </c>
      <c r="E167" s="6" t="s">
        <v>5395</v>
      </c>
      <c r="F167" s="7" t="s">
        <v>6657</v>
      </c>
      <c r="G167" s="6" t="s">
        <v>5988</v>
      </c>
      <c r="H167" s="6"/>
      <c r="I167" s="6"/>
      <c r="J167" s="6"/>
      <c r="K167" s="6"/>
      <c r="L167" s="6" t="s">
        <v>5396</v>
      </c>
      <c r="M167" s="6"/>
      <c r="N167" s="6" t="s">
        <v>5397</v>
      </c>
      <c r="O167" s="6" t="str">
        <f>HYPERLINK("https://ceds.ed.gov/cedselementdetails.aspx?termid=5332")</f>
        <v>https://ceds.ed.gov/cedselementdetails.aspx?termid=5332</v>
      </c>
      <c r="P167" s="6" t="str">
        <f>HYPERLINK("https://ceds.ed.gov/elementComment.aspx?elementName=Source of Family Income &amp;elementID=5332", "Click here to submit comment")</f>
        <v>Click here to submit comment</v>
      </c>
    </row>
    <row r="168" spans="1:16" ht="75">
      <c r="A168" s="6" t="s">
        <v>6715</v>
      </c>
      <c r="B168" s="6" t="s">
        <v>6744</v>
      </c>
      <c r="C168" s="6" t="s">
        <v>6746</v>
      </c>
      <c r="D168" s="6" t="s">
        <v>3191</v>
      </c>
      <c r="E168" s="6" t="s">
        <v>3192</v>
      </c>
      <c r="F168" s="7" t="s">
        <v>6547</v>
      </c>
      <c r="G168" s="6"/>
      <c r="H168" s="6"/>
      <c r="I168" s="6"/>
      <c r="J168" s="6"/>
      <c r="K168" s="6"/>
      <c r="L168" s="6" t="s">
        <v>3193</v>
      </c>
      <c r="M168" s="6"/>
      <c r="N168" s="6" t="s">
        <v>3194</v>
      </c>
      <c r="O168" s="6" t="str">
        <f>HYPERLINK("https://ceds.ed.gov/cedselementdetails.aspx?termid=5333")</f>
        <v>https://ceds.ed.gov/cedselementdetails.aspx?termid=5333</v>
      </c>
      <c r="P168" s="6" t="str">
        <f>HYPERLINK("https://ceds.ed.gov/elementComment.aspx?elementName=Income Calculation Method &amp;elementID=5333", "Click here to submit comment")</f>
        <v>Click here to submit comment</v>
      </c>
    </row>
    <row r="169" spans="1:16" ht="90">
      <c r="A169" s="6" t="s">
        <v>6715</v>
      </c>
      <c r="B169" s="6" t="s">
        <v>6744</v>
      </c>
      <c r="C169" s="6" t="s">
        <v>6746</v>
      </c>
      <c r="D169" s="6" t="s">
        <v>4873</v>
      </c>
      <c r="E169" s="6" t="s">
        <v>4874</v>
      </c>
      <c r="F169" s="7" t="s">
        <v>6629</v>
      </c>
      <c r="G169" s="6" t="s">
        <v>2147</v>
      </c>
      <c r="H169" s="6" t="s">
        <v>66</v>
      </c>
      <c r="I169" s="6"/>
      <c r="J169" s="6" t="s">
        <v>4875</v>
      </c>
      <c r="K169" s="6"/>
      <c r="L169" s="6" t="s">
        <v>4876</v>
      </c>
      <c r="M169" s="6"/>
      <c r="N169" s="6" t="s">
        <v>4877</v>
      </c>
      <c r="O169" s="6" t="str">
        <f>HYPERLINK("https://ceds.ed.gov/cedselementdetails.aspx?termid=5305")</f>
        <v>https://ceds.ed.gov/cedselementdetails.aspx?termid=5305</v>
      </c>
      <c r="P169" s="6" t="str">
        <f>HYPERLINK("https://ceds.ed.gov/elementComment.aspx?elementName=Proof of Residency Type &amp;elementID=5305", "Click here to submit comment")</f>
        <v>Click here to submit comment</v>
      </c>
    </row>
    <row r="170" spans="1:16" ht="60">
      <c r="A170" s="6" t="s">
        <v>6715</v>
      </c>
      <c r="B170" s="6" t="s">
        <v>6747</v>
      </c>
      <c r="C170" s="6" t="s">
        <v>6748</v>
      </c>
      <c r="D170" s="6" t="s">
        <v>5059</v>
      </c>
      <c r="E170" s="6" t="s">
        <v>5060</v>
      </c>
      <c r="F170" s="6" t="s">
        <v>13</v>
      </c>
      <c r="G170" s="6" t="s">
        <v>6104</v>
      </c>
      <c r="H170" s="6" t="s">
        <v>3</v>
      </c>
      <c r="I170" s="6" t="s">
        <v>106</v>
      </c>
      <c r="J170" s="6"/>
      <c r="K170" s="6"/>
      <c r="L170" s="6" t="s">
        <v>5061</v>
      </c>
      <c r="M170" s="6"/>
      <c r="N170" s="6" t="s">
        <v>5062</v>
      </c>
      <c r="O170" s="6" t="str">
        <f>HYPERLINK("https://ceds.ed.gov/cedselementdetails.aspx?termid=5624")</f>
        <v>https://ceds.ed.gov/cedselementdetails.aspx?termid=5624</v>
      </c>
      <c r="P170" s="6" t="str">
        <f>HYPERLINK("https://ceds.ed.gov/elementComment.aspx?elementName=Responsible Organization Name &amp;elementID=5624", "Click here to submit comment")</f>
        <v>Click here to submit comment</v>
      </c>
    </row>
    <row r="171" spans="1:16" ht="315">
      <c r="A171" s="6" t="s">
        <v>6715</v>
      </c>
      <c r="B171" s="6" t="s">
        <v>6747</v>
      </c>
      <c r="C171" s="6" t="s">
        <v>6745</v>
      </c>
      <c r="D171" s="6" t="s">
        <v>4337</v>
      </c>
      <c r="E171" s="6" t="s">
        <v>4338</v>
      </c>
      <c r="F171" s="7" t="s">
        <v>6364</v>
      </c>
      <c r="G171" s="6" t="s">
        <v>65</v>
      </c>
      <c r="H171" s="6" t="s">
        <v>66</v>
      </c>
      <c r="I171" s="6"/>
      <c r="J171" s="6" t="s">
        <v>2309</v>
      </c>
      <c r="K171" s="6"/>
      <c r="L171" s="6" t="s">
        <v>4339</v>
      </c>
      <c r="M171" s="6"/>
      <c r="N171" s="6" t="s">
        <v>4340</v>
      </c>
      <c r="O171" s="6" t="str">
        <f>HYPERLINK("https://ceds.ed.gov/cedselementdetails.aspx?termid=5827")</f>
        <v>https://ceds.ed.gov/cedselementdetails.aspx?termid=5827</v>
      </c>
      <c r="P171" s="6" t="str">
        <f>HYPERLINK("https://ceds.ed.gov/elementComment.aspx?elementName=Organization Identification System &amp;elementID=5827", "Click here to submit comment")</f>
        <v>Click here to submit comment</v>
      </c>
    </row>
    <row r="172" spans="1:16" ht="60">
      <c r="A172" s="6" t="s">
        <v>6715</v>
      </c>
      <c r="B172" s="6" t="s">
        <v>6747</v>
      </c>
      <c r="C172" s="6" t="s">
        <v>6745</v>
      </c>
      <c r="D172" s="6" t="s">
        <v>4341</v>
      </c>
      <c r="E172" s="6" t="s">
        <v>4342</v>
      </c>
      <c r="F172" s="6" t="s">
        <v>13</v>
      </c>
      <c r="G172" s="6" t="s">
        <v>65</v>
      </c>
      <c r="H172" s="6" t="s">
        <v>3</v>
      </c>
      <c r="I172" s="6" t="s">
        <v>100</v>
      </c>
      <c r="J172" s="6"/>
      <c r="K172" s="6"/>
      <c r="L172" s="6" t="s">
        <v>4343</v>
      </c>
      <c r="M172" s="6"/>
      <c r="N172" s="6" t="s">
        <v>4344</v>
      </c>
      <c r="O172" s="6" t="str">
        <f>HYPERLINK("https://ceds.ed.gov/cedselementdetails.aspx?termid=5825")</f>
        <v>https://ceds.ed.gov/cedselementdetails.aspx?termid=5825</v>
      </c>
      <c r="P172" s="6" t="str">
        <f>HYPERLINK("https://ceds.ed.gov/elementComment.aspx?elementName=Organization Identifier &amp;elementID=5825", "Click here to submit comment")</f>
        <v>Click here to submit comment</v>
      </c>
    </row>
    <row r="173" spans="1:16" ht="409.5">
      <c r="A173" s="6" t="s">
        <v>6715</v>
      </c>
      <c r="B173" s="6" t="s">
        <v>6747</v>
      </c>
      <c r="C173" s="6" t="s">
        <v>6745</v>
      </c>
      <c r="D173" s="6" t="s">
        <v>4361</v>
      </c>
      <c r="E173" s="6" t="s">
        <v>4362</v>
      </c>
      <c r="F173" s="7" t="s">
        <v>6592</v>
      </c>
      <c r="G173" s="6"/>
      <c r="H173" s="6" t="s">
        <v>66</v>
      </c>
      <c r="I173" s="6" t="s">
        <v>149</v>
      </c>
      <c r="J173" s="6" t="s">
        <v>4363</v>
      </c>
      <c r="K173" s="6" t="s">
        <v>4364</v>
      </c>
      <c r="L173" s="6" t="s">
        <v>4365</v>
      </c>
      <c r="M173" s="6"/>
      <c r="N173" s="6" t="s">
        <v>4366</v>
      </c>
      <c r="O173" s="6" t="str">
        <f>HYPERLINK("https://ceds.ed.gov/cedselementdetails.aspx?termid=6165")</f>
        <v>https://ceds.ed.gov/cedselementdetails.aspx?termid=6165</v>
      </c>
      <c r="P173" s="6" t="str">
        <f>HYPERLINK("https://ceds.ed.gov/elementComment.aspx?elementName=Organization Type &amp;elementID=6165", "Click here to submit comment")</f>
        <v>Click here to submit comment</v>
      </c>
    </row>
    <row r="174" spans="1:16" ht="90">
      <c r="A174" s="6" t="s">
        <v>6715</v>
      </c>
      <c r="B174" s="6" t="s">
        <v>6747</v>
      </c>
      <c r="C174" s="6" t="s">
        <v>6749</v>
      </c>
      <c r="D174" s="6" t="s">
        <v>196</v>
      </c>
      <c r="E174" s="6" t="s">
        <v>197</v>
      </c>
      <c r="F174" s="7" t="s">
        <v>6354</v>
      </c>
      <c r="G174" s="6" t="s">
        <v>5968</v>
      </c>
      <c r="H174" s="6" t="s">
        <v>3</v>
      </c>
      <c r="I174" s="6" t="s">
        <v>100</v>
      </c>
      <c r="J174" s="6"/>
      <c r="K174" s="6"/>
      <c r="L174" s="6" t="s">
        <v>198</v>
      </c>
      <c r="M174" s="6"/>
      <c r="N174" s="6" t="s">
        <v>199</v>
      </c>
      <c r="O174" s="6" t="str">
        <f>HYPERLINK("https://ceds.ed.gov/cedselementdetails.aspx?termid=5644")</f>
        <v>https://ceds.ed.gov/cedselementdetails.aspx?termid=5644</v>
      </c>
      <c r="P174" s="6" t="str">
        <f>HYPERLINK("https://ceds.ed.gov/elementComment.aspx?elementName=Address Type for Organization &amp;elementID=5644", "Click here to submit comment")</f>
        <v>Click here to submit comment</v>
      </c>
    </row>
    <row r="175" spans="1:16" ht="225">
      <c r="A175" s="6" t="s">
        <v>6715</v>
      </c>
      <c r="B175" s="6" t="s">
        <v>6747</v>
      </c>
      <c r="C175" s="6" t="s">
        <v>6749</v>
      </c>
      <c r="D175" s="6" t="s">
        <v>187</v>
      </c>
      <c r="E175" s="6" t="s">
        <v>188</v>
      </c>
      <c r="F175" s="6" t="s">
        <v>13</v>
      </c>
      <c r="G175" s="6" t="s">
        <v>5973</v>
      </c>
      <c r="H175" s="6" t="s">
        <v>3</v>
      </c>
      <c r="I175" s="6" t="s">
        <v>149</v>
      </c>
      <c r="J175" s="6"/>
      <c r="K175" s="6"/>
      <c r="L175" s="6" t="s">
        <v>189</v>
      </c>
      <c r="M175" s="6"/>
      <c r="N175" s="6" t="s">
        <v>190</v>
      </c>
      <c r="O175" s="6" t="str">
        <f>HYPERLINK("https://ceds.ed.gov/cedselementdetails.aspx?termid=5269")</f>
        <v>https://ceds.ed.gov/cedselementdetails.aspx?termid=5269</v>
      </c>
      <c r="P175" s="6" t="str">
        <f>HYPERLINK("https://ceds.ed.gov/elementComment.aspx?elementName=Address Street Number and Name &amp;elementID=5269", "Click here to submit comment")</f>
        <v>Click here to submit comment</v>
      </c>
    </row>
    <row r="176" spans="1:16" ht="225">
      <c r="A176" s="6" t="s">
        <v>6715</v>
      </c>
      <c r="B176" s="6" t="s">
        <v>6747</v>
      </c>
      <c r="C176" s="6" t="s">
        <v>6749</v>
      </c>
      <c r="D176" s="6" t="s">
        <v>170</v>
      </c>
      <c r="E176" s="6" t="s">
        <v>171</v>
      </c>
      <c r="F176" s="6" t="s">
        <v>13</v>
      </c>
      <c r="G176" s="6" t="s">
        <v>5973</v>
      </c>
      <c r="H176" s="6" t="s">
        <v>3</v>
      </c>
      <c r="I176" s="6" t="s">
        <v>100</v>
      </c>
      <c r="J176" s="6"/>
      <c r="K176" s="6"/>
      <c r="L176" s="6" t="s">
        <v>172</v>
      </c>
      <c r="M176" s="6"/>
      <c r="N176" s="6" t="s">
        <v>173</v>
      </c>
      <c r="O176" s="6" t="str">
        <f>HYPERLINK("https://ceds.ed.gov/cedselementdetails.aspx?termid=5019")</f>
        <v>https://ceds.ed.gov/cedselementdetails.aspx?termid=5019</v>
      </c>
      <c r="P176" s="6" t="str">
        <f>HYPERLINK("https://ceds.ed.gov/elementComment.aspx?elementName=Address Apartment Room or Suite Number &amp;elementID=5019", "Click here to submit comment")</f>
        <v>Click here to submit comment</v>
      </c>
    </row>
    <row r="177" spans="1:16" ht="225">
      <c r="A177" s="6" t="s">
        <v>6715</v>
      </c>
      <c r="B177" s="6" t="s">
        <v>6747</v>
      </c>
      <c r="C177" s="6" t="s">
        <v>6749</v>
      </c>
      <c r="D177" s="6" t="s">
        <v>174</v>
      </c>
      <c r="E177" s="6" t="s">
        <v>175</v>
      </c>
      <c r="F177" s="6" t="s">
        <v>13</v>
      </c>
      <c r="G177" s="6" t="s">
        <v>5973</v>
      </c>
      <c r="H177" s="6" t="s">
        <v>3</v>
      </c>
      <c r="I177" s="6" t="s">
        <v>100</v>
      </c>
      <c r="J177" s="6"/>
      <c r="K177" s="6"/>
      <c r="L177" s="6" t="s">
        <v>176</v>
      </c>
      <c r="M177" s="6"/>
      <c r="N177" s="6" t="s">
        <v>177</v>
      </c>
      <c r="O177" s="6" t="str">
        <f>HYPERLINK("https://ceds.ed.gov/cedselementdetails.aspx?termid=5040")</f>
        <v>https://ceds.ed.gov/cedselementdetails.aspx?termid=5040</v>
      </c>
      <c r="P177" s="6" t="str">
        <f>HYPERLINK("https://ceds.ed.gov/elementComment.aspx?elementName=Address City &amp;elementID=5040", "Click here to submit comment")</f>
        <v>Click here to submit comment</v>
      </c>
    </row>
    <row r="178" spans="1:16" ht="409.5">
      <c r="A178" s="6" t="s">
        <v>6715</v>
      </c>
      <c r="B178" s="6" t="s">
        <v>6747</v>
      </c>
      <c r="C178" s="6" t="s">
        <v>6749</v>
      </c>
      <c r="D178" s="6" t="s">
        <v>5533</v>
      </c>
      <c r="E178" s="6" t="s">
        <v>5534</v>
      </c>
      <c r="F178" s="7" t="s">
        <v>6633</v>
      </c>
      <c r="G178" s="6" t="s">
        <v>6324</v>
      </c>
      <c r="H178" s="6" t="s">
        <v>3</v>
      </c>
      <c r="I178" s="6"/>
      <c r="J178" s="6"/>
      <c r="K178" s="6"/>
      <c r="L178" s="6" t="s">
        <v>5535</v>
      </c>
      <c r="M178" s="6"/>
      <c r="N178" s="6" t="s">
        <v>5536</v>
      </c>
      <c r="O178" s="6" t="str">
        <f>HYPERLINK("https://ceds.ed.gov/cedselementdetails.aspx?termid=5267")</f>
        <v>https://ceds.ed.gov/cedselementdetails.aspx?termid=5267</v>
      </c>
      <c r="P178" s="6" t="str">
        <f>HYPERLINK("https://ceds.ed.gov/elementComment.aspx?elementName=State Abbreviation &amp;elementID=5267", "Click here to submit comment")</f>
        <v>Click here to submit comment</v>
      </c>
    </row>
    <row r="179" spans="1:16" ht="225">
      <c r="A179" s="6" t="s">
        <v>6715</v>
      </c>
      <c r="B179" s="6" t="s">
        <v>6747</v>
      </c>
      <c r="C179" s="6" t="s">
        <v>6749</v>
      </c>
      <c r="D179" s="6" t="s">
        <v>182</v>
      </c>
      <c r="E179" s="6" t="s">
        <v>183</v>
      </c>
      <c r="F179" s="6" t="s">
        <v>13</v>
      </c>
      <c r="G179" s="6" t="s">
        <v>5973</v>
      </c>
      <c r="H179" s="6" t="s">
        <v>3</v>
      </c>
      <c r="I179" s="6" t="s">
        <v>184</v>
      </c>
      <c r="J179" s="6"/>
      <c r="K179" s="6"/>
      <c r="L179" s="6" t="s">
        <v>185</v>
      </c>
      <c r="M179" s="6"/>
      <c r="N179" s="6" t="s">
        <v>186</v>
      </c>
      <c r="O179" s="6" t="str">
        <f>HYPERLINK("https://ceds.ed.gov/cedselementdetails.aspx?termid=5214")</f>
        <v>https://ceds.ed.gov/cedselementdetails.aspx?termid=5214</v>
      </c>
      <c r="P179" s="6" t="str">
        <f>HYPERLINK("https://ceds.ed.gov/elementComment.aspx?elementName=Address Postal Code &amp;elementID=5214", "Click here to submit comment")</f>
        <v>Click here to submit comment</v>
      </c>
    </row>
    <row r="180" spans="1:16" ht="225">
      <c r="A180" s="6" t="s">
        <v>6715</v>
      </c>
      <c r="B180" s="6" t="s">
        <v>6747</v>
      </c>
      <c r="C180" s="6" t="s">
        <v>6749</v>
      </c>
      <c r="D180" s="6" t="s">
        <v>178</v>
      </c>
      <c r="E180" s="6" t="s">
        <v>179</v>
      </c>
      <c r="F180" s="6" t="s">
        <v>13</v>
      </c>
      <c r="G180" s="6" t="s">
        <v>5973</v>
      </c>
      <c r="H180" s="6" t="s">
        <v>3</v>
      </c>
      <c r="I180" s="6" t="s">
        <v>100</v>
      </c>
      <c r="J180" s="6"/>
      <c r="K180" s="6"/>
      <c r="L180" s="6" t="s">
        <v>180</v>
      </c>
      <c r="M180" s="6"/>
      <c r="N180" s="6" t="s">
        <v>181</v>
      </c>
      <c r="O180" s="6" t="str">
        <f>HYPERLINK("https://ceds.ed.gov/cedselementdetails.aspx?termid=5190")</f>
        <v>https://ceds.ed.gov/cedselementdetails.aspx?termid=5190</v>
      </c>
      <c r="P180" s="6" t="str">
        <f>HYPERLINK("https://ceds.ed.gov/elementComment.aspx?elementName=Address County Name &amp;elementID=5190", "Click here to submit comment")</f>
        <v>Click here to submit comment</v>
      </c>
    </row>
    <row r="181" spans="1:16" ht="180">
      <c r="A181" s="6" t="s">
        <v>6715</v>
      </c>
      <c r="B181" s="6" t="s">
        <v>6747</v>
      </c>
      <c r="C181" s="6" t="s">
        <v>6749</v>
      </c>
      <c r="D181" s="6" t="s">
        <v>1817</v>
      </c>
      <c r="E181" s="6" t="s">
        <v>1818</v>
      </c>
      <c r="F181" s="6" t="s">
        <v>13</v>
      </c>
      <c r="G181" s="6"/>
      <c r="H181" s="6" t="s">
        <v>66</v>
      </c>
      <c r="I181" s="6" t="s">
        <v>1819</v>
      </c>
      <c r="J181" s="6" t="s">
        <v>1820</v>
      </c>
      <c r="K181" s="6"/>
      <c r="L181" s="6" t="s">
        <v>1821</v>
      </c>
      <c r="M181" s="6"/>
      <c r="N181" s="6" t="s">
        <v>1822</v>
      </c>
      <c r="O181" s="6" t="str">
        <f>HYPERLINK("https://ceds.ed.gov/cedselementdetails.aspx?termid=6176")</f>
        <v>https://ceds.ed.gov/cedselementdetails.aspx?termid=6176</v>
      </c>
      <c r="P181" s="6" t="str">
        <f>HYPERLINK("https://ceds.ed.gov/elementComment.aspx?elementName=County ANSI Code &amp;elementID=6176", "Click here to submit comment")</f>
        <v>Click here to submit comment</v>
      </c>
    </row>
    <row r="182" spans="1:16" ht="240">
      <c r="A182" s="6" t="s">
        <v>6715</v>
      </c>
      <c r="B182" s="6" t="s">
        <v>6747</v>
      </c>
      <c r="C182" s="6" t="s">
        <v>6750</v>
      </c>
      <c r="D182" s="6" t="s">
        <v>3289</v>
      </c>
      <c r="E182" s="6" t="s">
        <v>3290</v>
      </c>
      <c r="F182" s="7" t="s">
        <v>6553</v>
      </c>
      <c r="G182" s="6"/>
      <c r="H182" s="6"/>
      <c r="I182" s="6"/>
      <c r="J182" s="6"/>
      <c r="K182" s="6"/>
      <c r="L182" s="6" t="s">
        <v>3291</v>
      </c>
      <c r="M182" s="6"/>
      <c r="N182" s="6" t="s">
        <v>3292</v>
      </c>
      <c r="O182" s="6" t="str">
        <f>HYPERLINK("https://ceds.ed.gov/cedselementdetails.aspx?termid=5167")</f>
        <v>https://ceds.ed.gov/cedselementdetails.aspx?termid=5167</v>
      </c>
      <c r="P182" s="6" t="str">
        <f>HYPERLINK("https://ceds.ed.gov/elementComment.aspx?elementName=Institution Telephone Number Type &amp;elementID=5167", "Click here to submit comment")</f>
        <v>Click here to submit comment</v>
      </c>
    </row>
    <row r="183" spans="1:16" ht="90">
      <c r="A183" s="6" t="s">
        <v>6715</v>
      </c>
      <c r="B183" s="6" t="s">
        <v>6747</v>
      </c>
      <c r="C183" s="6" t="s">
        <v>6750</v>
      </c>
      <c r="D183" s="6" t="s">
        <v>4591</v>
      </c>
      <c r="E183" s="6" t="s">
        <v>4592</v>
      </c>
      <c r="F183" s="6" t="s">
        <v>5963</v>
      </c>
      <c r="G183" s="6" t="s">
        <v>5968</v>
      </c>
      <c r="H183" s="6" t="s">
        <v>3</v>
      </c>
      <c r="I183" s="6"/>
      <c r="J183" s="6"/>
      <c r="K183" s="6"/>
      <c r="L183" s="6" t="s">
        <v>4593</v>
      </c>
      <c r="M183" s="6"/>
      <c r="N183" s="6" t="s">
        <v>4594</v>
      </c>
      <c r="O183" s="6" t="str">
        <f>HYPERLINK("https://ceds.ed.gov/cedselementdetails.aspx?termid=5219")</f>
        <v>https://ceds.ed.gov/cedselementdetails.aspx?termid=5219</v>
      </c>
      <c r="P183" s="6" t="str">
        <f>HYPERLINK("https://ceds.ed.gov/elementComment.aspx?elementName=Primary Telephone Number Indicator &amp;elementID=5219", "Click here to submit comment")</f>
        <v>Click here to submit comment</v>
      </c>
    </row>
    <row r="184" spans="1:16" ht="90">
      <c r="A184" s="6" t="s">
        <v>6715</v>
      </c>
      <c r="B184" s="6" t="s">
        <v>6747</v>
      </c>
      <c r="C184" s="6" t="s">
        <v>6750</v>
      </c>
      <c r="D184" s="6" t="s">
        <v>5727</v>
      </c>
      <c r="E184" s="6" t="s">
        <v>5728</v>
      </c>
      <c r="F184" s="6" t="s">
        <v>13</v>
      </c>
      <c r="G184" s="6" t="s">
        <v>5968</v>
      </c>
      <c r="H184" s="6" t="s">
        <v>3</v>
      </c>
      <c r="I184" s="6" t="s">
        <v>5729</v>
      </c>
      <c r="J184" s="6"/>
      <c r="K184" s="6"/>
      <c r="L184" s="6" t="s">
        <v>5730</v>
      </c>
      <c r="M184" s="6"/>
      <c r="N184" s="6" t="s">
        <v>5731</v>
      </c>
      <c r="O184" s="6" t="str">
        <f>HYPERLINK("https://ceds.ed.gov/cedselementdetails.aspx?termid=5279")</f>
        <v>https://ceds.ed.gov/cedselementdetails.aspx?termid=5279</v>
      </c>
      <c r="P184" s="6" t="str">
        <f>HYPERLINK("https://ceds.ed.gov/elementComment.aspx?elementName=Telephone Number &amp;elementID=5279", "Click here to submit comment")</f>
        <v>Click here to submit comment</v>
      </c>
    </row>
    <row r="185" spans="1:16" ht="60">
      <c r="A185" s="6" t="s">
        <v>6715</v>
      </c>
      <c r="B185" s="6" t="s">
        <v>6747</v>
      </c>
      <c r="C185" s="6" t="s">
        <v>6751</v>
      </c>
      <c r="D185" s="6" t="s">
        <v>2606</v>
      </c>
      <c r="E185" s="6" t="s">
        <v>2607</v>
      </c>
      <c r="F185" s="6" t="s">
        <v>6168</v>
      </c>
      <c r="G185" s="6" t="s">
        <v>6145</v>
      </c>
      <c r="H185" s="6"/>
      <c r="I185" s="6"/>
      <c r="J185" s="6"/>
      <c r="K185" s="6"/>
      <c r="L185" s="6" t="s">
        <v>2608</v>
      </c>
      <c r="M185" s="6"/>
      <c r="N185" s="6" t="s">
        <v>2609</v>
      </c>
      <c r="O185" s="6" t="str">
        <f>HYPERLINK("https://ceds.ed.gov/cedselementdetails.aspx?termid=5985")</f>
        <v>https://ceds.ed.gov/cedselementdetails.aspx?termid=5985</v>
      </c>
      <c r="P185" s="6" t="str">
        <f>HYPERLINK("https://ceds.ed.gov/elementComment.aspx?elementName=Facility Licensing Status &amp;elementID=5985", "Click here to submit comment")</f>
        <v>Click here to submit comment</v>
      </c>
    </row>
    <row r="186" spans="1:16" ht="30">
      <c r="A186" s="6" t="s">
        <v>6715</v>
      </c>
      <c r="B186" s="6" t="s">
        <v>6747</v>
      </c>
      <c r="C186" s="6" t="s">
        <v>6751</v>
      </c>
      <c r="D186" s="6" t="s">
        <v>5571</v>
      </c>
      <c r="E186" s="6" t="s">
        <v>5572</v>
      </c>
      <c r="F186" s="6" t="s">
        <v>13</v>
      </c>
      <c r="G186" s="6" t="s">
        <v>65</v>
      </c>
      <c r="H186" s="6"/>
      <c r="I186" s="6" t="s">
        <v>308</v>
      </c>
      <c r="J186" s="6"/>
      <c r="K186" s="6"/>
      <c r="L186" s="6" t="s">
        <v>5573</v>
      </c>
      <c r="M186" s="6"/>
      <c r="N186" s="6" t="s">
        <v>5574</v>
      </c>
      <c r="O186" s="6" t="str">
        <f>HYPERLINK("https://ceds.ed.gov/cedselementdetails.aspx?termid=5865")</f>
        <v>https://ceds.ed.gov/cedselementdetails.aspx?termid=5865</v>
      </c>
      <c r="P186" s="6" t="str">
        <f>HYPERLINK("https://ceds.ed.gov/elementComment.aspx?elementName=State Licensed Facility Capacity &amp;elementID=5865", "Click here to submit comment")</f>
        <v>Click here to submit comment</v>
      </c>
    </row>
    <row r="187" spans="1:16" ht="105">
      <c r="A187" s="6" t="s">
        <v>6715</v>
      </c>
      <c r="B187" s="6" t="s">
        <v>6747</v>
      </c>
      <c r="C187" s="6" t="s">
        <v>6751</v>
      </c>
      <c r="D187" s="6" t="s">
        <v>2416</v>
      </c>
      <c r="E187" s="6" t="s">
        <v>2417</v>
      </c>
      <c r="F187" s="7" t="s">
        <v>6486</v>
      </c>
      <c r="G187" s="6" t="s">
        <v>65</v>
      </c>
      <c r="H187" s="6"/>
      <c r="I187" s="6"/>
      <c r="J187" s="6"/>
      <c r="K187" s="6"/>
      <c r="L187" s="6" t="s">
        <v>2418</v>
      </c>
      <c r="M187" s="6"/>
      <c r="N187" s="6" t="s">
        <v>2419</v>
      </c>
      <c r="O187" s="6" t="str">
        <f>HYPERLINK("https://ceds.ed.gov/cedselementdetails.aspx?termid=5828")</f>
        <v>https://ceds.ed.gov/cedselementdetails.aspx?termid=5828</v>
      </c>
      <c r="P187" s="6" t="str">
        <f>HYPERLINK("https://ceds.ed.gov/elementComment.aspx?elementName=Early Learning Program Licensing Status &amp;elementID=5828", "Click here to submit comment")</f>
        <v>Click here to submit comment</v>
      </c>
    </row>
    <row r="188" spans="1:16" ht="45">
      <c r="A188" s="6" t="s">
        <v>6715</v>
      </c>
      <c r="B188" s="6" t="s">
        <v>6747</v>
      </c>
      <c r="C188" s="6" t="s">
        <v>6751</v>
      </c>
      <c r="D188" s="6" t="s">
        <v>3267</v>
      </c>
      <c r="E188" s="6" t="s">
        <v>3268</v>
      </c>
      <c r="F188" s="6" t="s">
        <v>13</v>
      </c>
      <c r="G188" s="6" t="s">
        <v>6104</v>
      </c>
      <c r="H188" s="6"/>
      <c r="I188" s="6" t="s">
        <v>73</v>
      </c>
      <c r="J188" s="6"/>
      <c r="K188" s="6"/>
      <c r="L188" s="6" t="s">
        <v>3269</v>
      </c>
      <c r="M188" s="6"/>
      <c r="N188" s="6" t="s">
        <v>3270</v>
      </c>
      <c r="O188" s="6" t="str">
        <f>HYPERLINK("https://ceds.ed.gov/cedselementdetails.aspx?termid=5347")</f>
        <v>https://ceds.ed.gov/cedselementdetails.aspx?termid=5347</v>
      </c>
      <c r="P188" s="6" t="str">
        <f>HYPERLINK("https://ceds.ed.gov/elementComment.aspx?elementName=Initial License Date &amp;elementID=5347", "Click here to submit comment")</f>
        <v>Click here to submit comment</v>
      </c>
    </row>
    <row r="189" spans="1:16" ht="45">
      <c r="A189" s="6" t="s">
        <v>6715</v>
      </c>
      <c r="B189" s="6" t="s">
        <v>6747</v>
      </c>
      <c r="C189" s="6" t="s">
        <v>6751</v>
      </c>
      <c r="D189" s="6" t="s">
        <v>1772</v>
      </c>
      <c r="E189" s="6" t="s">
        <v>1773</v>
      </c>
      <c r="F189" s="6" t="s">
        <v>13</v>
      </c>
      <c r="G189" s="6" t="s">
        <v>6104</v>
      </c>
      <c r="H189" s="6"/>
      <c r="I189" s="6" t="s">
        <v>73</v>
      </c>
      <c r="J189" s="6"/>
      <c r="K189" s="6"/>
      <c r="L189" s="6" t="s">
        <v>1775</v>
      </c>
      <c r="M189" s="6"/>
      <c r="N189" s="6" t="s">
        <v>1776</v>
      </c>
      <c r="O189" s="6" t="str">
        <f>HYPERLINK("https://ceds.ed.gov/cedselementdetails.aspx?termid=5348")</f>
        <v>https://ceds.ed.gov/cedselementdetails.aspx?termid=5348</v>
      </c>
      <c r="P189" s="6" t="str">
        <f>HYPERLINK("https://ceds.ed.gov/elementComment.aspx?elementName=Continuing License Date &amp;elementID=5348", "Click here to submit comment")</f>
        <v>Click here to submit comment</v>
      </c>
    </row>
    <row r="190" spans="1:16" ht="60">
      <c r="A190" s="6" t="s">
        <v>6715</v>
      </c>
      <c r="B190" s="6" t="s">
        <v>6747</v>
      </c>
      <c r="C190" s="6" t="s">
        <v>6751</v>
      </c>
      <c r="D190" s="6" t="s">
        <v>3971</v>
      </c>
      <c r="E190" s="6" t="s">
        <v>3972</v>
      </c>
      <c r="F190" s="7" t="s">
        <v>6371</v>
      </c>
      <c r="G190" s="6" t="s">
        <v>6104</v>
      </c>
      <c r="H190" s="6"/>
      <c r="I190" s="6"/>
      <c r="J190" s="6"/>
      <c r="K190" s="6"/>
      <c r="L190" s="6" t="s">
        <v>3973</v>
      </c>
      <c r="M190" s="6"/>
      <c r="N190" s="6" t="s">
        <v>3974</v>
      </c>
      <c r="O190" s="6" t="str">
        <f>HYPERLINK("https://ceds.ed.gov/cedselementdetails.aspx?termid=5349")</f>
        <v>https://ceds.ed.gov/cedselementdetails.aspx?termid=5349</v>
      </c>
      <c r="P190" s="6" t="str">
        <f>HYPERLINK("https://ceds.ed.gov/elementComment.aspx?elementName=License Exempt &amp;elementID=5349", "Click here to submit comment")</f>
        <v>Click here to submit comment</v>
      </c>
    </row>
    <row r="191" spans="1:16" ht="45">
      <c r="A191" s="6" t="s">
        <v>6715</v>
      </c>
      <c r="B191" s="6" t="s">
        <v>6747</v>
      </c>
      <c r="C191" s="6" t="s">
        <v>6751</v>
      </c>
      <c r="D191" s="6" t="s">
        <v>4278</v>
      </c>
      <c r="E191" s="6" t="s">
        <v>4279</v>
      </c>
      <c r="F191" s="6" t="s">
        <v>13</v>
      </c>
      <c r="G191" s="6" t="s">
        <v>65</v>
      </c>
      <c r="H191" s="6"/>
      <c r="I191" s="6" t="s">
        <v>308</v>
      </c>
      <c r="J191" s="6"/>
      <c r="K191" s="6"/>
      <c r="L191" s="6" t="s">
        <v>4280</v>
      </c>
      <c r="M191" s="6"/>
      <c r="N191" s="6" t="s">
        <v>4281</v>
      </c>
      <c r="O191" s="6" t="str">
        <f>HYPERLINK("https://ceds.ed.gov/cedselementdetails.aspx?termid=5835")</f>
        <v>https://ceds.ed.gov/cedselementdetails.aspx?termid=5835</v>
      </c>
      <c r="P191" s="6" t="str">
        <f>HYPERLINK("https://ceds.ed.gov/elementComment.aspx?elementName=Number of Early Learning Fatalities &amp;elementID=5835", "Click here to submit comment")</f>
        <v>Click here to submit comment</v>
      </c>
    </row>
    <row r="192" spans="1:16" ht="45">
      <c r="A192" s="6" t="s">
        <v>6715</v>
      </c>
      <c r="B192" s="6" t="s">
        <v>6747</v>
      </c>
      <c r="C192" s="6" t="s">
        <v>6751</v>
      </c>
      <c r="D192" s="6" t="s">
        <v>4282</v>
      </c>
      <c r="E192" s="6" t="s">
        <v>4283</v>
      </c>
      <c r="F192" s="6" t="s">
        <v>13</v>
      </c>
      <c r="G192" s="6" t="s">
        <v>65</v>
      </c>
      <c r="H192" s="6"/>
      <c r="I192" s="6" t="s">
        <v>308</v>
      </c>
      <c r="J192" s="6"/>
      <c r="K192" s="6"/>
      <c r="L192" s="6" t="s">
        <v>4284</v>
      </c>
      <c r="M192" s="6"/>
      <c r="N192" s="6" t="s">
        <v>4285</v>
      </c>
      <c r="O192" s="6" t="str">
        <f>HYPERLINK("https://ceds.ed.gov/cedselementdetails.aspx?termid=5836")</f>
        <v>https://ceds.ed.gov/cedselementdetails.aspx?termid=5836</v>
      </c>
      <c r="P192" s="6" t="str">
        <f>HYPERLINK("https://ceds.ed.gov/elementComment.aspx?elementName=Number of Early Learning Injuries &amp;elementID=5836", "Click here to submit comment")</f>
        <v>Click here to submit comment</v>
      </c>
    </row>
    <row r="193" spans="1:16" ht="45">
      <c r="A193" s="6" t="s">
        <v>6715</v>
      </c>
      <c r="B193" s="6" t="s">
        <v>6747</v>
      </c>
      <c r="C193" s="6" t="s">
        <v>6751</v>
      </c>
      <c r="D193" s="6" t="s">
        <v>2412</v>
      </c>
      <c r="E193" s="6" t="s">
        <v>2413</v>
      </c>
      <c r="F193" s="6" t="s">
        <v>5963</v>
      </c>
      <c r="G193" s="6" t="s">
        <v>65</v>
      </c>
      <c r="H193" s="6"/>
      <c r="I193" s="6"/>
      <c r="J193" s="6"/>
      <c r="K193" s="6"/>
      <c r="L193" s="6" t="s">
        <v>2414</v>
      </c>
      <c r="M193" s="6"/>
      <c r="N193" s="6" t="s">
        <v>2415</v>
      </c>
      <c r="O193" s="6" t="str">
        <f>HYPERLINK("https://ceds.ed.gov/cedselementdetails.aspx?termid=5837")</f>
        <v>https://ceds.ed.gov/cedselementdetails.aspx?termid=5837</v>
      </c>
      <c r="P193" s="6" t="str">
        <f>HYPERLINK("https://ceds.ed.gov/elementComment.aspx?elementName=Early Learning Program License Suspension Status &amp;elementID=5837", "Click here to submit comment")</f>
        <v>Click here to submit comment</v>
      </c>
    </row>
    <row r="194" spans="1:16" ht="45">
      <c r="A194" s="6" t="s">
        <v>6715</v>
      </c>
      <c r="B194" s="6" t="s">
        <v>6747</v>
      </c>
      <c r="C194" s="6" t="s">
        <v>6751</v>
      </c>
      <c r="D194" s="6" t="s">
        <v>2408</v>
      </c>
      <c r="E194" s="6" t="s">
        <v>2409</v>
      </c>
      <c r="F194" s="6" t="s">
        <v>5963</v>
      </c>
      <c r="G194" s="6" t="s">
        <v>65</v>
      </c>
      <c r="H194" s="6"/>
      <c r="I194" s="6"/>
      <c r="J194" s="6"/>
      <c r="K194" s="6"/>
      <c r="L194" s="6" t="s">
        <v>2410</v>
      </c>
      <c r="M194" s="6"/>
      <c r="N194" s="6" t="s">
        <v>2411</v>
      </c>
      <c r="O194" s="6" t="str">
        <f>HYPERLINK("https://ceds.ed.gov/cedselementdetails.aspx?termid=5838")</f>
        <v>https://ceds.ed.gov/cedselementdetails.aspx?termid=5838</v>
      </c>
      <c r="P194" s="6" t="str">
        <f>HYPERLINK("https://ceds.ed.gov/elementComment.aspx?elementName=Early Learning Program License Revocation Status &amp;elementID=5838", "Click here to submit comment")</f>
        <v>Click here to submit comment</v>
      </c>
    </row>
    <row r="195" spans="1:16" ht="30">
      <c r="A195" s="6" t="s">
        <v>6715</v>
      </c>
      <c r="B195" s="6" t="s">
        <v>6747</v>
      </c>
      <c r="C195" s="6" t="s">
        <v>6752</v>
      </c>
      <c r="D195" s="6" t="s">
        <v>4321</v>
      </c>
      <c r="E195" s="6" t="s">
        <v>4322</v>
      </c>
      <c r="F195" s="6" t="s">
        <v>13</v>
      </c>
      <c r="G195" s="6" t="s">
        <v>6104</v>
      </c>
      <c r="H195" s="6"/>
      <c r="I195" s="6" t="s">
        <v>73</v>
      </c>
      <c r="J195" s="6"/>
      <c r="K195" s="6"/>
      <c r="L195" s="6" t="s">
        <v>4323</v>
      </c>
      <c r="M195" s="6"/>
      <c r="N195" s="6" t="s">
        <v>4324</v>
      </c>
      <c r="O195" s="6" t="str">
        <f>HYPERLINK("https://ceds.ed.gov/cedselementdetails.aspx?termid=5350")</f>
        <v>https://ceds.ed.gov/cedselementdetails.aspx?termid=5350</v>
      </c>
      <c r="P195" s="6" t="str">
        <f>HYPERLINK("https://ceds.ed.gov/elementComment.aspx?elementName=Operation Date &amp;elementID=5350", "Click here to submit comment")</f>
        <v>Click here to submit comment</v>
      </c>
    </row>
    <row r="196" spans="1:16" ht="180">
      <c r="A196" s="6" t="s">
        <v>6715</v>
      </c>
      <c r="B196" s="6" t="s">
        <v>6747</v>
      </c>
      <c r="C196" s="6" t="s">
        <v>6752</v>
      </c>
      <c r="D196" s="6" t="s">
        <v>5305</v>
      </c>
      <c r="E196" s="6" t="s">
        <v>5306</v>
      </c>
      <c r="F196" s="7" t="s">
        <v>6654</v>
      </c>
      <c r="G196" s="6" t="s">
        <v>6129</v>
      </c>
      <c r="H196" s="6"/>
      <c r="I196" s="6"/>
      <c r="J196" s="6"/>
      <c r="K196" s="6"/>
      <c r="L196" s="6" t="s">
        <v>5307</v>
      </c>
      <c r="M196" s="6"/>
      <c r="N196" s="6" t="s">
        <v>5308</v>
      </c>
      <c r="O196" s="6" t="str">
        <f>HYPERLINK("https://ceds.ed.gov/cedselementdetails.aspx?termid=5352")</f>
        <v>https://ceds.ed.gov/cedselementdetails.aspx?termid=5352</v>
      </c>
      <c r="P196" s="6" t="str">
        <f>HYPERLINK("https://ceds.ed.gov/elementComment.aspx?elementName=Service Option Variation &amp;elementID=5352", "Click here to submit comment")</f>
        <v>Click here to submit comment</v>
      </c>
    </row>
    <row r="197" spans="1:16" ht="60">
      <c r="A197" s="6" t="s">
        <v>6715</v>
      </c>
      <c r="B197" s="6" t="s">
        <v>6747</v>
      </c>
      <c r="C197" s="6" t="s">
        <v>6752</v>
      </c>
      <c r="D197" s="6" t="s">
        <v>3015</v>
      </c>
      <c r="E197" s="6" t="s">
        <v>3016</v>
      </c>
      <c r="F197" s="6" t="s">
        <v>13</v>
      </c>
      <c r="G197" s="6" t="s">
        <v>6129</v>
      </c>
      <c r="H197" s="6"/>
      <c r="I197" s="6" t="s">
        <v>1461</v>
      </c>
      <c r="J197" s="6"/>
      <c r="K197" s="6"/>
      <c r="L197" s="6" t="s">
        <v>3017</v>
      </c>
      <c r="M197" s="6"/>
      <c r="N197" s="6" t="s">
        <v>3018</v>
      </c>
      <c r="O197" s="6" t="str">
        <f>HYPERLINK("https://ceds.ed.gov/cedselementdetails.aspx?termid=5353")</f>
        <v>https://ceds.ed.gov/cedselementdetails.aspx?termid=5353</v>
      </c>
      <c r="P197" s="6" t="str">
        <f>HYPERLINK("https://ceds.ed.gov/elementComment.aspx?elementName=Hours Available Per Day &amp;elementID=5353", "Click here to submit comment")</f>
        <v>Click here to submit comment</v>
      </c>
    </row>
    <row r="198" spans="1:16" ht="60">
      <c r="A198" s="6" t="s">
        <v>6715</v>
      </c>
      <c r="B198" s="6" t="s">
        <v>6747</v>
      </c>
      <c r="C198" s="6" t="s">
        <v>6752</v>
      </c>
      <c r="D198" s="6" t="s">
        <v>2110</v>
      </c>
      <c r="E198" s="6" t="s">
        <v>2111</v>
      </c>
      <c r="F198" s="6" t="s">
        <v>13</v>
      </c>
      <c r="G198" s="6" t="s">
        <v>6129</v>
      </c>
      <c r="H198" s="6"/>
      <c r="I198" s="6" t="s">
        <v>308</v>
      </c>
      <c r="J198" s="6"/>
      <c r="K198" s="6"/>
      <c r="L198" s="6" t="s">
        <v>2112</v>
      </c>
      <c r="M198" s="6"/>
      <c r="N198" s="6" t="s">
        <v>2113</v>
      </c>
      <c r="O198" s="6" t="str">
        <f>HYPERLINK("https://ceds.ed.gov/cedselementdetails.aspx?termid=5354")</f>
        <v>https://ceds.ed.gov/cedselementdetails.aspx?termid=5354</v>
      </c>
      <c r="P198" s="6" t="str">
        <f>HYPERLINK("https://ceds.ed.gov/elementComment.aspx?elementName=Days Available Per Week &amp;elementID=5354", "Click here to submit comment")</f>
        <v>Click here to submit comment</v>
      </c>
    </row>
    <row r="199" spans="1:16" ht="240">
      <c r="A199" s="6" t="s">
        <v>6715</v>
      </c>
      <c r="B199" s="6" t="s">
        <v>6747</v>
      </c>
      <c r="C199" s="6" t="s">
        <v>6752</v>
      </c>
      <c r="D199" s="6" t="s">
        <v>2307</v>
      </c>
      <c r="E199" s="6" t="s">
        <v>2308</v>
      </c>
      <c r="F199" s="7" t="s">
        <v>6472</v>
      </c>
      <c r="G199" s="6" t="s">
        <v>6129</v>
      </c>
      <c r="H199" s="6" t="s">
        <v>66</v>
      </c>
      <c r="I199" s="6"/>
      <c r="J199" s="6" t="s">
        <v>2309</v>
      </c>
      <c r="K199" s="6"/>
      <c r="L199" s="6" t="s">
        <v>2310</v>
      </c>
      <c r="M199" s="6"/>
      <c r="N199" s="6" t="s">
        <v>2311</v>
      </c>
      <c r="O199" s="6" t="str">
        <f>HYPERLINK("https://ceds.ed.gov/cedselementdetails.aspx?termid=5355")</f>
        <v>https://ceds.ed.gov/cedselementdetails.aspx?termid=5355</v>
      </c>
      <c r="P199" s="6" t="str">
        <f>HYPERLINK("https://ceds.ed.gov/elementComment.aspx?elementName=Early Childhood Setting &amp;elementID=5355", "Click here to submit comment")</f>
        <v>Click here to submit comment</v>
      </c>
    </row>
    <row r="200" spans="1:16" ht="45">
      <c r="A200" s="6" t="s">
        <v>6715</v>
      </c>
      <c r="B200" s="6" t="s">
        <v>6747</v>
      </c>
      <c r="C200" s="6" t="s">
        <v>6752</v>
      </c>
      <c r="D200" s="6" t="s">
        <v>4249</v>
      </c>
      <c r="E200" s="6" t="s">
        <v>4250</v>
      </c>
      <c r="F200" s="6" t="s">
        <v>13</v>
      </c>
      <c r="G200" s="6" t="s">
        <v>65</v>
      </c>
      <c r="H200" s="6"/>
      <c r="I200" s="6" t="s">
        <v>308</v>
      </c>
      <c r="J200" s="6"/>
      <c r="K200" s="6"/>
      <c r="L200" s="6" t="s">
        <v>4251</v>
      </c>
      <c r="M200" s="6"/>
      <c r="N200" s="6" t="s">
        <v>4252</v>
      </c>
      <c r="O200" s="6" t="str">
        <f>HYPERLINK("https://ceds.ed.gov/cedselementdetails.aspx?termid=5844")</f>
        <v>https://ceds.ed.gov/cedselementdetails.aspx?termid=5844</v>
      </c>
      <c r="P200" s="6" t="str">
        <f>HYPERLINK("https://ceds.ed.gov/elementComment.aspx?elementName=Number of Classrooms &amp;elementID=5844", "Click here to submit comment")</f>
        <v>Click here to submit comment</v>
      </c>
    </row>
    <row r="201" spans="1:16" ht="60">
      <c r="A201" s="6" t="s">
        <v>6715</v>
      </c>
      <c r="B201" s="6" t="s">
        <v>6747</v>
      </c>
      <c r="C201" s="6" t="s">
        <v>6752</v>
      </c>
      <c r="D201" s="6" t="s">
        <v>2428</v>
      </c>
      <c r="E201" s="6" t="s">
        <v>2429</v>
      </c>
      <c r="F201" s="6" t="s">
        <v>13</v>
      </c>
      <c r="G201" s="6" t="s">
        <v>6143</v>
      </c>
      <c r="H201" s="6"/>
      <c r="I201" s="6" t="s">
        <v>575</v>
      </c>
      <c r="J201" s="6"/>
      <c r="K201" s="6"/>
      <c r="L201" s="6" t="s">
        <v>2430</v>
      </c>
      <c r="M201" s="6"/>
      <c r="N201" s="6" t="s">
        <v>2431</v>
      </c>
      <c r="O201" s="6" t="str">
        <f>HYPERLINK("https://ceds.ed.gov/cedselementdetails.aspx?termid=5626")</f>
        <v>https://ceds.ed.gov/cedselementdetails.aspx?termid=5626</v>
      </c>
      <c r="P201" s="6" t="str">
        <f>HYPERLINK("https://ceds.ed.gov/elementComment.aspx?elementName=Early Learning Youngest Age Authorized to Serve &amp;elementID=5626", "Click here to submit comment")</f>
        <v>Click here to submit comment</v>
      </c>
    </row>
    <row r="202" spans="1:16" ht="60">
      <c r="A202" s="6" t="s">
        <v>6715</v>
      </c>
      <c r="B202" s="6" t="s">
        <v>6747</v>
      </c>
      <c r="C202" s="6" t="s">
        <v>6752</v>
      </c>
      <c r="D202" s="6" t="s">
        <v>2359</v>
      </c>
      <c r="E202" s="6" t="s">
        <v>2360</v>
      </c>
      <c r="F202" s="6" t="s">
        <v>13</v>
      </c>
      <c r="G202" s="6" t="s">
        <v>6143</v>
      </c>
      <c r="H202" s="6"/>
      <c r="I202" s="6" t="s">
        <v>575</v>
      </c>
      <c r="J202" s="6"/>
      <c r="K202" s="6"/>
      <c r="L202" s="6" t="s">
        <v>2361</v>
      </c>
      <c r="M202" s="6"/>
      <c r="N202" s="6" t="s">
        <v>2362</v>
      </c>
      <c r="O202" s="6" t="str">
        <f>HYPERLINK("https://ceds.ed.gov/cedselementdetails.aspx?termid=6189")</f>
        <v>https://ceds.ed.gov/cedselementdetails.aspx?termid=6189</v>
      </c>
      <c r="P202" s="6" t="str">
        <f>HYPERLINK("https://ceds.ed.gov/elementComment.aspx?elementName=Early Learning Oldest Age Authorized to Serve &amp;elementID=6189", "Click here to submit comment")</f>
        <v>Click here to submit comment</v>
      </c>
    </row>
    <row r="203" spans="1:16" ht="180">
      <c r="A203" s="6" t="s">
        <v>6715</v>
      </c>
      <c r="B203" s="6" t="s">
        <v>6747</v>
      </c>
      <c r="C203" s="6" t="s">
        <v>6752</v>
      </c>
      <c r="D203" s="6" t="s">
        <v>5398</v>
      </c>
      <c r="E203" s="6" t="s">
        <v>5399</v>
      </c>
      <c r="F203" s="7" t="s">
        <v>6658</v>
      </c>
      <c r="G203" s="6" t="s">
        <v>65</v>
      </c>
      <c r="H203" s="6"/>
      <c r="I203" s="6"/>
      <c r="J203" s="6"/>
      <c r="K203" s="6"/>
      <c r="L203" s="6" t="s">
        <v>5400</v>
      </c>
      <c r="M203" s="6"/>
      <c r="N203" s="6" t="s">
        <v>5401</v>
      </c>
      <c r="O203" s="6" t="str">
        <f>HYPERLINK("https://ceds.ed.gov/cedselementdetails.aspx?termid=5852")</f>
        <v>https://ceds.ed.gov/cedselementdetails.aspx?termid=5852</v>
      </c>
      <c r="P203" s="6" t="str">
        <f>HYPERLINK("https://ceds.ed.gov/elementComment.aspx?elementName=Special Circumstances Population Served &amp;elementID=5852", "Click here to submit comment")</f>
        <v>Click here to submit comment</v>
      </c>
    </row>
    <row r="204" spans="1:16" ht="409.5">
      <c r="A204" s="6" t="s">
        <v>6715</v>
      </c>
      <c r="B204" s="6" t="s">
        <v>6747</v>
      </c>
      <c r="C204" s="6" t="s">
        <v>6752</v>
      </c>
      <c r="D204" s="6" t="s">
        <v>2437</v>
      </c>
      <c r="E204" s="6" t="s">
        <v>2438</v>
      </c>
      <c r="F204" s="7" t="s">
        <v>6487</v>
      </c>
      <c r="G204" s="6" t="s">
        <v>6145</v>
      </c>
      <c r="H204" s="6"/>
      <c r="I204" s="6"/>
      <c r="J204" s="6"/>
      <c r="K204" s="6"/>
      <c r="L204" s="6" t="s">
        <v>2440</v>
      </c>
      <c r="M204" s="6" t="s">
        <v>2441</v>
      </c>
      <c r="N204" s="6" t="s">
        <v>2442</v>
      </c>
      <c r="O204" s="6" t="str">
        <f>HYPERLINK("https://ceds.ed.gov/cedselementdetails.aspx?termid=5862")</f>
        <v>https://ceds.ed.gov/cedselementdetails.aspx?termid=5862</v>
      </c>
      <c r="P204" s="6" t="str">
        <f>HYPERLINK("https://ceds.ed.gov/elementComment.aspx?elementName=Economic Research Service Rural-Urban Continuum Code &amp;elementID=5862", "Click here to submit comment")</f>
        <v>Click here to submit comment</v>
      </c>
    </row>
    <row r="205" spans="1:16" ht="120">
      <c r="A205" s="6" t="s">
        <v>6715</v>
      </c>
      <c r="B205" s="6" t="s">
        <v>6747</v>
      </c>
      <c r="C205" s="6" t="s">
        <v>6753</v>
      </c>
      <c r="D205" s="6" t="s">
        <v>4950</v>
      </c>
      <c r="E205" s="6" t="s">
        <v>4951</v>
      </c>
      <c r="F205" s="7" t="s">
        <v>6634</v>
      </c>
      <c r="G205" s="6" t="s">
        <v>4952</v>
      </c>
      <c r="H205" s="6"/>
      <c r="I205" s="6"/>
      <c r="J205" s="6"/>
      <c r="K205" s="6"/>
      <c r="L205" s="6" t="s">
        <v>4953</v>
      </c>
      <c r="M205" s="6" t="s">
        <v>4954</v>
      </c>
      <c r="N205" s="6" t="s">
        <v>4955</v>
      </c>
      <c r="O205" s="6" t="str">
        <f>HYPERLINK("https://ceds.ed.gov/cedselementdetails.aspx?termid=5356")</f>
        <v>https://ceds.ed.gov/cedselementdetails.aspx?termid=5356</v>
      </c>
      <c r="P205" s="6" t="str">
        <f>HYPERLINK("https://ceds.ed.gov/elementComment.aspx?elementName=Quality Rating and Improvement System Participation &amp;elementID=5356", "Click here to submit comment")</f>
        <v>Click here to submit comment</v>
      </c>
    </row>
    <row r="206" spans="1:16" ht="45">
      <c r="A206" s="6" t="s">
        <v>6715</v>
      </c>
      <c r="B206" s="6" t="s">
        <v>6747</v>
      </c>
      <c r="C206" s="6" t="s">
        <v>6753</v>
      </c>
      <c r="D206" s="6" t="s">
        <v>4956</v>
      </c>
      <c r="E206" s="6" t="s">
        <v>4957</v>
      </c>
      <c r="F206" s="6" t="s">
        <v>13</v>
      </c>
      <c r="G206" s="6" t="s">
        <v>4952</v>
      </c>
      <c r="H206" s="6"/>
      <c r="I206" s="6" t="s">
        <v>1249</v>
      </c>
      <c r="J206" s="6"/>
      <c r="K206" s="6"/>
      <c r="L206" s="6" t="s">
        <v>4958</v>
      </c>
      <c r="M206" s="6" t="s">
        <v>4959</v>
      </c>
      <c r="N206" s="6" t="s">
        <v>4960</v>
      </c>
      <c r="O206" s="6" t="str">
        <f>HYPERLINK("https://ceds.ed.gov/cedselementdetails.aspx?termid=5357")</f>
        <v>https://ceds.ed.gov/cedselementdetails.aspx?termid=5357</v>
      </c>
      <c r="P206" s="6" t="str">
        <f>HYPERLINK("https://ceds.ed.gov/elementComment.aspx?elementName=Quality Rating and Improvement System Score &amp;elementID=5357", "Click here to submit comment")</f>
        <v>Click here to submit comment</v>
      </c>
    </row>
    <row r="207" spans="1:16" ht="60">
      <c r="A207" s="6" t="s">
        <v>6715</v>
      </c>
      <c r="B207" s="6" t="s">
        <v>6747</v>
      </c>
      <c r="C207" s="6" t="s">
        <v>6753</v>
      </c>
      <c r="D207" s="6" t="s">
        <v>4940</v>
      </c>
      <c r="E207" s="6" t="s">
        <v>4941</v>
      </c>
      <c r="F207" s="6" t="s">
        <v>13</v>
      </c>
      <c r="G207" s="6" t="s">
        <v>65</v>
      </c>
      <c r="H207" s="6"/>
      <c r="I207" s="6" t="s">
        <v>73</v>
      </c>
      <c r="J207" s="6"/>
      <c r="K207" s="6"/>
      <c r="L207" s="6" t="s">
        <v>4942</v>
      </c>
      <c r="M207" s="6" t="s">
        <v>4943</v>
      </c>
      <c r="N207" s="6" t="s">
        <v>4944</v>
      </c>
      <c r="O207" s="6" t="str">
        <f>HYPERLINK("https://ceds.ed.gov/cedselementdetails.aspx?termid=5830")</f>
        <v>https://ceds.ed.gov/cedselementdetails.aspx?termid=5830</v>
      </c>
      <c r="P207" s="6" t="str">
        <f>HYPERLINK("https://ceds.ed.gov/elementComment.aspx?elementName=Quality Rating and Improvement System Award Date &amp;elementID=5830", "Click here to submit comment")</f>
        <v>Click here to submit comment</v>
      </c>
    </row>
    <row r="208" spans="1:16" ht="60">
      <c r="A208" s="6" t="s">
        <v>6715</v>
      </c>
      <c r="B208" s="6" t="s">
        <v>6747</v>
      </c>
      <c r="C208" s="6" t="s">
        <v>6753</v>
      </c>
      <c r="D208" s="6" t="s">
        <v>4945</v>
      </c>
      <c r="E208" s="6" t="s">
        <v>4946</v>
      </c>
      <c r="F208" s="6" t="s">
        <v>13</v>
      </c>
      <c r="G208" s="6" t="s">
        <v>65</v>
      </c>
      <c r="H208" s="6"/>
      <c r="I208" s="6" t="s">
        <v>73</v>
      </c>
      <c r="J208" s="6"/>
      <c r="K208" s="6"/>
      <c r="L208" s="6" t="s">
        <v>4947</v>
      </c>
      <c r="M208" s="6" t="s">
        <v>4948</v>
      </c>
      <c r="N208" s="6" t="s">
        <v>4949</v>
      </c>
      <c r="O208" s="6" t="str">
        <f>HYPERLINK("https://ceds.ed.gov/cedselementdetails.aspx?termid=5831")</f>
        <v>https://ceds.ed.gov/cedselementdetails.aspx?termid=5831</v>
      </c>
      <c r="P208" s="6" t="str">
        <f>HYPERLINK("https://ceds.ed.gov/elementComment.aspx?elementName=Quality Rating and Improvement System Expiration Date &amp;elementID=5831", "Click here to submit comment")</f>
        <v>Click here to submit comment</v>
      </c>
    </row>
    <row r="209" spans="1:16" ht="60">
      <c r="A209" s="6" t="s">
        <v>6715</v>
      </c>
      <c r="B209" s="6" t="s">
        <v>6747</v>
      </c>
      <c r="C209" s="6" t="s">
        <v>6753</v>
      </c>
      <c r="D209" s="6" t="s">
        <v>4302</v>
      </c>
      <c r="E209" s="6" t="s">
        <v>4303</v>
      </c>
      <c r="F209" s="6" t="s">
        <v>13</v>
      </c>
      <c r="G209" s="6" t="s">
        <v>65</v>
      </c>
      <c r="H209" s="6"/>
      <c r="I209" s="6" t="s">
        <v>308</v>
      </c>
      <c r="J209" s="6"/>
      <c r="K209" s="6"/>
      <c r="L209" s="6" t="s">
        <v>4305</v>
      </c>
      <c r="M209" s="6" t="s">
        <v>4306</v>
      </c>
      <c r="N209" s="6" t="s">
        <v>4307</v>
      </c>
      <c r="O209" s="6" t="str">
        <f>HYPERLINK("https://ceds.ed.gov/cedselementdetails.aspx?termid=5843")</f>
        <v>https://ceds.ed.gov/cedselementdetails.aspx?termid=5843</v>
      </c>
      <c r="P209" s="6" t="str">
        <f>HYPERLINK("https://ceds.ed.gov/elementComment.aspx?elementName=Number of Quality Rating and Improvement System Levels &amp;elementID=5843", "Click here to submit comment")</f>
        <v>Click here to submit comment</v>
      </c>
    </row>
    <row r="210" spans="1:16" ht="105">
      <c r="A210" s="6" t="s">
        <v>6715</v>
      </c>
      <c r="B210" s="6" t="s">
        <v>6747</v>
      </c>
      <c r="C210" s="6" t="s">
        <v>6754</v>
      </c>
      <c r="D210" s="6" t="s">
        <v>2610</v>
      </c>
      <c r="E210" s="6" t="s">
        <v>2611</v>
      </c>
      <c r="F210" s="7" t="s">
        <v>6503</v>
      </c>
      <c r="G210" s="6" t="s">
        <v>65</v>
      </c>
      <c r="H210" s="6"/>
      <c r="I210" s="6"/>
      <c r="J210" s="6"/>
      <c r="K210" s="6"/>
      <c r="L210" s="6" t="s">
        <v>2613</v>
      </c>
      <c r="M210" s="6"/>
      <c r="N210" s="6" t="s">
        <v>2614</v>
      </c>
      <c r="O210" s="6" t="str">
        <f>HYPERLINK("https://ceds.ed.gov/cedselementdetails.aspx?termid=5834")</f>
        <v>https://ceds.ed.gov/cedselementdetails.aspx?termid=5834</v>
      </c>
      <c r="P210" s="6" t="str">
        <f>HYPERLINK("https://ceds.ed.gov/elementComment.aspx?elementName=Facility Profit Status &amp;elementID=5834", "Click here to submit comment")</f>
        <v>Click here to submit comment</v>
      </c>
    </row>
    <row r="211" spans="1:16" ht="45">
      <c r="A211" s="6" t="s">
        <v>6715</v>
      </c>
      <c r="B211" s="6" t="s">
        <v>6747</v>
      </c>
      <c r="C211" s="6" t="s">
        <v>6755</v>
      </c>
      <c r="D211" s="6" t="s">
        <v>4286</v>
      </c>
      <c r="E211" s="6" t="s">
        <v>4287</v>
      </c>
      <c r="F211" s="6" t="s">
        <v>13</v>
      </c>
      <c r="G211" s="6" t="s">
        <v>65</v>
      </c>
      <c r="H211" s="6"/>
      <c r="I211" s="6" t="s">
        <v>308</v>
      </c>
      <c r="J211" s="6"/>
      <c r="K211" s="6"/>
      <c r="L211" s="6" t="s">
        <v>4288</v>
      </c>
      <c r="M211" s="6"/>
      <c r="N211" s="6" t="s">
        <v>4289</v>
      </c>
      <c r="O211" s="6" t="str">
        <f>HYPERLINK("https://ceds.ed.gov/cedselementdetails.aspx?termid=5839")</f>
        <v>https://ceds.ed.gov/cedselementdetails.aspx?termid=5839</v>
      </c>
      <c r="P211" s="6" t="str">
        <f>HYPERLINK("https://ceds.ed.gov/elementComment.aspx?elementName=Number of Early Learning Program Monitoring Visits &amp;elementID=5839", "Click here to submit comment")</f>
        <v>Click here to submit comment</v>
      </c>
    </row>
    <row r="212" spans="1:16" ht="30">
      <c r="A212" s="6" t="s">
        <v>6715</v>
      </c>
      <c r="B212" s="6" t="s">
        <v>6747</v>
      </c>
      <c r="C212" s="6" t="s">
        <v>6755</v>
      </c>
      <c r="D212" s="6" t="s">
        <v>4164</v>
      </c>
      <c r="E212" s="6" t="s">
        <v>4165</v>
      </c>
      <c r="F212" s="6" t="s">
        <v>13</v>
      </c>
      <c r="G212" s="6"/>
      <c r="H212" s="6" t="s">
        <v>54</v>
      </c>
      <c r="I212" s="6" t="s">
        <v>73</v>
      </c>
      <c r="J212" s="6"/>
      <c r="K212" s="6"/>
      <c r="L212" s="6" t="s">
        <v>4167</v>
      </c>
      <c r="M212" s="6"/>
      <c r="N212" s="6" t="s">
        <v>4168</v>
      </c>
      <c r="O212" s="6" t="str">
        <f>HYPERLINK("https://ceds.ed.gov/cedselementdetails.aspx?termid=6298")</f>
        <v>https://ceds.ed.gov/cedselementdetails.aspx?termid=6298</v>
      </c>
      <c r="P212" s="6" t="str">
        <f>HYPERLINK("https://ceds.ed.gov/elementComment.aspx?elementName=Monitoring Visit End Date &amp;elementID=6298", "Click here to submit comment")</f>
        <v>Click here to submit comment</v>
      </c>
    </row>
    <row r="213" spans="1:16" ht="30">
      <c r="A213" s="6" t="s">
        <v>6715</v>
      </c>
      <c r="B213" s="6" t="s">
        <v>6747</v>
      </c>
      <c r="C213" s="6" t="s">
        <v>6755</v>
      </c>
      <c r="D213" s="6" t="s">
        <v>4169</v>
      </c>
      <c r="E213" s="6" t="s">
        <v>4170</v>
      </c>
      <c r="F213" s="6" t="s">
        <v>13</v>
      </c>
      <c r="G213" s="6"/>
      <c r="H213" s="6" t="s">
        <v>54</v>
      </c>
      <c r="I213" s="6" t="s">
        <v>73</v>
      </c>
      <c r="J213" s="6"/>
      <c r="K213" s="6"/>
      <c r="L213" s="6" t="s">
        <v>4171</v>
      </c>
      <c r="M213" s="6"/>
      <c r="N213" s="6" t="s">
        <v>4172</v>
      </c>
      <c r="O213" s="6" t="str">
        <f>HYPERLINK("https://ceds.ed.gov/cedselementdetails.aspx?termid=6297")</f>
        <v>https://ceds.ed.gov/cedselementdetails.aspx?termid=6297</v>
      </c>
      <c r="P213" s="6" t="str">
        <f>HYPERLINK("https://ceds.ed.gov/elementComment.aspx?elementName=Monitoring Visit Start Date &amp;elementID=6297", "Click here to submit comment")</f>
        <v>Click here to submit comment</v>
      </c>
    </row>
    <row r="214" spans="1:16" ht="45">
      <c r="A214" s="6" t="s">
        <v>6715</v>
      </c>
      <c r="B214" s="6" t="s">
        <v>6747</v>
      </c>
      <c r="C214" s="6" t="s">
        <v>6755</v>
      </c>
      <c r="D214" s="6" t="s">
        <v>4345</v>
      </c>
      <c r="E214" s="6" t="s">
        <v>4346</v>
      </c>
      <c r="F214" s="6" t="s">
        <v>6265</v>
      </c>
      <c r="G214" s="6"/>
      <c r="H214" s="6" t="s">
        <v>54</v>
      </c>
      <c r="I214" s="6"/>
      <c r="J214" s="6"/>
      <c r="K214" s="6"/>
      <c r="L214" s="6" t="s">
        <v>4347</v>
      </c>
      <c r="M214" s="6"/>
      <c r="N214" s="6" t="s">
        <v>4348</v>
      </c>
      <c r="O214" s="6" t="str">
        <f>HYPERLINK("https://ceds.ed.gov/cedselementdetails.aspx?termid=6296")</f>
        <v>https://ceds.ed.gov/cedselementdetails.aspx?termid=6296</v>
      </c>
      <c r="P214" s="6" t="str">
        <f>HYPERLINK("https://ceds.ed.gov/elementComment.aspx?elementName=Organization Monitoring Notifications &amp;elementID=6296", "Click here to submit comment")</f>
        <v>Click here to submit comment</v>
      </c>
    </row>
    <row r="215" spans="1:16" ht="30">
      <c r="A215" s="6" t="s">
        <v>6715</v>
      </c>
      <c r="B215" s="6" t="s">
        <v>6747</v>
      </c>
      <c r="C215" s="6" t="s">
        <v>6755</v>
      </c>
      <c r="D215" s="6" t="s">
        <v>4367</v>
      </c>
      <c r="E215" s="6" t="s">
        <v>4368</v>
      </c>
      <c r="F215" s="6" t="s">
        <v>13</v>
      </c>
      <c r="G215" s="6"/>
      <c r="H215" s="6" t="s">
        <v>54</v>
      </c>
      <c r="I215" s="6" t="s">
        <v>93</v>
      </c>
      <c r="J215" s="6"/>
      <c r="K215" s="6"/>
      <c r="L215" s="6" t="s">
        <v>4369</v>
      </c>
      <c r="M215" s="6"/>
      <c r="N215" s="6" t="s">
        <v>4370</v>
      </c>
      <c r="O215" s="6" t="str">
        <f>HYPERLINK("https://ceds.ed.gov/cedselementdetails.aspx?termid=6300")</f>
        <v>https://ceds.ed.gov/cedselementdetails.aspx?termid=6300</v>
      </c>
      <c r="P215" s="6" t="str">
        <f>HYPERLINK("https://ceds.ed.gov/elementComment.aspx?elementName=Organization Type of Monitoring &amp;elementID=6300", "Click here to submit comment")</f>
        <v>Click here to submit comment</v>
      </c>
    </row>
    <row r="216" spans="1:16" ht="120">
      <c r="A216" s="6" t="s">
        <v>6715</v>
      </c>
      <c r="B216" s="6" t="s">
        <v>6747</v>
      </c>
      <c r="C216" s="6" t="s">
        <v>6755</v>
      </c>
      <c r="D216" s="6" t="s">
        <v>4899</v>
      </c>
      <c r="E216" s="6" t="s">
        <v>4900</v>
      </c>
      <c r="F216" s="7" t="s">
        <v>6632</v>
      </c>
      <c r="G216" s="6"/>
      <c r="H216" s="6" t="s">
        <v>54</v>
      </c>
      <c r="I216" s="6"/>
      <c r="J216" s="6"/>
      <c r="K216" s="6"/>
      <c r="L216" s="6" t="s">
        <v>4901</v>
      </c>
      <c r="M216" s="6"/>
      <c r="N216" s="6" t="s">
        <v>4902</v>
      </c>
      <c r="O216" s="6" t="str">
        <f>HYPERLINK("https://ceds.ed.gov/cedselementdetails.aspx?termid=6299")</f>
        <v>https://ceds.ed.gov/cedselementdetails.aspx?termid=6299</v>
      </c>
      <c r="P216" s="6" t="str">
        <f>HYPERLINK("https://ceds.ed.gov/elementComment.aspx?elementName=Purpose of Monitoring Visit &amp;elementID=6299", "Click here to submit comment")</f>
        <v>Click here to submit comment</v>
      </c>
    </row>
    <row r="217" spans="1:16" ht="345">
      <c r="A217" s="6" t="s">
        <v>6715</v>
      </c>
      <c r="B217" s="6" t="s">
        <v>6747</v>
      </c>
      <c r="C217" s="6" t="s">
        <v>6756</v>
      </c>
      <c r="D217" s="6" t="s">
        <v>62</v>
      </c>
      <c r="E217" s="6" t="s">
        <v>63</v>
      </c>
      <c r="F217" s="7" t="s">
        <v>6351</v>
      </c>
      <c r="G217" s="6" t="s">
        <v>65</v>
      </c>
      <c r="H217" s="6" t="s">
        <v>66</v>
      </c>
      <c r="I217" s="6"/>
      <c r="J217" s="6" t="s">
        <v>67</v>
      </c>
      <c r="K217" s="6" t="s">
        <v>68</v>
      </c>
      <c r="L217" s="6" t="s">
        <v>69</v>
      </c>
      <c r="M217" s="6"/>
      <c r="N217" s="6" t="s">
        <v>70</v>
      </c>
      <c r="O217" s="6" t="str">
        <f>HYPERLINK("https://ceds.ed.gov/cedselementdetails.aspx?termid=5983")</f>
        <v>https://ceds.ed.gov/cedselementdetails.aspx?termid=5983</v>
      </c>
      <c r="P217" s="6" t="str">
        <f>HYPERLINK("https://ceds.ed.gov/elementComment.aspx?elementName=Accreditation Agency &amp;elementID=5983", "Click here to submit comment")</f>
        <v>Click here to submit comment</v>
      </c>
    </row>
    <row r="218" spans="1:16" ht="30">
      <c r="A218" s="6" t="s">
        <v>6715</v>
      </c>
      <c r="B218" s="6" t="s">
        <v>6747</v>
      </c>
      <c r="C218" s="6" t="s">
        <v>6756</v>
      </c>
      <c r="D218" s="6" t="s">
        <v>71</v>
      </c>
      <c r="E218" s="6" t="s">
        <v>72</v>
      </c>
      <c r="F218" s="6" t="s">
        <v>13</v>
      </c>
      <c r="G218" s="6" t="s">
        <v>65</v>
      </c>
      <c r="H218" s="6"/>
      <c r="I218" s="6" t="s">
        <v>73</v>
      </c>
      <c r="J218" s="6"/>
      <c r="K218" s="6"/>
      <c r="L218" s="6" t="s">
        <v>74</v>
      </c>
      <c r="M218" s="6"/>
      <c r="N218" s="6" t="s">
        <v>75</v>
      </c>
      <c r="O218" s="6" t="str">
        <f>HYPERLINK("https://ceds.ed.gov/cedselementdetails.aspx?termid=5840")</f>
        <v>https://ceds.ed.gov/cedselementdetails.aspx?termid=5840</v>
      </c>
      <c r="P218" s="6" t="str">
        <f>HYPERLINK("https://ceds.ed.gov/elementComment.aspx?elementName=Accreditation Award Date &amp;elementID=5840", "Click here to submit comment")</f>
        <v>Click here to submit comment</v>
      </c>
    </row>
    <row r="219" spans="1:16" ht="30">
      <c r="A219" s="6" t="s">
        <v>6715</v>
      </c>
      <c r="B219" s="6" t="s">
        <v>6747</v>
      </c>
      <c r="C219" s="6" t="s">
        <v>6756</v>
      </c>
      <c r="D219" s="6" t="s">
        <v>76</v>
      </c>
      <c r="E219" s="6" t="s">
        <v>77</v>
      </c>
      <c r="F219" s="6" t="s">
        <v>13</v>
      </c>
      <c r="G219" s="6" t="s">
        <v>65</v>
      </c>
      <c r="H219" s="6"/>
      <c r="I219" s="6" t="s">
        <v>73</v>
      </c>
      <c r="J219" s="6"/>
      <c r="K219" s="6"/>
      <c r="L219" s="6" t="s">
        <v>78</v>
      </c>
      <c r="M219" s="6"/>
      <c r="N219" s="6" t="s">
        <v>79</v>
      </c>
      <c r="O219" s="6" t="str">
        <f>HYPERLINK("https://ceds.ed.gov/cedselementdetails.aspx?termid=5841")</f>
        <v>https://ceds.ed.gov/cedselementdetails.aspx?termid=5841</v>
      </c>
      <c r="P219" s="6" t="str">
        <f>HYPERLINK("https://ceds.ed.gov/elementComment.aspx?elementName=Accreditation Expiration Date &amp;elementID=5841", "Click here to submit comment")</f>
        <v>Click here to submit comment</v>
      </c>
    </row>
    <row r="220" spans="1:16" ht="45">
      <c r="A220" s="6" t="s">
        <v>6715</v>
      </c>
      <c r="B220" s="6" t="s">
        <v>6747</v>
      </c>
      <c r="C220" s="6" t="s">
        <v>6756</v>
      </c>
      <c r="D220" s="6" t="s">
        <v>4357</v>
      </c>
      <c r="E220" s="6" t="s">
        <v>4358</v>
      </c>
      <c r="F220" s="6" t="s">
        <v>13</v>
      </c>
      <c r="G220" s="6"/>
      <c r="H220" s="6" t="s">
        <v>54</v>
      </c>
      <c r="I220" s="6" t="s">
        <v>73</v>
      </c>
      <c r="J220" s="6"/>
      <c r="K220" s="6"/>
      <c r="L220" s="6" t="s">
        <v>4359</v>
      </c>
      <c r="M220" s="6"/>
      <c r="N220" s="6" t="s">
        <v>4360</v>
      </c>
      <c r="O220" s="6" t="str">
        <f>HYPERLINK("https://ceds.ed.gov/cedselementdetails.aspx?termid=6388")</f>
        <v>https://ceds.ed.gov/cedselementdetails.aspx?termid=6388</v>
      </c>
      <c r="P220" s="6" t="str">
        <f>HYPERLINK("https://ceds.ed.gov/elementComment.aspx?elementName=Organization Seeking Accreditation Date &amp;elementID=6388", "Click here to submit comment")</f>
        <v>Click here to submit comment</v>
      </c>
    </row>
    <row r="221" spans="1:16" ht="180">
      <c r="A221" s="6" t="s">
        <v>6715</v>
      </c>
      <c r="B221" s="6" t="s">
        <v>6747</v>
      </c>
      <c r="C221" s="6" t="s">
        <v>6757</v>
      </c>
      <c r="D221" s="6" t="s">
        <v>227</v>
      </c>
      <c r="E221" s="6" t="s">
        <v>228</v>
      </c>
      <c r="F221" s="7" t="s">
        <v>6358</v>
      </c>
      <c r="G221" s="6" t="s">
        <v>65</v>
      </c>
      <c r="H221" s="6" t="s">
        <v>66</v>
      </c>
      <c r="I221" s="6"/>
      <c r="J221" s="6" t="s">
        <v>230</v>
      </c>
      <c r="K221" s="6" t="s">
        <v>231</v>
      </c>
      <c r="L221" s="6" t="s">
        <v>232</v>
      </c>
      <c r="M221" s="6"/>
      <c r="N221" s="6" t="s">
        <v>233</v>
      </c>
      <c r="O221" s="6" t="str">
        <f>HYPERLINK("https://ceds.ed.gov/cedselementdetails.aspx?termid=5984")</f>
        <v>https://ceds.ed.gov/cedselementdetails.aspx?termid=5984</v>
      </c>
      <c r="P221" s="6" t="str">
        <f>HYPERLINK("https://ceds.ed.gov/elementComment.aspx?elementName=Administrative Policy Type &amp;elementID=5984", "Click here to submit comment")</f>
        <v>Click here to submit comment</v>
      </c>
    </row>
    <row r="222" spans="1:16" ht="120">
      <c r="A222" s="6" t="s">
        <v>6715</v>
      </c>
      <c r="B222" s="6" t="s">
        <v>6747</v>
      </c>
      <c r="C222" s="6" t="s">
        <v>6757</v>
      </c>
      <c r="D222" s="6" t="s">
        <v>4503</v>
      </c>
      <c r="E222" s="6" t="s">
        <v>4504</v>
      </c>
      <c r="F222" s="7" t="s">
        <v>6600</v>
      </c>
      <c r="G222" s="6" t="s">
        <v>65</v>
      </c>
      <c r="H222" s="6"/>
      <c r="I222" s="6"/>
      <c r="J222" s="6"/>
      <c r="K222" s="6"/>
      <c r="L222" s="6" t="s">
        <v>4505</v>
      </c>
      <c r="M222" s="6"/>
      <c r="N222" s="6" t="s">
        <v>4506</v>
      </c>
      <c r="O222" s="6" t="str">
        <f>HYPERLINK("https://ceds.ed.gov/cedselementdetails.aspx?termid=5842")</f>
        <v>https://ceds.ed.gov/cedselementdetails.aspx?termid=5842</v>
      </c>
      <c r="P222" s="6" t="str">
        <f>HYPERLINK("https://ceds.ed.gov/elementComment.aspx?elementName=Personnel Policy Type &amp;elementID=5842", "Click here to submit comment")</f>
        <v>Click here to submit comment</v>
      </c>
    </row>
    <row r="223" spans="1:16" ht="45">
      <c r="A223" s="6" t="s">
        <v>6715</v>
      </c>
      <c r="B223" s="6" t="s">
        <v>6747</v>
      </c>
      <c r="C223" s="6" t="s">
        <v>6757</v>
      </c>
      <c r="D223" s="6" t="s">
        <v>4852</v>
      </c>
      <c r="E223" s="6" t="s">
        <v>4853</v>
      </c>
      <c r="F223" s="6" t="s">
        <v>5963</v>
      </c>
      <c r="G223" s="6" t="s">
        <v>65</v>
      </c>
      <c r="H223" s="6"/>
      <c r="I223" s="6"/>
      <c r="J223" s="6"/>
      <c r="K223" s="6"/>
      <c r="L223" s="6" t="s">
        <v>4854</v>
      </c>
      <c r="M223" s="6"/>
      <c r="N223" s="6" t="s">
        <v>4855</v>
      </c>
      <c r="O223" s="6" t="str">
        <f>HYPERLINK("https://ceds.ed.gov/cedselementdetails.aspx?termid=5859")</f>
        <v>https://ceds.ed.gov/cedselementdetails.aspx?termid=5859</v>
      </c>
      <c r="P223" s="6" t="str">
        <f>HYPERLINK("https://ceds.ed.gov/elementComment.aspx?elementName=Program Transition Planning Policy &amp;elementID=5859", "Click here to submit comment")</f>
        <v>Click here to submit comment</v>
      </c>
    </row>
    <row r="224" spans="1:16" ht="45">
      <c r="A224" s="6" t="s">
        <v>6715</v>
      </c>
      <c r="B224" s="6" t="s">
        <v>6747</v>
      </c>
      <c r="C224" s="6" t="s">
        <v>6758</v>
      </c>
      <c r="D224" s="6" t="s">
        <v>4838</v>
      </c>
      <c r="E224" s="6" t="s">
        <v>4839</v>
      </c>
      <c r="F224" s="6" t="s">
        <v>5963</v>
      </c>
      <c r="G224" s="6" t="s">
        <v>65</v>
      </c>
      <c r="H224" s="6"/>
      <c r="I224" s="6"/>
      <c r="J224" s="6"/>
      <c r="K224" s="6"/>
      <c r="L224" s="6" t="s">
        <v>4841</v>
      </c>
      <c r="M224" s="6"/>
      <c r="N224" s="6" t="s">
        <v>4842</v>
      </c>
      <c r="O224" s="6" t="str">
        <f>HYPERLINK("https://ceds.ed.gov/cedselementdetails.aspx?termid=5845")</f>
        <v>https://ceds.ed.gov/cedselementdetails.aspx?termid=5845</v>
      </c>
      <c r="P224" s="6" t="str">
        <f>HYPERLINK("https://ceds.ed.gov/elementComment.aspx?elementName=Program Provides Translated Materials &amp;elementID=5845", "Click here to submit comment")</f>
        <v>Click here to submit comment</v>
      </c>
    </row>
    <row r="225" spans="1:16" ht="45">
      <c r="A225" s="6" t="s">
        <v>6715</v>
      </c>
      <c r="B225" s="6" t="s">
        <v>6747</v>
      </c>
      <c r="C225" s="6" t="s">
        <v>6758</v>
      </c>
      <c r="D225" s="6" t="s">
        <v>3415</v>
      </c>
      <c r="E225" s="6" t="s">
        <v>3416</v>
      </c>
      <c r="F225" s="6" t="s">
        <v>5963</v>
      </c>
      <c r="G225" s="6"/>
      <c r="H225" s="6"/>
      <c r="I225" s="6"/>
      <c r="J225" s="6"/>
      <c r="K225" s="6"/>
      <c r="L225" s="6" t="s">
        <v>3417</v>
      </c>
      <c r="M225" s="6"/>
      <c r="N225" s="6" t="s">
        <v>3418</v>
      </c>
      <c r="O225" s="6" t="str">
        <f>HYPERLINK("https://ceds.ed.gov/cedselementdetails.aspx?termid=6190")</f>
        <v>https://ceds.ed.gov/cedselementdetails.aspx?termid=6190</v>
      </c>
      <c r="P225" s="6" t="str">
        <f>HYPERLINK("https://ceds.ed.gov/elementComment.aspx?elementName=Language Translation Policy &amp;elementID=6190", "Click here to submit comment")</f>
        <v>Click here to submit comment</v>
      </c>
    </row>
    <row r="226" spans="1:16" ht="45">
      <c r="A226" s="6" t="s">
        <v>6715</v>
      </c>
      <c r="B226" s="6" t="s">
        <v>6747</v>
      </c>
      <c r="C226" s="6" t="s">
        <v>6759</v>
      </c>
      <c r="D226" s="6" t="s">
        <v>4317</v>
      </c>
      <c r="E226" s="6" t="s">
        <v>4318</v>
      </c>
      <c r="F226" s="6" t="s">
        <v>5963</v>
      </c>
      <c r="G226" s="6" t="s">
        <v>65</v>
      </c>
      <c r="H226" s="6"/>
      <c r="I226" s="6"/>
      <c r="J226" s="6"/>
      <c r="K226" s="6"/>
      <c r="L226" s="6" t="s">
        <v>4319</v>
      </c>
      <c r="M226" s="6"/>
      <c r="N226" s="6" t="s">
        <v>4320</v>
      </c>
      <c r="O226" s="6" t="str">
        <f>HYPERLINK("https://ceds.ed.gov/cedselementdetails.aspx?termid=5847")</f>
        <v>https://ceds.ed.gov/cedselementdetails.aspx?termid=5847</v>
      </c>
      <c r="P226" s="6" t="str">
        <f>HYPERLINK("https://ceds.ed.gov/elementComment.aspx?elementName=Ongoing Health Screening Policy &amp;elementID=5847", "Click here to submit comment")</f>
        <v>Click here to submit comment</v>
      </c>
    </row>
    <row r="227" spans="1:16" ht="60">
      <c r="A227" s="6" t="s">
        <v>6715</v>
      </c>
      <c r="B227" s="6" t="s">
        <v>6747</v>
      </c>
      <c r="C227" s="6" t="s">
        <v>6759</v>
      </c>
      <c r="D227" s="6" t="s">
        <v>2385</v>
      </c>
      <c r="E227" s="6" t="s">
        <v>2386</v>
      </c>
      <c r="F227" s="6" t="s">
        <v>5963</v>
      </c>
      <c r="G227" s="6" t="s">
        <v>65</v>
      </c>
      <c r="H227" s="6"/>
      <c r="I227" s="6"/>
      <c r="J227" s="6"/>
      <c r="K227" s="6"/>
      <c r="L227" s="6" t="s">
        <v>2388</v>
      </c>
      <c r="M227" s="6"/>
      <c r="N227" s="6" t="s">
        <v>2389</v>
      </c>
      <c r="O227" s="6" t="str">
        <f>HYPERLINK("https://ceds.ed.gov/cedselementdetails.aspx?termid=5848")</f>
        <v>https://ceds.ed.gov/cedselementdetails.aspx?termid=5848</v>
      </c>
      <c r="P227" s="6" t="str">
        <f>HYPERLINK("https://ceds.ed.gov/elementComment.aspx?elementName=Early Learning Program Developmental Screening Status &amp;elementID=5848", "Click here to submit comment")</f>
        <v>Click here to submit comment</v>
      </c>
    </row>
    <row r="228" spans="1:16" ht="60">
      <c r="A228" s="6" t="s">
        <v>6715</v>
      </c>
      <c r="B228" s="6" t="s">
        <v>6747</v>
      </c>
      <c r="C228" s="6" t="s">
        <v>6759</v>
      </c>
      <c r="D228" s="6" t="s">
        <v>3088</v>
      </c>
      <c r="E228" s="6" t="s">
        <v>3089</v>
      </c>
      <c r="F228" s="6" t="s">
        <v>5963</v>
      </c>
      <c r="G228" s="6" t="s">
        <v>65</v>
      </c>
      <c r="H228" s="6"/>
      <c r="I228" s="6"/>
      <c r="J228" s="6"/>
      <c r="K228" s="6"/>
      <c r="L228" s="6" t="s">
        <v>3090</v>
      </c>
      <c r="M228" s="6"/>
      <c r="N228" s="6" t="s">
        <v>3091</v>
      </c>
      <c r="O228" s="6" t="str">
        <f>HYPERLINK("https://ceds.ed.gov/cedselementdetails.aspx?termid=5849")</f>
        <v>https://ceds.ed.gov/cedselementdetails.aspx?termid=5849</v>
      </c>
      <c r="P228" s="6" t="str">
        <f>HYPERLINK("https://ceds.ed.gov/elementComment.aspx?elementName=Immunization Policy &amp;elementID=5849", "Click here to submit comment")</f>
        <v>Click here to submit comment</v>
      </c>
    </row>
    <row r="229" spans="1:16" ht="45">
      <c r="A229" s="6" t="s">
        <v>6715</v>
      </c>
      <c r="B229" s="6" t="s">
        <v>6747</v>
      </c>
      <c r="C229" s="6" t="s">
        <v>6759</v>
      </c>
      <c r="D229" s="6" t="s">
        <v>5001</v>
      </c>
      <c r="E229" s="6" t="s">
        <v>5002</v>
      </c>
      <c r="F229" s="6" t="s">
        <v>5963</v>
      </c>
      <c r="G229" s="6" t="s">
        <v>65</v>
      </c>
      <c r="H229" s="6"/>
      <c r="I229" s="6"/>
      <c r="J229" s="6"/>
      <c r="K229" s="6"/>
      <c r="L229" s="6" t="s">
        <v>5003</v>
      </c>
      <c r="M229" s="6"/>
      <c r="N229" s="6" t="s">
        <v>5004</v>
      </c>
      <c r="O229" s="6" t="str">
        <f>HYPERLINK("https://ceds.ed.gov/cedselementdetails.aspx?termid=5850")</f>
        <v>https://ceds.ed.gov/cedselementdetails.aspx?termid=5850</v>
      </c>
      <c r="P229" s="6" t="str">
        <f>HYPERLINK("https://ceds.ed.gov/elementComment.aspx?elementName=Referral Policy &amp;elementID=5850", "Click here to submit comment")</f>
        <v>Click here to submit comment</v>
      </c>
    </row>
    <row r="230" spans="1:16" ht="409.5">
      <c r="A230" s="6" t="s">
        <v>6715</v>
      </c>
      <c r="B230" s="6" t="s">
        <v>6747</v>
      </c>
      <c r="C230" s="6" t="s">
        <v>6759</v>
      </c>
      <c r="D230" s="6" t="s">
        <v>5033</v>
      </c>
      <c r="E230" s="6" t="s">
        <v>5034</v>
      </c>
      <c r="F230" s="7" t="s">
        <v>6540</v>
      </c>
      <c r="G230" s="6" t="s">
        <v>2158</v>
      </c>
      <c r="H230" s="6"/>
      <c r="I230" s="6"/>
      <c r="J230" s="6"/>
      <c r="K230" s="6"/>
      <c r="L230" s="6" t="s">
        <v>5035</v>
      </c>
      <c r="M230" s="6"/>
      <c r="N230" s="6" t="s">
        <v>5036</v>
      </c>
      <c r="O230" s="6" t="str">
        <f>HYPERLINK("https://ceds.ed.gov/cedselementdetails.aspx?termid=5307")</f>
        <v>https://ceds.ed.gov/cedselementdetails.aspx?termid=5307</v>
      </c>
      <c r="P230" s="6" t="str">
        <f>HYPERLINK("https://ceds.ed.gov/elementComment.aspx?elementName=Required Immunization &amp;elementID=5307", "Click here to submit comment")</f>
        <v>Click here to submit comment</v>
      </c>
    </row>
    <row r="231" spans="1:16" ht="75">
      <c r="A231" s="6" t="s">
        <v>6715</v>
      </c>
      <c r="B231" s="6" t="s">
        <v>6747</v>
      </c>
      <c r="C231" s="6" t="s">
        <v>6760</v>
      </c>
      <c r="D231" s="6" t="s">
        <v>5438</v>
      </c>
      <c r="E231" s="6" t="s">
        <v>5439</v>
      </c>
      <c r="F231" s="6" t="s">
        <v>5963</v>
      </c>
      <c r="G231" s="6" t="s">
        <v>65</v>
      </c>
      <c r="H231" s="6"/>
      <c r="I231" s="6"/>
      <c r="J231" s="6"/>
      <c r="K231" s="6"/>
      <c r="L231" s="6" t="s">
        <v>5441</v>
      </c>
      <c r="M231" s="6"/>
      <c r="N231" s="6" t="s">
        <v>5442</v>
      </c>
      <c r="O231" s="6" t="str">
        <f>HYPERLINK("https://ceds.ed.gov/cedselementdetails.aspx?termid=6004")</f>
        <v>https://ceds.ed.gov/cedselementdetails.aspx?termid=6004</v>
      </c>
      <c r="P231" s="6" t="str">
        <f>HYPERLINK("https://ceds.ed.gov/elementComment.aspx?elementName=Special Needs Policy &amp;elementID=6004", "Click here to submit comment")</f>
        <v>Click here to submit comment</v>
      </c>
    </row>
    <row r="232" spans="1:16" ht="270">
      <c r="A232" s="6" t="s">
        <v>6715</v>
      </c>
      <c r="B232" s="6" t="s">
        <v>6747</v>
      </c>
      <c r="C232" s="6" t="s">
        <v>6761</v>
      </c>
      <c r="D232" s="6" t="s">
        <v>2302</v>
      </c>
      <c r="E232" s="6" t="s">
        <v>2303</v>
      </c>
      <c r="F232" s="7" t="s">
        <v>6471</v>
      </c>
      <c r="G232" s="6" t="s">
        <v>65</v>
      </c>
      <c r="H232" s="6" t="s">
        <v>66</v>
      </c>
      <c r="I232" s="6"/>
      <c r="J232" s="6" t="s">
        <v>2304</v>
      </c>
      <c r="K232" s="6"/>
      <c r="L232" s="6" t="s">
        <v>2305</v>
      </c>
      <c r="M232" s="6"/>
      <c r="N232" s="6" t="s">
        <v>2306</v>
      </c>
      <c r="O232" s="6" t="str">
        <f>HYPERLINK("https://ceds.ed.gov/cedselementdetails.aspx?termid=5829")</f>
        <v>https://ceds.ed.gov/cedselementdetails.aspx?termid=5829</v>
      </c>
      <c r="P232" s="6" t="str">
        <f>HYPERLINK("https://ceds.ed.gov/elementComment.aspx?elementName=Early Childhood Program Type &amp;elementID=5829", "Click here to submit comment")</f>
        <v>Click here to submit comment</v>
      </c>
    </row>
    <row r="233" spans="1:16" ht="30">
      <c r="A233" s="6" t="s">
        <v>6715</v>
      </c>
      <c r="B233" s="6" t="s">
        <v>6747</v>
      </c>
      <c r="C233" s="6" t="s">
        <v>6761</v>
      </c>
      <c r="D233" s="6" t="s">
        <v>2420</v>
      </c>
      <c r="E233" s="6" t="s">
        <v>2421</v>
      </c>
      <c r="F233" s="6" t="s">
        <v>13</v>
      </c>
      <c r="G233" s="6" t="s">
        <v>6097</v>
      </c>
      <c r="H233" s="6"/>
      <c r="I233" s="6" t="s">
        <v>1736</v>
      </c>
      <c r="J233" s="6"/>
      <c r="K233" s="6"/>
      <c r="L233" s="6" t="s">
        <v>2422</v>
      </c>
      <c r="M233" s="6"/>
      <c r="N233" s="6" t="s">
        <v>2423</v>
      </c>
      <c r="O233" s="6" t="str">
        <f>HYPERLINK("https://ceds.ed.gov/cedselementdetails.aspx?termid=5864")</f>
        <v>https://ceds.ed.gov/cedselementdetails.aspx?termid=5864</v>
      </c>
      <c r="P233" s="6" t="str">
        <f>HYPERLINK("https://ceds.ed.gov/elementComment.aspx?elementName=Early Learning Program Year &amp;elementID=5864", "Click here to submit comment")</f>
        <v>Click here to submit comment</v>
      </c>
    </row>
    <row r="234" spans="1:16" ht="30">
      <c r="A234" s="6" t="s">
        <v>6715</v>
      </c>
      <c r="B234" s="6" t="s">
        <v>6747</v>
      </c>
      <c r="C234" s="6" t="s">
        <v>6761</v>
      </c>
      <c r="D234" s="6" t="s">
        <v>5345</v>
      </c>
      <c r="E234" s="6" t="s">
        <v>5346</v>
      </c>
      <c r="F234" s="6" t="s">
        <v>13</v>
      </c>
      <c r="G234" s="6" t="s">
        <v>6097</v>
      </c>
      <c r="H234" s="6"/>
      <c r="I234" s="6" t="s">
        <v>426</v>
      </c>
      <c r="J234" s="6"/>
      <c r="K234" s="6"/>
      <c r="L234" s="6" t="s">
        <v>5347</v>
      </c>
      <c r="M234" s="6"/>
      <c r="N234" s="6" t="s">
        <v>5348</v>
      </c>
      <c r="O234" s="6" t="str">
        <f>HYPERLINK("https://ceds.ed.gov/cedselementdetails.aspx?termid=5986")</f>
        <v>https://ceds.ed.gov/cedselementdetails.aspx?termid=5986</v>
      </c>
      <c r="P234" s="6" t="str">
        <f>HYPERLINK("https://ceds.ed.gov/elementComment.aspx?elementName=Session Start Time &amp;elementID=5986", "Click here to submit comment")</f>
        <v>Click here to submit comment</v>
      </c>
    </row>
    <row r="235" spans="1:16" ht="30">
      <c r="A235" s="6" t="s">
        <v>6715</v>
      </c>
      <c r="B235" s="6" t="s">
        <v>6747</v>
      </c>
      <c r="C235" s="6" t="s">
        <v>6761</v>
      </c>
      <c r="D235" s="6" t="s">
        <v>5333</v>
      </c>
      <c r="E235" s="6" t="s">
        <v>5334</v>
      </c>
      <c r="F235" s="6" t="s">
        <v>13</v>
      </c>
      <c r="G235" s="6" t="s">
        <v>6097</v>
      </c>
      <c r="H235" s="6"/>
      <c r="I235" s="6" t="s">
        <v>426</v>
      </c>
      <c r="J235" s="6"/>
      <c r="K235" s="6"/>
      <c r="L235" s="6" t="s">
        <v>5335</v>
      </c>
      <c r="M235" s="6"/>
      <c r="N235" s="6" t="s">
        <v>5336</v>
      </c>
      <c r="O235" s="6" t="str">
        <f>HYPERLINK("https://ceds.ed.gov/cedselementdetails.aspx?termid=5988")</f>
        <v>https://ceds.ed.gov/cedselementdetails.aspx?termid=5988</v>
      </c>
      <c r="P235" s="6" t="str">
        <f>HYPERLINK("https://ceds.ed.gov/elementComment.aspx?elementName=Session End Time &amp;elementID=5988", "Click here to submit comment")</f>
        <v>Click here to submit comment</v>
      </c>
    </row>
    <row r="236" spans="1:16" ht="409.5">
      <c r="A236" s="6" t="s">
        <v>6715</v>
      </c>
      <c r="B236" s="6" t="s">
        <v>6747</v>
      </c>
      <c r="C236" s="6" t="s">
        <v>6761</v>
      </c>
      <c r="D236" s="6" t="s">
        <v>2811</v>
      </c>
      <c r="E236" s="6" t="s">
        <v>2812</v>
      </c>
      <c r="F236" s="7" t="s">
        <v>6518</v>
      </c>
      <c r="G236" s="6" t="s">
        <v>6145</v>
      </c>
      <c r="H236" s="6"/>
      <c r="I236" s="6"/>
      <c r="J236" s="6"/>
      <c r="K236" s="6"/>
      <c r="L236" s="6" t="s">
        <v>2813</v>
      </c>
      <c r="M236" s="6"/>
      <c r="N236" s="6" t="s">
        <v>2814</v>
      </c>
      <c r="O236" s="6" t="str">
        <f>HYPERLINK("https://ceds.ed.gov/cedselementdetails.aspx?termid=5866")</f>
        <v>https://ceds.ed.gov/cedselementdetails.aspx?termid=5866</v>
      </c>
      <c r="P236" s="6" t="str">
        <f>HYPERLINK("https://ceds.ed.gov/elementComment.aspx?elementName=Full-Time Employee Benefits &amp;elementID=5866", "Click here to submit comment")</f>
        <v>Click here to submit comment</v>
      </c>
    </row>
    <row r="237" spans="1:16" ht="409.5">
      <c r="A237" s="6" t="s">
        <v>6715</v>
      </c>
      <c r="B237" s="6" t="s">
        <v>6747</v>
      </c>
      <c r="C237" s="6" t="s">
        <v>6761</v>
      </c>
      <c r="D237" s="6" t="s">
        <v>4419</v>
      </c>
      <c r="E237" s="6" t="s">
        <v>4420</v>
      </c>
      <c r="F237" s="7" t="s">
        <v>6518</v>
      </c>
      <c r="G237" s="6" t="s">
        <v>6145</v>
      </c>
      <c r="H237" s="6"/>
      <c r="I237" s="6"/>
      <c r="J237" s="6"/>
      <c r="K237" s="6"/>
      <c r="L237" s="6" t="s">
        <v>4421</v>
      </c>
      <c r="M237" s="6"/>
      <c r="N237" s="6" t="s">
        <v>4422</v>
      </c>
      <c r="O237" s="6" t="str">
        <f>HYPERLINK("https://ceds.ed.gov/cedselementdetails.aspx?termid=5867")</f>
        <v>https://ceds.ed.gov/cedselementdetails.aspx?termid=5867</v>
      </c>
      <c r="P237" s="6" t="str">
        <f>HYPERLINK("https://ceds.ed.gov/elementComment.aspx?elementName=Part-Time Employee Benefits &amp;elementID=5867", "Click here to submit comment")</f>
        <v>Click here to submit comment</v>
      </c>
    </row>
    <row r="238" spans="1:16" ht="60">
      <c r="A238" s="6" t="s">
        <v>6715</v>
      </c>
      <c r="B238" s="6" t="s">
        <v>6747</v>
      </c>
      <c r="C238" s="6" t="s">
        <v>6761</v>
      </c>
      <c r="D238" s="6" t="s">
        <v>2184</v>
      </c>
      <c r="E238" s="6" t="s">
        <v>2185</v>
      </c>
      <c r="F238" s="7" t="s">
        <v>6371</v>
      </c>
      <c r="G238" s="6" t="s">
        <v>202</v>
      </c>
      <c r="H238" s="6"/>
      <c r="I238" s="6"/>
      <c r="J238" s="6"/>
      <c r="K238" s="6"/>
      <c r="L238" s="6" t="s">
        <v>2187</v>
      </c>
      <c r="M238" s="6"/>
      <c r="N238" s="6" t="s">
        <v>2188</v>
      </c>
      <c r="O238" s="6" t="str">
        <f>HYPERLINK("https://ceds.ed.gov/cedselementdetails.aspx?termid=5868")</f>
        <v>https://ceds.ed.gov/cedselementdetails.aspx?termid=5868</v>
      </c>
      <c r="P238" s="6" t="str">
        <f>HYPERLINK("https://ceds.ed.gov/elementComment.aspx?elementName=Differential Shift Pay Indicator &amp;elementID=5868", "Click here to submit comment")</f>
        <v>Click here to submit comment</v>
      </c>
    </row>
    <row r="239" spans="1:16" ht="45">
      <c r="A239" s="6" t="s">
        <v>6715</v>
      </c>
      <c r="B239" s="6" t="s">
        <v>6747</v>
      </c>
      <c r="C239" s="6" t="s">
        <v>6761</v>
      </c>
      <c r="D239" s="6" t="s">
        <v>2380</v>
      </c>
      <c r="E239" s="6" t="s">
        <v>2381</v>
      </c>
      <c r="F239" s="6" t="s">
        <v>13</v>
      </c>
      <c r="G239" s="6" t="s">
        <v>6097</v>
      </c>
      <c r="H239" s="6"/>
      <c r="I239" s="6" t="s">
        <v>2382</v>
      </c>
      <c r="J239" s="6"/>
      <c r="K239" s="6"/>
      <c r="L239" s="6" t="s">
        <v>2383</v>
      </c>
      <c r="M239" s="6"/>
      <c r="N239" s="6" t="s">
        <v>2384</v>
      </c>
      <c r="O239" s="6" t="str">
        <f>HYPERLINK("https://ceds.ed.gov/cedselementdetails.aspx?termid=5824")</f>
        <v>https://ceds.ed.gov/cedselementdetails.aspx?termid=5824</v>
      </c>
      <c r="P239" s="6" t="str">
        <f>HYPERLINK("https://ceds.ed.gov/elementComment.aspx?elementName=Early Learning Program Annual Operating Weeks &amp;elementID=5824", "Click here to submit comment")</f>
        <v>Click here to submit comment</v>
      </c>
    </row>
    <row r="240" spans="1:16" ht="45">
      <c r="A240" s="6" t="s">
        <v>6715</v>
      </c>
      <c r="B240" s="6" t="s">
        <v>6747</v>
      </c>
      <c r="C240" s="6" t="s">
        <v>6762</v>
      </c>
      <c r="D240" s="6" t="s">
        <v>4843</v>
      </c>
      <c r="E240" s="6" t="s">
        <v>4844</v>
      </c>
      <c r="F240" s="6" t="s">
        <v>5963</v>
      </c>
      <c r="G240" s="6" t="s">
        <v>65</v>
      </c>
      <c r="H240" s="6"/>
      <c r="I240" s="6"/>
      <c r="J240" s="6"/>
      <c r="K240" s="6"/>
      <c r="L240" s="6" t="s">
        <v>4845</v>
      </c>
      <c r="M240" s="6"/>
      <c r="N240" s="6" t="s">
        <v>4846</v>
      </c>
      <c r="O240" s="6" t="str">
        <f>HYPERLINK("https://ceds.ed.gov/cedselementdetails.aspx?termid=5853")</f>
        <v>https://ceds.ed.gov/cedselementdetails.aspx?termid=5853</v>
      </c>
      <c r="P240" s="6" t="str">
        <f>HYPERLINK("https://ceds.ed.gov/elementComment.aspx?elementName=Program Provides Written Handbook &amp;elementID=5853", "Click here to submit comment")</f>
        <v>Click here to submit comment</v>
      </c>
    </row>
    <row r="241" spans="1:16" ht="60">
      <c r="A241" s="6" t="s">
        <v>6715</v>
      </c>
      <c r="B241" s="6" t="s">
        <v>6747</v>
      </c>
      <c r="C241" s="6" t="s">
        <v>6762</v>
      </c>
      <c r="D241" s="6" t="s">
        <v>4779</v>
      </c>
      <c r="E241" s="6" t="s">
        <v>4780</v>
      </c>
      <c r="F241" s="6" t="s">
        <v>5963</v>
      </c>
      <c r="G241" s="6" t="s">
        <v>6295</v>
      </c>
      <c r="H241" s="6"/>
      <c r="I241" s="6"/>
      <c r="J241" s="6"/>
      <c r="K241" s="6"/>
      <c r="L241" s="6" t="s">
        <v>4781</v>
      </c>
      <c r="M241" s="6"/>
      <c r="N241" s="6" t="s">
        <v>4782</v>
      </c>
      <c r="O241" s="6" t="str">
        <f>HYPERLINK("https://ceds.ed.gov/cedselementdetails.aspx?termid=5854")</f>
        <v>https://ceds.ed.gov/cedselementdetails.aspx?termid=5854</v>
      </c>
      <c r="P241" s="6" t="str">
        <f>HYPERLINK("https://ceds.ed.gov/elementComment.aspx?elementName=Program Collects Parental Feedback &amp;elementID=5854", "Click here to submit comment")</f>
        <v>Click here to submit comment</v>
      </c>
    </row>
    <row r="242" spans="1:16" ht="60">
      <c r="A242" s="6" t="s">
        <v>6715</v>
      </c>
      <c r="B242" s="6" t="s">
        <v>6747</v>
      </c>
      <c r="C242" s="6" t="s">
        <v>6762</v>
      </c>
      <c r="D242" s="6" t="s">
        <v>4834</v>
      </c>
      <c r="E242" s="6" t="s">
        <v>4835</v>
      </c>
      <c r="F242" s="6" t="s">
        <v>5963</v>
      </c>
      <c r="G242" s="6" t="s">
        <v>65</v>
      </c>
      <c r="H242" s="6"/>
      <c r="I242" s="6"/>
      <c r="J242" s="6"/>
      <c r="K242" s="6"/>
      <c r="L242" s="6" t="s">
        <v>4836</v>
      </c>
      <c r="M242" s="6"/>
      <c r="N242" s="6" t="s">
        <v>4837</v>
      </c>
      <c r="O242" s="6" t="str">
        <f>HYPERLINK("https://ceds.ed.gov/cedselementdetails.aspx?termid=5855")</f>
        <v>https://ceds.ed.gov/cedselementdetails.aspx?termid=5855</v>
      </c>
      <c r="P242" s="6" t="str">
        <f>HYPERLINK("https://ceds.ed.gov/elementComment.aspx?elementName=Program Provides Parent Involvement Opportunity &amp;elementID=5855", "Click here to submit comment")</f>
        <v>Click here to submit comment</v>
      </c>
    </row>
    <row r="243" spans="1:16" ht="45">
      <c r="A243" s="6" t="s">
        <v>6715</v>
      </c>
      <c r="B243" s="6" t="s">
        <v>6747</v>
      </c>
      <c r="C243" s="6" t="s">
        <v>6762</v>
      </c>
      <c r="D243" s="6" t="s">
        <v>4830</v>
      </c>
      <c r="E243" s="6" t="s">
        <v>4831</v>
      </c>
      <c r="F243" s="6" t="s">
        <v>5963</v>
      </c>
      <c r="G243" s="6" t="s">
        <v>65</v>
      </c>
      <c r="H243" s="6"/>
      <c r="I243" s="6"/>
      <c r="J243" s="6"/>
      <c r="K243" s="6"/>
      <c r="L243" s="6" t="s">
        <v>4832</v>
      </c>
      <c r="M243" s="6"/>
      <c r="N243" s="6" t="s">
        <v>4833</v>
      </c>
      <c r="O243" s="6" t="str">
        <f>HYPERLINK("https://ceds.ed.gov/cedselementdetails.aspx?termid=5856")</f>
        <v>https://ceds.ed.gov/cedselementdetails.aspx?termid=5856</v>
      </c>
      <c r="P243" s="6" t="str">
        <f>HYPERLINK("https://ceds.ed.gov/elementComment.aspx?elementName=Program Provides Parent Education &amp;elementID=5856", "Click here to submit comment")</f>
        <v>Click here to submit comment</v>
      </c>
    </row>
    <row r="244" spans="1:16" ht="165">
      <c r="A244" s="6" t="s">
        <v>6715</v>
      </c>
      <c r="B244" s="6" t="s">
        <v>6747</v>
      </c>
      <c r="C244" s="6" t="s">
        <v>6762</v>
      </c>
      <c r="D244" s="6" t="s">
        <v>4415</v>
      </c>
      <c r="E244" s="6" t="s">
        <v>4416</v>
      </c>
      <c r="F244" s="7" t="s">
        <v>6595</v>
      </c>
      <c r="G244" s="6" t="s">
        <v>65</v>
      </c>
      <c r="H244" s="6"/>
      <c r="I244" s="6"/>
      <c r="J244" s="6"/>
      <c r="K244" s="6"/>
      <c r="L244" s="6" t="s">
        <v>4417</v>
      </c>
      <c r="M244" s="6"/>
      <c r="N244" s="6" t="s">
        <v>4418</v>
      </c>
      <c r="O244" s="6" t="str">
        <f>HYPERLINK("https://ceds.ed.gov/cedselementdetails.aspx?termid=5857")</f>
        <v>https://ceds.ed.gov/cedselementdetails.aspx?termid=5857</v>
      </c>
      <c r="P244" s="6" t="str">
        <f>HYPERLINK("https://ceds.ed.gov/elementComment.aspx?elementName=Parent Communication Method &amp;elementID=5857", "Click here to submit comment")</f>
        <v>Click here to submit comment</v>
      </c>
    </row>
    <row r="245" spans="1:16" ht="45">
      <c r="A245" s="6" t="s">
        <v>6715</v>
      </c>
      <c r="B245" s="6" t="s">
        <v>6747</v>
      </c>
      <c r="C245" s="6" t="s">
        <v>6762</v>
      </c>
      <c r="D245" s="6" t="s">
        <v>1285</v>
      </c>
      <c r="E245" s="6" t="s">
        <v>1286</v>
      </c>
      <c r="F245" s="6" t="s">
        <v>5963</v>
      </c>
      <c r="G245" s="6" t="s">
        <v>65</v>
      </c>
      <c r="H245" s="6"/>
      <c r="I245" s="6"/>
      <c r="J245" s="6"/>
      <c r="K245" s="6"/>
      <c r="L245" s="6" t="s">
        <v>1288</v>
      </c>
      <c r="M245" s="6"/>
      <c r="N245" s="6" t="s">
        <v>1289</v>
      </c>
      <c r="O245" s="6" t="str">
        <f>HYPERLINK("https://ceds.ed.gov/cedselementdetails.aspx?termid=5858")</f>
        <v>https://ceds.ed.gov/cedselementdetails.aspx?termid=5858</v>
      </c>
      <c r="P245" s="6" t="str">
        <f>HYPERLINK("https://ceds.ed.gov/elementComment.aspx?elementName=Assessment Shared With Parents &amp;elementID=5858", "Click here to submit comment")</f>
        <v>Click here to submit comment</v>
      </c>
    </row>
    <row r="246" spans="1:16" ht="45">
      <c r="A246" s="6" t="s">
        <v>6715</v>
      </c>
      <c r="B246" s="6" t="s">
        <v>6747</v>
      </c>
      <c r="C246" s="6" t="s">
        <v>6763</v>
      </c>
      <c r="D246" s="6" t="s">
        <v>4783</v>
      </c>
      <c r="E246" s="6" t="s">
        <v>4784</v>
      </c>
      <c r="F246" s="6" t="s">
        <v>5963</v>
      </c>
      <c r="G246" s="6" t="s">
        <v>6145</v>
      </c>
      <c r="H246" s="6"/>
      <c r="I246" s="6"/>
      <c r="J246" s="6"/>
      <c r="K246" s="6"/>
      <c r="L246" s="6" t="s">
        <v>4786</v>
      </c>
      <c r="M246" s="6"/>
      <c r="N246" s="6" t="s">
        <v>4787</v>
      </c>
      <c r="O246" s="6" t="str">
        <f>HYPERLINK("https://ceds.ed.gov/cedselementdetails.aspx?termid=5863")</f>
        <v>https://ceds.ed.gov/cedselementdetails.aspx?termid=5863</v>
      </c>
      <c r="P246" s="6" t="str">
        <f>HYPERLINK("https://ceds.ed.gov/elementComment.aspx?elementName=Program Follows Salary Scale &amp;elementID=5863", "Click here to submit comment")</f>
        <v>Click here to submit comment</v>
      </c>
    </row>
    <row r="247" spans="1:16" ht="60">
      <c r="A247" s="6" t="s">
        <v>6715</v>
      </c>
      <c r="B247" s="6" t="s">
        <v>6747</v>
      </c>
      <c r="C247" s="6" t="s">
        <v>6764</v>
      </c>
      <c r="D247" s="6" t="s">
        <v>5707</v>
      </c>
      <c r="E247" s="6" t="s">
        <v>5708</v>
      </c>
      <c r="F247" s="6" t="s">
        <v>5963</v>
      </c>
      <c r="G247" s="6"/>
      <c r="H247" s="6" t="s">
        <v>54</v>
      </c>
      <c r="I247" s="6"/>
      <c r="J247" s="6"/>
      <c r="K247" s="6"/>
      <c r="L247" s="6" t="s">
        <v>5709</v>
      </c>
      <c r="M247" s="6"/>
      <c r="N247" s="6" t="s">
        <v>5710</v>
      </c>
      <c r="O247" s="6" t="str">
        <f>HYPERLINK("https://ceds.ed.gov/cedselementdetails.aspx?termid=6465")</f>
        <v>https://ceds.ed.gov/cedselementdetails.aspx?termid=6465</v>
      </c>
      <c r="P247" s="6" t="str">
        <f>HYPERLINK("https://ceds.ed.gov/elementComment.aspx?elementName=Technical Assistance Approved Indicator &amp;elementID=6465", "Click here to submit comment")</f>
        <v>Click here to submit comment</v>
      </c>
    </row>
    <row r="248" spans="1:16" ht="90">
      <c r="A248" s="6" t="s">
        <v>6715</v>
      </c>
      <c r="B248" s="6" t="s">
        <v>6747</v>
      </c>
      <c r="C248" s="6" t="s">
        <v>6764</v>
      </c>
      <c r="D248" s="6" t="s">
        <v>5711</v>
      </c>
      <c r="E248" s="6" t="s">
        <v>5712</v>
      </c>
      <c r="F248" s="7" t="s">
        <v>6616</v>
      </c>
      <c r="G248" s="6"/>
      <c r="H248" s="6" t="s">
        <v>54</v>
      </c>
      <c r="I248" s="6"/>
      <c r="J248" s="6"/>
      <c r="K248" s="6"/>
      <c r="L248" s="6" t="s">
        <v>5713</v>
      </c>
      <c r="M248" s="6"/>
      <c r="N248" s="6" t="s">
        <v>5714</v>
      </c>
      <c r="O248" s="6" t="str">
        <f>HYPERLINK("https://ceds.ed.gov/cedselementdetails.aspx?termid=6466")</f>
        <v>https://ceds.ed.gov/cedselementdetails.aspx?termid=6466</v>
      </c>
      <c r="P248" s="6" t="str">
        <f>HYPERLINK("https://ceds.ed.gov/elementComment.aspx?elementName=Technical Assistance Delivery Type &amp;elementID=6466", "Click here to submit comment")</f>
        <v>Click here to submit comment</v>
      </c>
    </row>
    <row r="249" spans="1:16" ht="409.5">
      <c r="A249" s="6" t="s">
        <v>6715</v>
      </c>
      <c r="B249" s="6" t="s">
        <v>6747</v>
      </c>
      <c r="C249" s="6" t="s">
        <v>6764</v>
      </c>
      <c r="D249" s="6" t="s">
        <v>5715</v>
      </c>
      <c r="E249" s="6" t="s">
        <v>5716</v>
      </c>
      <c r="F249" s="7" t="s">
        <v>6673</v>
      </c>
      <c r="G249" s="6"/>
      <c r="H249" s="6" t="s">
        <v>54</v>
      </c>
      <c r="I249" s="6"/>
      <c r="J249" s="6"/>
      <c r="K249" s="6"/>
      <c r="L249" s="6" t="s">
        <v>5717</v>
      </c>
      <c r="M249" s="6"/>
      <c r="N249" s="6" t="s">
        <v>5718</v>
      </c>
      <c r="O249" s="6" t="str">
        <f>HYPERLINK("https://ceds.ed.gov/cedselementdetails.aspx?termid=6467")</f>
        <v>https://ceds.ed.gov/cedselementdetails.aspx?termid=6467</v>
      </c>
      <c r="P249" s="6" t="str">
        <f>HYPERLINK("https://ceds.ed.gov/elementComment.aspx?elementName=Technical Assistance Type &amp;elementID=6467", "Click here to submit comment")</f>
        <v>Click here to submit comment</v>
      </c>
    </row>
    <row r="250" spans="1:16" ht="30">
      <c r="A250" s="6" t="s">
        <v>6715</v>
      </c>
      <c r="B250" s="6" t="s">
        <v>6747</v>
      </c>
      <c r="C250" s="6" t="s">
        <v>6765</v>
      </c>
      <c r="D250" s="6" t="s">
        <v>5374</v>
      </c>
      <c r="E250" s="6" t="s">
        <v>5375</v>
      </c>
      <c r="F250" s="6" t="s">
        <v>13</v>
      </c>
      <c r="G250" s="6" t="s">
        <v>6104</v>
      </c>
      <c r="H250" s="6"/>
      <c r="I250" s="6" t="s">
        <v>106</v>
      </c>
      <c r="J250" s="6"/>
      <c r="K250" s="6"/>
      <c r="L250" s="6" t="s">
        <v>5377</v>
      </c>
      <c r="M250" s="6"/>
      <c r="N250" s="6" t="s">
        <v>5378</v>
      </c>
      <c r="O250" s="6" t="str">
        <f>HYPERLINK("https://ceds.ed.gov/cedselementdetails.aspx?termid=5625")</f>
        <v>https://ceds.ed.gov/cedselementdetails.aspx?termid=5625</v>
      </c>
      <c r="P250" s="6" t="str">
        <f>HYPERLINK("https://ceds.ed.gov/elementComment.aspx?elementName=Site Name &amp;elementID=5625", "Click here to submit comment")</f>
        <v>Click here to submit comment</v>
      </c>
    </row>
    <row r="251" spans="1:16" ht="409.5">
      <c r="A251" s="6" t="s">
        <v>6715</v>
      </c>
      <c r="B251" s="6" t="s">
        <v>6747</v>
      </c>
      <c r="C251" s="6" t="s">
        <v>6766</v>
      </c>
      <c r="D251" s="6" t="s">
        <v>4856</v>
      </c>
      <c r="E251" s="6" t="s">
        <v>4857</v>
      </c>
      <c r="F251" s="7" t="s">
        <v>6626</v>
      </c>
      <c r="G251" s="6" t="s">
        <v>5968</v>
      </c>
      <c r="H251" s="6" t="s">
        <v>66</v>
      </c>
      <c r="I251" s="6"/>
      <c r="J251" s="6" t="s">
        <v>4858</v>
      </c>
      <c r="K251" s="6"/>
      <c r="L251" s="6" t="s">
        <v>4859</v>
      </c>
      <c r="M251" s="6"/>
      <c r="N251" s="6" t="s">
        <v>4860</v>
      </c>
      <c r="O251" s="6" t="str">
        <f>HYPERLINK("https://ceds.ed.gov/cedselementdetails.aspx?termid=5225")</f>
        <v>https://ceds.ed.gov/cedselementdetails.aspx?termid=5225</v>
      </c>
      <c r="P251" s="6" t="str">
        <f>HYPERLINK("https://ceds.ed.gov/elementComment.aspx?elementName=Program Type &amp;elementID=5225", "Click here to submit comment")</f>
        <v>Click here to submit comment</v>
      </c>
    </row>
    <row r="252" spans="1:16" ht="30">
      <c r="A252" s="6" t="s">
        <v>6715</v>
      </c>
      <c r="B252" s="6" t="s">
        <v>6747</v>
      </c>
      <c r="C252" s="6" t="s">
        <v>6767</v>
      </c>
      <c r="D252" s="6" t="s">
        <v>4915</v>
      </c>
      <c r="E252" s="6" t="s">
        <v>4916</v>
      </c>
      <c r="F252" s="6" t="s">
        <v>13</v>
      </c>
      <c r="G252" s="6"/>
      <c r="H252" s="6" t="s">
        <v>54</v>
      </c>
      <c r="I252" s="6" t="s">
        <v>100</v>
      </c>
      <c r="J252" s="6"/>
      <c r="K252" s="6"/>
      <c r="L252" s="6" t="s">
        <v>4918</v>
      </c>
      <c r="M252" s="6"/>
      <c r="N252" s="6" t="s">
        <v>4919</v>
      </c>
      <c r="O252" s="6" t="str">
        <f>HYPERLINK("https://ceds.ed.gov/cedselementdetails.aspx?termid=6432")</f>
        <v>https://ceds.ed.gov/cedselementdetails.aspx?termid=6432</v>
      </c>
      <c r="P252" s="6" t="str">
        <f>HYPERLINK("https://ceds.ed.gov/elementComment.aspx?elementName=Quality Initiative Maximum Score &amp;elementID=6432", "Click here to submit comment")</f>
        <v>Click here to submit comment</v>
      </c>
    </row>
    <row r="253" spans="1:16" ht="30">
      <c r="A253" s="6" t="s">
        <v>6715</v>
      </c>
      <c r="B253" s="6" t="s">
        <v>6747</v>
      </c>
      <c r="C253" s="6" t="s">
        <v>6767</v>
      </c>
      <c r="D253" s="6" t="s">
        <v>4920</v>
      </c>
      <c r="E253" s="6" t="s">
        <v>4921</v>
      </c>
      <c r="F253" s="6" t="s">
        <v>13</v>
      </c>
      <c r="G253" s="6"/>
      <c r="H253" s="6" t="s">
        <v>54</v>
      </c>
      <c r="I253" s="6" t="s">
        <v>100</v>
      </c>
      <c r="J253" s="6"/>
      <c r="K253" s="6"/>
      <c r="L253" s="6" t="s">
        <v>4922</v>
      </c>
      <c r="M253" s="6"/>
      <c r="N253" s="6" t="s">
        <v>4923</v>
      </c>
      <c r="O253" s="6" t="str">
        <f>HYPERLINK("https://ceds.ed.gov/cedselementdetails.aspx?termid=6433")</f>
        <v>https://ceds.ed.gov/cedselementdetails.aspx?termid=6433</v>
      </c>
      <c r="P253" s="6" t="str">
        <f>HYPERLINK("https://ceds.ed.gov/elementComment.aspx?elementName=Quality Initiative Minimum Score &amp;elementID=6433", "Click here to submit comment")</f>
        <v>Click here to submit comment</v>
      </c>
    </row>
    <row r="254" spans="1:16" ht="45">
      <c r="A254" s="6" t="s">
        <v>6715</v>
      </c>
      <c r="B254" s="6" t="s">
        <v>6747</v>
      </c>
      <c r="C254" s="6" t="s">
        <v>6767</v>
      </c>
      <c r="D254" s="6" t="s">
        <v>4924</v>
      </c>
      <c r="E254" s="6" t="s">
        <v>4925</v>
      </c>
      <c r="F254" s="6" t="s">
        <v>13</v>
      </c>
      <c r="G254" s="6"/>
      <c r="H254" s="6" t="s">
        <v>54</v>
      </c>
      <c r="I254" s="6" t="s">
        <v>73</v>
      </c>
      <c r="J254" s="6"/>
      <c r="K254" s="6"/>
      <c r="L254" s="6" t="s">
        <v>4926</v>
      </c>
      <c r="M254" s="6"/>
      <c r="N254" s="6" t="s">
        <v>4927</v>
      </c>
      <c r="O254" s="6" t="str">
        <f>HYPERLINK("https://ceds.ed.gov/cedselementdetails.aspx?termid=6436")</f>
        <v>https://ceds.ed.gov/cedselementdetails.aspx?termid=6436</v>
      </c>
      <c r="P254" s="6" t="str">
        <f>HYPERLINK("https://ceds.ed.gov/elementComment.aspx?elementName=Quality Initiative Participation End Date &amp;elementID=6436", "Click here to submit comment")</f>
        <v>Click here to submit comment</v>
      </c>
    </row>
    <row r="255" spans="1:16" ht="45">
      <c r="A255" s="6" t="s">
        <v>6715</v>
      </c>
      <c r="B255" s="6" t="s">
        <v>6747</v>
      </c>
      <c r="C255" s="6" t="s">
        <v>6767</v>
      </c>
      <c r="D255" s="6" t="s">
        <v>4928</v>
      </c>
      <c r="E255" s="6" t="s">
        <v>4929</v>
      </c>
      <c r="F255" s="6" t="s">
        <v>5963</v>
      </c>
      <c r="G255" s="6"/>
      <c r="H255" s="6" t="s">
        <v>54</v>
      </c>
      <c r="I255" s="6"/>
      <c r="J255" s="6"/>
      <c r="K255" s="6"/>
      <c r="L255" s="6" t="s">
        <v>4930</v>
      </c>
      <c r="M255" s="6"/>
      <c r="N255" s="6" t="s">
        <v>4931</v>
      </c>
      <c r="O255" s="6" t="str">
        <f>HYPERLINK("https://ceds.ed.gov/cedselementdetails.aspx?termid=6435")</f>
        <v>https://ceds.ed.gov/cedselementdetails.aspx?termid=6435</v>
      </c>
      <c r="P255" s="6" t="str">
        <f>HYPERLINK("https://ceds.ed.gov/elementComment.aspx?elementName=Quality Initiative Participation Indicator &amp;elementID=6435", "Click here to submit comment")</f>
        <v>Click here to submit comment</v>
      </c>
    </row>
    <row r="256" spans="1:16" ht="45">
      <c r="A256" s="6" t="s">
        <v>6715</v>
      </c>
      <c r="B256" s="6" t="s">
        <v>6747</v>
      </c>
      <c r="C256" s="6" t="s">
        <v>6767</v>
      </c>
      <c r="D256" s="6" t="s">
        <v>4932</v>
      </c>
      <c r="E256" s="6" t="s">
        <v>4933</v>
      </c>
      <c r="F256" s="6" t="s">
        <v>13</v>
      </c>
      <c r="G256" s="6"/>
      <c r="H256" s="6" t="s">
        <v>54</v>
      </c>
      <c r="I256" s="6" t="s">
        <v>73</v>
      </c>
      <c r="J256" s="6"/>
      <c r="K256" s="6"/>
      <c r="L256" s="6" t="s">
        <v>4934</v>
      </c>
      <c r="M256" s="6"/>
      <c r="N256" s="6" t="s">
        <v>4935</v>
      </c>
      <c r="O256" s="6" t="str">
        <f>HYPERLINK("https://ceds.ed.gov/cedselementdetails.aspx?termid=6437")</f>
        <v>https://ceds.ed.gov/cedselementdetails.aspx?termid=6437</v>
      </c>
      <c r="P256" s="6" t="str">
        <f>HYPERLINK("https://ceds.ed.gov/elementComment.aspx?elementName=Quality Initiative Participation Start Date &amp;elementID=6437", "Click here to submit comment")</f>
        <v>Click here to submit comment</v>
      </c>
    </row>
    <row r="257" spans="1:16" ht="60">
      <c r="A257" s="6" t="s">
        <v>6715</v>
      </c>
      <c r="B257" s="6" t="s">
        <v>6747</v>
      </c>
      <c r="C257" s="6" t="s">
        <v>6767</v>
      </c>
      <c r="D257" s="6" t="s">
        <v>4936</v>
      </c>
      <c r="E257" s="6" t="s">
        <v>4937</v>
      </c>
      <c r="F257" s="6" t="s">
        <v>13</v>
      </c>
      <c r="G257" s="6"/>
      <c r="H257" s="6" t="s">
        <v>54</v>
      </c>
      <c r="I257" s="6" t="s">
        <v>100</v>
      </c>
      <c r="J257" s="6"/>
      <c r="K257" s="6"/>
      <c r="L257" s="6" t="s">
        <v>4938</v>
      </c>
      <c r="M257" s="6"/>
      <c r="N257" s="6" t="s">
        <v>4939</v>
      </c>
      <c r="O257" s="6" t="str">
        <f>HYPERLINK("https://ceds.ed.gov/cedselementdetails.aspx?termid=6434")</f>
        <v>https://ceds.ed.gov/cedselementdetails.aspx?termid=6434</v>
      </c>
      <c r="P257" s="6" t="str">
        <f>HYPERLINK("https://ceds.ed.gov/elementComment.aspx?elementName=Quality Initiative Score Level &amp;elementID=6434", "Click here to submit comment")</f>
        <v>Click here to submit comment</v>
      </c>
    </row>
    <row r="258" spans="1:16" ht="195">
      <c r="A258" s="6" t="s">
        <v>6715</v>
      </c>
      <c r="B258" s="6" t="s">
        <v>6768</v>
      </c>
      <c r="C258" s="6" t="s">
        <v>6717</v>
      </c>
      <c r="D258" s="6" t="s">
        <v>2776</v>
      </c>
      <c r="E258" s="6" t="s">
        <v>2777</v>
      </c>
      <c r="F258" s="6" t="s">
        <v>13</v>
      </c>
      <c r="G258" s="6" t="s">
        <v>6176</v>
      </c>
      <c r="H258" s="6" t="s">
        <v>3</v>
      </c>
      <c r="I258" s="6" t="s">
        <v>1368</v>
      </c>
      <c r="J258" s="6"/>
      <c r="K258" s="6" t="s">
        <v>2778</v>
      </c>
      <c r="L258" s="6" t="s">
        <v>2779</v>
      </c>
      <c r="M258" s="6"/>
      <c r="N258" s="6" t="s">
        <v>2780</v>
      </c>
      <c r="O258" s="6" t="str">
        <f>HYPERLINK("https://ceds.ed.gov/cedselementdetails.aspx?termid=5115")</f>
        <v>https://ceds.ed.gov/cedselementdetails.aspx?termid=5115</v>
      </c>
      <c r="P258" s="6" t="str">
        <f>HYPERLINK("https://ceds.ed.gov/elementComment.aspx?elementName=First Name &amp;elementID=5115", "Click here to submit comment")</f>
        <v>Click here to submit comment</v>
      </c>
    </row>
    <row r="259" spans="1:16" ht="195">
      <c r="A259" s="6" t="s">
        <v>6715</v>
      </c>
      <c r="B259" s="6" t="s">
        <v>6768</v>
      </c>
      <c r="C259" s="6" t="s">
        <v>6717</v>
      </c>
      <c r="D259" s="6" t="s">
        <v>4088</v>
      </c>
      <c r="E259" s="6" t="s">
        <v>4089</v>
      </c>
      <c r="F259" s="6" t="s">
        <v>13</v>
      </c>
      <c r="G259" s="6" t="s">
        <v>6176</v>
      </c>
      <c r="H259" s="6" t="s">
        <v>3</v>
      </c>
      <c r="I259" s="6" t="s">
        <v>1368</v>
      </c>
      <c r="J259" s="6"/>
      <c r="K259" s="6" t="s">
        <v>2778</v>
      </c>
      <c r="L259" s="6" t="s">
        <v>4090</v>
      </c>
      <c r="M259" s="6"/>
      <c r="N259" s="6" t="s">
        <v>4091</v>
      </c>
      <c r="O259" s="6" t="str">
        <f>HYPERLINK("https://ceds.ed.gov/cedselementdetails.aspx?termid=5184")</f>
        <v>https://ceds.ed.gov/cedselementdetails.aspx?termid=5184</v>
      </c>
      <c r="P259" s="6" t="str">
        <f>HYPERLINK("https://ceds.ed.gov/elementComment.aspx?elementName=Middle Name &amp;elementID=5184", "Click here to submit comment")</f>
        <v>Click here to submit comment</v>
      </c>
    </row>
    <row r="260" spans="1:16" ht="195">
      <c r="A260" s="6" t="s">
        <v>6715</v>
      </c>
      <c r="B260" s="6" t="s">
        <v>6768</v>
      </c>
      <c r="C260" s="6" t="s">
        <v>6717</v>
      </c>
      <c r="D260" s="6" t="s">
        <v>3427</v>
      </c>
      <c r="E260" s="6" t="s">
        <v>3428</v>
      </c>
      <c r="F260" s="6" t="s">
        <v>13</v>
      </c>
      <c r="G260" s="6" t="s">
        <v>6176</v>
      </c>
      <c r="H260" s="6" t="s">
        <v>3</v>
      </c>
      <c r="I260" s="6" t="s">
        <v>1368</v>
      </c>
      <c r="J260" s="6"/>
      <c r="K260" s="6" t="s">
        <v>2778</v>
      </c>
      <c r="L260" s="6" t="s">
        <v>3429</v>
      </c>
      <c r="M260" s="6" t="s">
        <v>3430</v>
      </c>
      <c r="N260" s="6" t="s">
        <v>3431</v>
      </c>
      <c r="O260" s="6" t="str">
        <f>HYPERLINK("https://ceds.ed.gov/cedselementdetails.aspx?termid=5172")</f>
        <v>https://ceds.ed.gov/cedselementdetails.aspx?termid=5172</v>
      </c>
      <c r="P260" s="6" t="str">
        <f>HYPERLINK("https://ceds.ed.gov/elementComment.aspx?elementName=Last or Surname &amp;elementID=5172", "Click here to submit comment")</f>
        <v>Click here to submit comment</v>
      </c>
    </row>
    <row r="261" spans="1:16" ht="150">
      <c r="A261" s="6" t="s">
        <v>6715</v>
      </c>
      <c r="B261" s="6" t="s">
        <v>6768</v>
      </c>
      <c r="C261" s="6" t="s">
        <v>6717</v>
      </c>
      <c r="D261" s="6" t="s">
        <v>2829</v>
      </c>
      <c r="E261" s="6" t="s">
        <v>2830</v>
      </c>
      <c r="F261" s="6" t="s">
        <v>13</v>
      </c>
      <c r="G261" s="6" t="s">
        <v>6179</v>
      </c>
      <c r="H261" s="6" t="s">
        <v>3</v>
      </c>
      <c r="I261" s="6" t="s">
        <v>2031</v>
      </c>
      <c r="J261" s="6"/>
      <c r="K261" s="6" t="s">
        <v>2778</v>
      </c>
      <c r="L261" s="6" t="s">
        <v>2831</v>
      </c>
      <c r="M261" s="6"/>
      <c r="N261" s="6" t="s">
        <v>2832</v>
      </c>
      <c r="O261" s="6" t="str">
        <f>HYPERLINK("https://ceds.ed.gov/cedselementdetails.aspx?termid=5121")</f>
        <v>https://ceds.ed.gov/cedselementdetails.aspx?termid=5121</v>
      </c>
      <c r="P261" s="6" t="str">
        <f>HYPERLINK("https://ceds.ed.gov/elementComment.aspx?elementName=Generation Code or Suffix &amp;elementID=5121", "Click here to submit comment")</f>
        <v>Click here to submit comment</v>
      </c>
    </row>
    <row r="262" spans="1:16" ht="105">
      <c r="A262" s="6" t="s">
        <v>6715</v>
      </c>
      <c r="B262" s="6" t="s">
        <v>6768</v>
      </c>
      <c r="C262" s="6" t="s">
        <v>6717</v>
      </c>
      <c r="D262" s="6" t="s">
        <v>4498</v>
      </c>
      <c r="E262" s="6" t="s">
        <v>4499</v>
      </c>
      <c r="F262" s="6" t="s">
        <v>13</v>
      </c>
      <c r="G262" s="6" t="s">
        <v>6280</v>
      </c>
      <c r="H262" s="6" t="s">
        <v>3</v>
      </c>
      <c r="I262" s="6" t="s">
        <v>100</v>
      </c>
      <c r="J262" s="6"/>
      <c r="K262" s="6"/>
      <c r="L262" s="6" t="s">
        <v>4500</v>
      </c>
      <c r="M262" s="6" t="s">
        <v>4501</v>
      </c>
      <c r="N262" s="6" t="s">
        <v>4502</v>
      </c>
      <c r="O262" s="6" t="str">
        <f>HYPERLINK("https://ceds.ed.gov/cedselementdetails.aspx?termid=5212")</f>
        <v>https://ceds.ed.gov/cedselementdetails.aspx?termid=5212</v>
      </c>
      <c r="P262" s="6" t="str">
        <f>HYPERLINK("https://ceds.ed.gov/elementComment.aspx?elementName=Personal Title or Prefix &amp;elementID=5212", "Click here to submit comment")</f>
        <v>Click here to submit comment</v>
      </c>
    </row>
    <row r="263" spans="1:16" ht="90">
      <c r="A263" s="6" t="s">
        <v>6715</v>
      </c>
      <c r="B263" s="6" t="s">
        <v>6768</v>
      </c>
      <c r="C263" s="6" t="s">
        <v>6718</v>
      </c>
      <c r="D263" s="6" t="s">
        <v>4394</v>
      </c>
      <c r="E263" s="6" t="s">
        <v>4395</v>
      </c>
      <c r="F263" s="7" t="s">
        <v>6593</v>
      </c>
      <c r="G263" s="6" t="s">
        <v>6273</v>
      </c>
      <c r="H263" s="6" t="s">
        <v>3</v>
      </c>
      <c r="I263" s="6" t="s">
        <v>100</v>
      </c>
      <c r="J263" s="6"/>
      <c r="K263" s="6"/>
      <c r="L263" s="6" t="s">
        <v>4396</v>
      </c>
      <c r="M263" s="6"/>
      <c r="N263" s="6" t="s">
        <v>4397</v>
      </c>
      <c r="O263" s="6" t="str">
        <f>HYPERLINK("https://ceds.ed.gov/cedselementdetails.aspx?termid=5627")</f>
        <v>https://ceds.ed.gov/cedselementdetails.aspx?termid=5627</v>
      </c>
      <c r="P263" s="6" t="str">
        <f>HYPERLINK("https://ceds.ed.gov/elementComment.aspx?elementName=Other Name Type &amp;elementID=5627", "Click here to submit comment")</f>
        <v>Click here to submit comment</v>
      </c>
    </row>
    <row r="264" spans="1:16" ht="30">
      <c r="A264" s="6" t="s">
        <v>6715</v>
      </c>
      <c r="B264" s="6" t="s">
        <v>6768</v>
      </c>
      <c r="C264" s="6" t="s">
        <v>6718</v>
      </c>
      <c r="D264" s="6" t="s">
        <v>4375</v>
      </c>
      <c r="E264" s="6" t="s">
        <v>4376</v>
      </c>
      <c r="F264" s="6" t="s">
        <v>13</v>
      </c>
      <c r="G264" s="6"/>
      <c r="H264" s="6" t="s">
        <v>54</v>
      </c>
      <c r="I264" s="6" t="s">
        <v>1368</v>
      </c>
      <c r="J264" s="6"/>
      <c r="K264" s="6" t="s">
        <v>4377</v>
      </c>
      <c r="L264" s="6" t="s">
        <v>4378</v>
      </c>
      <c r="M264" s="6"/>
      <c r="N264" s="6" t="s">
        <v>4379</v>
      </c>
      <c r="O264" s="6" t="str">
        <f>HYPERLINK("https://ceds.ed.gov/cedselementdetails.aspx?termid=6486")</f>
        <v>https://ceds.ed.gov/cedselementdetails.aspx?termid=6486</v>
      </c>
      <c r="P264" s="6" t="str">
        <f>HYPERLINK("https://ceds.ed.gov/elementComment.aspx?elementName=Other First Name &amp;elementID=6486", "Click here to submit comment")</f>
        <v>Click here to submit comment</v>
      </c>
    </row>
    <row r="265" spans="1:16" ht="30">
      <c r="A265" s="6" t="s">
        <v>6715</v>
      </c>
      <c r="B265" s="6" t="s">
        <v>6768</v>
      </c>
      <c r="C265" s="6" t="s">
        <v>6718</v>
      </c>
      <c r="D265" s="6" t="s">
        <v>4380</v>
      </c>
      <c r="E265" s="6" t="s">
        <v>4381</v>
      </c>
      <c r="F265" s="6" t="s">
        <v>13</v>
      </c>
      <c r="G265" s="6"/>
      <c r="H265" s="6" t="s">
        <v>54</v>
      </c>
      <c r="I265" s="6" t="s">
        <v>1368</v>
      </c>
      <c r="J265" s="6"/>
      <c r="K265" s="6" t="s">
        <v>4382</v>
      </c>
      <c r="L265" s="6" t="s">
        <v>4383</v>
      </c>
      <c r="M265" s="6"/>
      <c r="N265" s="6" t="s">
        <v>4384</v>
      </c>
      <c r="O265" s="6" t="str">
        <f>HYPERLINK("https://ceds.ed.gov/cedselementdetails.aspx?termid=6485")</f>
        <v>https://ceds.ed.gov/cedselementdetails.aspx?termid=6485</v>
      </c>
      <c r="P265" s="6" t="str">
        <f>HYPERLINK("https://ceds.ed.gov/elementComment.aspx?elementName=Other Last Name &amp;elementID=6485", "Click here to submit comment")</f>
        <v>Click here to submit comment</v>
      </c>
    </row>
    <row r="266" spans="1:16" ht="30">
      <c r="A266" s="6" t="s">
        <v>6715</v>
      </c>
      <c r="B266" s="6" t="s">
        <v>6768</v>
      </c>
      <c r="C266" s="6" t="s">
        <v>6718</v>
      </c>
      <c r="D266" s="6" t="s">
        <v>4385</v>
      </c>
      <c r="E266" s="6" t="s">
        <v>4386</v>
      </c>
      <c r="F266" s="6" t="s">
        <v>13</v>
      </c>
      <c r="G266" s="6"/>
      <c r="H266" s="6" t="s">
        <v>54</v>
      </c>
      <c r="I266" s="6" t="s">
        <v>1368</v>
      </c>
      <c r="J266" s="6"/>
      <c r="K266" s="6" t="s">
        <v>4387</v>
      </c>
      <c r="L266" s="6" t="s">
        <v>4388</v>
      </c>
      <c r="M266" s="6"/>
      <c r="N266" s="6" t="s">
        <v>4389</v>
      </c>
      <c r="O266" s="6" t="str">
        <f>HYPERLINK("https://ceds.ed.gov/cedselementdetails.aspx?termid=6487")</f>
        <v>https://ceds.ed.gov/cedselementdetails.aspx?termid=6487</v>
      </c>
      <c r="P266" s="6" t="str">
        <f>HYPERLINK("https://ceds.ed.gov/elementComment.aspx?elementName=Other Middle Name &amp;elementID=6487", "Click here to submit comment")</f>
        <v>Click here to submit comment</v>
      </c>
    </row>
    <row r="267" spans="1:16" ht="150">
      <c r="A267" s="6" t="s">
        <v>6715</v>
      </c>
      <c r="B267" s="6" t="s">
        <v>6768</v>
      </c>
      <c r="C267" s="6" t="s">
        <v>6718</v>
      </c>
      <c r="D267" s="6" t="s">
        <v>4390</v>
      </c>
      <c r="E267" s="6" t="s">
        <v>4391</v>
      </c>
      <c r="F267" s="6" t="s">
        <v>13</v>
      </c>
      <c r="G267" s="6" t="s">
        <v>6179</v>
      </c>
      <c r="H267" s="6" t="s">
        <v>3</v>
      </c>
      <c r="I267" s="6" t="s">
        <v>149</v>
      </c>
      <c r="J267" s="6"/>
      <c r="K267" s="6"/>
      <c r="L267" s="6" t="s">
        <v>4392</v>
      </c>
      <c r="M267" s="6"/>
      <c r="N267" s="6" t="s">
        <v>4393</v>
      </c>
      <c r="O267" s="6" t="str">
        <f>HYPERLINK("https://ceds.ed.gov/cedselementdetails.aspx?termid=5206")</f>
        <v>https://ceds.ed.gov/cedselementdetails.aspx?termid=5206</v>
      </c>
      <c r="P267" s="6" t="str">
        <f>HYPERLINK("https://ceds.ed.gov/elementComment.aspx?elementName=Other Name &amp;elementID=5206", "Click here to submit comment")</f>
        <v>Click here to submit comment</v>
      </c>
    </row>
    <row r="268" spans="1:16" ht="409.5">
      <c r="A268" s="6" t="s">
        <v>6715</v>
      </c>
      <c r="B268" s="6" t="s">
        <v>6768</v>
      </c>
      <c r="C268" s="6" t="s">
        <v>6769</v>
      </c>
      <c r="D268" s="6" t="s">
        <v>5502</v>
      </c>
      <c r="E268" s="6" t="s">
        <v>5503</v>
      </c>
      <c r="F268" s="7" t="s">
        <v>6662</v>
      </c>
      <c r="G268" s="6" t="s">
        <v>6321</v>
      </c>
      <c r="H268" s="6" t="s">
        <v>3</v>
      </c>
      <c r="I268" s="6"/>
      <c r="J268" s="6"/>
      <c r="K268" s="6"/>
      <c r="L268" s="6" t="s">
        <v>5504</v>
      </c>
      <c r="M268" s="6"/>
      <c r="N268" s="6" t="s">
        <v>5505</v>
      </c>
      <c r="O268" s="6" t="str">
        <f>HYPERLINK("https://ceds.ed.gov/cedselementdetails.aspx?termid=5162")</f>
        <v>https://ceds.ed.gov/cedselementdetails.aspx?termid=5162</v>
      </c>
      <c r="P268" s="6" t="str">
        <f>HYPERLINK("https://ceds.ed.gov/elementComment.aspx?elementName=Staff Member Identification System &amp;elementID=5162", "Click here to submit comment")</f>
        <v>Click here to submit comment</v>
      </c>
    </row>
    <row r="269" spans="1:16" ht="135">
      <c r="A269" s="6" t="s">
        <v>6715</v>
      </c>
      <c r="B269" s="6" t="s">
        <v>6768</v>
      </c>
      <c r="C269" s="6" t="s">
        <v>6769</v>
      </c>
      <c r="D269" s="6" t="s">
        <v>5506</v>
      </c>
      <c r="E269" s="6" t="s">
        <v>5507</v>
      </c>
      <c r="F269" s="6" t="s">
        <v>13</v>
      </c>
      <c r="G269" s="6" t="s">
        <v>6322</v>
      </c>
      <c r="H269" s="6" t="s">
        <v>3</v>
      </c>
      <c r="I269" s="6" t="s">
        <v>100</v>
      </c>
      <c r="J269" s="6"/>
      <c r="K269" s="6"/>
      <c r="L269" s="6" t="s">
        <v>5508</v>
      </c>
      <c r="M269" s="6"/>
      <c r="N269" s="6" t="s">
        <v>5509</v>
      </c>
      <c r="O269" s="6" t="str">
        <f>HYPERLINK("https://ceds.ed.gov/cedselementdetails.aspx?termid=5156")</f>
        <v>https://ceds.ed.gov/cedselementdetails.aspx?termid=5156</v>
      </c>
      <c r="P269" s="6" t="str">
        <f>HYPERLINK("https://ceds.ed.gov/elementComment.aspx?elementName=Staff Member Identifier &amp;elementID=5156", "Click here to submit comment")</f>
        <v>Click here to submit comment</v>
      </c>
    </row>
    <row r="270" spans="1:16" ht="150">
      <c r="A270" s="6" t="s">
        <v>6715</v>
      </c>
      <c r="B270" s="6" t="s">
        <v>6768</v>
      </c>
      <c r="C270" s="6" t="s">
        <v>6720</v>
      </c>
      <c r="D270" s="6" t="s">
        <v>200</v>
      </c>
      <c r="E270" s="6" t="s">
        <v>201</v>
      </c>
      <c r="F270" s="7" t="s">
        <v>6355</v>
      </c>
      <c r="G270" s="6" t="s">
        <v>202</v>
      </c>
      <c r="H270" s="6" t="s">
        <v>3</v>
      </c>
      <c r="I270" s="6" t="s">
        <v>100</v>
      </c>
      <c r="J270" s="6"/>
      <c r="K270" s="6"/>
      <c r="L270" s="6" t="s">
        <v>203</v>
      </c>
      <c r="M270" s="6"/>
      <c r="N270" s="6" t="s">
        <v>204</v>
      </c>
      <c r="O270" s="6" t="str">
        <f>HYPERLINK("https://ceds.ed.gov/cedselementdetails.aspx?termid=5698")</f>
        <v>https://ceds.ed.gov/cedselementdetails.aspx?termid=5698</v>
      </c>
      <c r="P270" s="6" t="str">
        <f>HYPERLINK("https://ceds.ed.gov/elementComment.aspx?elementName=Address Type for Staff &amp;elementID=5698", "Click here to submit comment")</f>
        <v>Click here to submit comment</v>
      </c>
    </row>
    <row r="271" spans="1:16" ht="225">
      <c r="A271" s="6" t="s">
        <v>6715</v>
      </c>
      <c r="B271" s="6" t="s">
        <v>6768</v>
      </c>
      <c r="C271" s="6" t="s">
        <v>6720</v>
      </c>
      <c r="D271" s="6" t="s">
        <v>187</v>
      </c>
      <c r="E271" s="6" t="s">
        <v>188</v>
      </c>
      <c r="F271" s="6" t="s">
        <v>13</v>
      </c>
      <c r="G271" s="6" t="s">
        <v>5973</v>
      </c>
      <c r="H271" s="6" t="s">
        <v>3</v>
      </c>
      <c r="I271" s="6" t="s">
        <v>149</v>
      </c>
      <c r="J271" s="6"/>
      <c r="K271" s="6"/>
      <c r="L271" s="6" t="s">
        <v>189</v>
      </c>
      <c r="M271" s="6"/>
      <c r="N271" s="6" t="s">
        <v>190</v>
      </c>
      <c r="O271" s="6" t="str">
        <f>HYPERLINK("https://ceds.ed.gov/cedselementdetails.aspx?termid=5269")</f>
        <v>https://ceds.ed.gov/cedselementdetails.aspx?termid=5269</v>
      </c>
      <c r="P271" s="6" t="str">
        <f>HYPERLINK("https://ceds.ed.gov/elementComment.aspx?elementName=Address Street Number and Name &amp;elementID=5269", "Click here to submit comment")</f>
        <v>Click here to submit comment</v>
      </c>
    </row>
    <row r="272" spans="1:16" ht="225">
      <c r="A272" s="6" t="s">
        <v>6715</v>
      </c>
      <c r="B272" s="6" t="s">
        <v>6768</v>
      </c>
      <c r="C272" s="6" t="s">
        <v>6720</v>
      </c>
      <c r="D272" s="6" t="s">
        <v>170</v>
      </c>
      <c r="E272" s="6" t="s">
        <v>171</v>
      </c>
      <c r="F272" s="6" t="s">
        <v>13</v>
      </c>
      <c r="G272" s="6" t="s">
        <v>5973</v>
      </c>
      <c r="H272" s="6" t="s">
        <v>3</v>
      </c>
      <c r="I272" s="6" t="s">
        <v>100</v>
      </c>
      <c r="J272" s="6"/>
      <c r="K272" s="6"/>
      <c r="L272" s="6" t="s">
        <v>172</v>
      </c>
      <c r="M272" s="6"/>
      <c r="N272" s="6" t="s">
        <v>173</v>
      </c>
      <c r="O272" s="6" t="str">
        <f>HYPERLINK("https://ceds.ed.gov/cedselementdetails.aspx?termid=5019")</f>
        <v>https://ceds.ed.gov/cedselementdetails.aspx?termid=5019</v>
      </c>
      <c r="P272" s="6" t="str">
        <f>HYPERLINK("https://ceds.ed.gov/elementComment.aspx?elementName=Address Apartment Room or Suite Number &amp;elementID=5019", "Click here to submit comment")</f>
        <v>Click here to submit comment</v>
      </c>
    </row>
    <row r="273" spans="1:16" ht="225">
      <c r="A273" s="6" t="s">
        <v>6715</v>
      </c>
      <c r="B273" s="6" t="s">
        <v>6768</v>
      </c>
      <c r="C273" s="6" t="s">
        <v>6720</v>
      </c>
      <c r="D273" s="6" t="s">
        <v>174</v>
      </c>
      <c r="E273" s="6" t="s">
        <v>175</v>
      </c>
      <c r="F273" s="6" t="s">
        <v>13</v>
      </c>
      <c r="G273" s="6" t="s">
        <v>5973</v>
      </c>
      <c r="H273" s="6" t="s">
        <v>3</v>
      </c>
      <c r="I273" s="6" t="s">
        <v>100</v>
      </c>
      <c r="J273" s="6"/>
      <c r="K273" s="6"/>
      <c r="L273" s="6" t="s">
        <v>176</v>
      </c>
      <c r="M273" s="6"/>
      <c r="N273" s="6" t="s">
        <v>177</v>
      </c>
      <c r="O273" s="6" t="str">
        <f>HYPERLINK("https://ceds.ed.gov/cedselementdetails.aspx?termid=5040")</f>
        <v>https://ceds.ed.gov/cedselementdetails.aspx?termid=5040</v>
      </c>
      <c r="P273" s="6" t="str">
        <f>HYPERLINK("https://ceds.ed.gov/elementComment.aspx?elementName=Address City &amp;elementID=5040", "Click here to submit comment")</f>
        <v>Click here to submit comment</v>
      </c>
    </row>
    <row r="274" spans="1:16" ht="409.5">
      <c r="A274" s="6" t="s">
        <v>6715</v>
      </c>
      <c r="B274" s="6" t="s">
        <v>6768</v>
      </c>
      <c r="C274" s="6" t="s">
        <v>6720</v>
      </c>
      <c r="D274" s="6" t="s">
        <v>5533</v>
      </c>
      <c r="E274" s="6" t="s">
        <v>5534</v>
      </c>
      <c r="F274" s="7" t="s">
        <v>6633</v>
      </c>
      <c r="G274" s="6" t="s">
        <v>6324</v>
      </c>
      <c r="H274" s="6" t="s">
        <v>3</v>
      </c>
      <c r="I274" s="6"/>
      <c r="J274" s="6"/>
      <c r="K274" s="6"/>
      <c r="L274" s="6" t="s">
        <v>5535</v>
      </c>
      <c r="M274" s="6"/>
      <c r="N274" s="6" t="s">
        <v>5536</v>
      </c>
      <c r="O274" s="6" t="str">
        <f>HYPERLINK("https://ceds.ed.gov/cedselementdetails.aspx?termid=5267")</f>
        <v>https://ceds.ed.gov/cedselementdetails.aspx?termid=5267</v>
      </c>
      <c r="P274" s="6" t="str">
        <f>HYPERLINK("https://ceds.ed.gov/elementComment.aspx?elementName=State Abbreviation &amp;elementID=5267", "Click here to submit comment")</f>
        <v>Click here to submit comment</v>
      </c>
    </row>
    <row r="275" spans="1:16" ht="225">
      <c r="A275" s="6" t="s">
        <v>6715</v>
      </c>
      <c r="B275" s="6" t="s">
        <v>6768</v>
      </c>
      <c r="C275" s="6" t="s">
        <v>6720</v>
      </c>
      <c r="D275" s="6" t="s">
        <v>182</v>
      </c>
      <c r="E275" s="6" t="s">
        <v>183</v>
      </c>
      <c r="F275" s="6" t="s">
        <v>13</v>
      </c>
      <c r="G275" s="6" t="s">
        <v>5973</v>
      </c>
      <c r="H275" s="6" t="s">
        <v>3</v>
      </c>
      <c r="I275" s="6" t="s">
        <v>184</v>
      </c>
      <c r="J275" s="6"/>
      <c r="K275" s="6"/>
      <c r="L275" s="6" t="s">
        <v>185</v>
      </c>
      <c r="M275" s="6"/>
      <c r="N275" s="6" t="s">
        <v>186</v>
      </c>
      <c r="O275" s="6" t="str">
        <f>HYPERLINK("https://ceds.ed.gov/cedselementdetails.aspx?termid=5214")</f>
        <v>https://ceds.ed.gov/cedselementdetails.aspx?termid=5214</v>
      </c>
      <c r="P275" s="6" t="str">
        <f>HYPERLINK("https://ceds.ed.gov/elementComment.aspx?elementName=Address Postal Code &amp;elementID=5214", "Click here to submit comment")</f>
        <v>Click here to submit comment</v>
      </c>
    </row>
    <row r="276" spans="1:16" ht="225">
      <c r="A276" s="6" t="s">
        <v>6715</v>
      </c>
      <c r="B276" s="6" t="s">
        <v>6768</v>
      </c>
      <c r="C276" s="6" t="s">
        <v>6720</v>
      </c>
      <c r="D276" s="6" t="s">
        <v>178</v>
      </c>
      <c r="E276" s="6" t="s">
        <v>179</v>
      </c>
      <c r="F276" s="6" t="s">
        <v>13</v>
      </c>
      <c r="G276" s="6" t="s">
        <v>5973</v>
      </c>
      <c r="H276" s="6" t="s">
        <v>3</v>
      </c>
      <c r="I276" s="6" t="s">
        <v>100</v>
      </c>
      <c r="J276" s="6"/>
      <c r="K276" s="6"/>
      <c r="L276" s="6" t="s">
        <v>180</v>
      </c>
      <c r="M276" s="6"/>
      <c r="N276" s="6" t="s">
        <v>181</v>
      </c>
      <c r="O276" s="6" t="str">
        <f>HYPERLINK("https://ceds.ed.gov/cedselementdetails.aspx?termid=5190")</f>
        <v>https://ceds.ed.gov/cedselementdetails.aspx?termid=5190</v>
      </c>
      <c r="P276" s="6" t="str">
        <f>HYPERLINK("https://ceds.ed.gov/elementComment.aspx?elementName=Address County Name &amp;elementID=5190", "Click here to submit comment")</f>
        <v>Click here to submit comment</v>
      </c>
    </row>
    <row r="277" spans="1:16" ht="409.5">
      <c r="A277" s="6" t="s">
        <v>6715</v>
      </c>
      <c r="B277" s="6" t="s">
        <v>6768</v>
      </c>
      <c r="C277" s="6" t="s">
        <v>6720</v>
      </c>
      <c r="D277" s="6" t="s">
        <v>1809</v>
      </c>
      <c r="E277" s="6" t="s">
        <v>1810</v>
      </c>
      <c r="F277" s="7" t="s">
        <v>6433</v>
      </c>
      <c r="G277" s="6" t="s">
        <v>6107</v>
      </c>
      <c r="H277" s="6" t="s">
        <v>3</v>
      </c>
      <c r="I277" s="6"/>
      <c r="J277" s="6"/>
      <c r="K277" s="6"/>
      <c r="L277" s="6" t="s">
        <v>1811</v>
      </c>
      <c r="M277" s="6"/>
      <c r="N277" s="6" t="s">
        <v>1812</v>
      </c>
      <c r="O277" s="6" t="str">
        <f>HYPERLINK("https://ceds.ed.gov/cedselementdetails.aspx?termid=5050")</f>
        <v>https://ceds.ed.gov/cedselementdetails.aspx?termid=5050</v>
      </c>
      <c r="P277" s="6" t="str">
        <f>HYPERLINK("https://ceds.ed.gov/elementComment.aspx?elementName=Country Code &amp;elementID=5050", "Click here to submit comment")</f>
        <v>Click here to submit comment</v>
      </c>
    </row>
    <row r="278" spans="1:16" ht="135">
      <c r="A278" s="6" t="s">
        <v>6715</v>
      </c>
      <c r="B278" s="6" t="s">
        <v>6768</v>
      </c>
      <c r="C278" s="6" t="s">
        <v>6721</v>
      </c>
      <c r="D278" s="6" t="s">
        <v>5732</v>
      </c>
      <c r="E278" s="6" t="s">
        <v>5733</v>
      </c>
      <c r="F278" s="7" t="s">
        <v>6675</v>
      </c>
      <c r="G278" s="6" t="s">
        <v>5968</v>
      </c>
      <c r="H278" s="6" t="s">
        <v>3</v>
      </c>
      <c r="I278" s="6" t="s">
        <v>2844</v>
      </c>
      <c r="J278" s="6"/>
      <c r="K278" s="6"/>
      <c r="L278" s="6" t="s">
        <v>5734</v>
      </c>
      <c r="M278" s="6"/>
      <c r="N278" s="6" t="s">
        <v>5735</v>
      </c>
      <c r="O278" s="6" t="str">
        <f>HYPERLINK("https://ceds.ed.gov/cedselementdetails.aspx?termid=5280")</f>
        <v>https://ceds.ed.gov/cedselementdetails.aspx?termid=5280</v>
      </c>
      <c r="P278" s="6" t="str">
        <f>HYPERLINK("https://ceds.ed.gov/elementComment.aspx?elementName=Telephone Number Type &amp;elementID=5280", "Click here to submit comment")</f>
        <v>Click here to submit comment</v>
      </c>
    </row>
    <row r="279" spans="1:16" ht="90">
      <c r="A279" s="6" t="s">
        <v>6715</v>
      </c>
      <c r="B279" s="6" t="s">
        <v>6768</v>
      </c>
      <c r="C279" s="6" t="s">
        <v>6721</v>
      </c>
      <c r="D279" s="6" t="s">
        <v>4591</v>
      </c>
      <c r="E279" s="6" t="s">
        <v>4592</v>
      </c>
      <c r="F279" s="6" t="s">
        <v>5963</v>
      </c>
      <c r="G279" s="6" t="s">
        <v>5968</v>
      </c>
      <c r="H279" s="6" t="s">
        <v>3</v>
      </c>
      <c r="I279" s="6"/>
      <c r="J279" s="6"/>
      <c r="K279" s="6"/>
      <c r="L279" s="6" t="s">
        <v>4593</v>
      </c>
      <c r="M279" s="6"/>
      <c r="N279" s="6" t="s">
        <v>4594</v>
      </c>
      <c r="O279" s="6" t="str">
        <f>HYPERLINK("https://ceds.ed.gov/cedselementdetails.aspx?termid=5219")</f>
        <v>https://ceds.ed.gov/cedselementdetails.aspx?termid=5219</v>
      </c>
      <c r="P279" s="6" t="str">
        <f>HYPERLINK("https://ceds.ed.gov/elementComment.aspx?elementName=Primary Telephone Number Indicator &amp;elementID=5219", "Click here to submit comment")</f>
        <v>Click here to submit comment</v>
      </c>
    </row>
    <row r="280" spans="1:16" ht="90">
      <c r="A280" s="6" t="s">
        <v>6715</v>
      </c>
      <c r="B280" s="6" t="s">
        <v>6768</v>
      </c>
      <c r="C280" s="6" t="s">
        <v>6721</v>
      </c>
      <c r="D280" s="6" t="s">
        <v>5727</v>
      </c>
      <c r="E280" s="6" t="s">
        <v>5728</v>
      </c>
      <c r="F280" s="6" t="s">
        <v>13</v>
      </c>
      <c r="G280" s="6" t="s">
        <v>5968</v>
      </c>
      <c r="H280" s="6" t="s">
        <v>3</v>
      </c>
      <c r="I280" s="6" t="s">
        <v>5729</v>
      </c>
      <c r="J280" s="6"/>
      <c r="K280" s="6"/>
      <c r="L280" s="6" t="s">
        <v>5730</v>
      </c>
      <c r="M280" s="6"/>
      <c r="N280" s="6" t="s">
        <v>5731</v>
      </c>
      <c r="O280" s="6" t="str">
        <f>HYPERLINK("https://ceds.ed.gov/cedselementdetails.aspx?termid=5279")</f>
        <v>https://ceds.ed.gov/cedselementdetails.aspx?termid=5279</v>
      </c>
      <c r="P280" s="6" t="str">
        <f>HYPERLINK("https://ceds.ed.gov/elementComment.aspx?elementName=Telephone Number &amp;elementID=5279", "Click here to submit comment")</f>
        <v>Click here to submit comment</v>
      </c>
    </row>
    <row r="281" spans="1:16" ht="105">
      <c r="A281" s="6" t="s">
        <v>6715</v>
      </c>
      <c r="B281" s="6" t="s">
        <v>6768</v>
      </c>
      <c r="C281" s="6" t="s">
        <v>6742</v>
      </c>
      <c r="D281" s="6" t="s">
        <v>2457</v>
      </c>
      <c r="E281" s="6" t="s">
        <v>2458</v>
      </c>
      <c r="F281" s="7" t="s">
        <v>6489</v>
      </c>
      <c r="G281" s="6" t="s">
        <v>5968</v>
      </c>
      <c r="H281" s="6" t="s">
        <v>3</v>
      </c>
      <c r="I281" s="6"/>
      <c r="J281" s="6"/>
      <c r="K281" s="6"/>
      <c r="L281" s="6" t="s">
        <v>2459</v>
      </c>
      <c r="M281" s="6" t="s">
        <v>2460</v>
      </c>
      <c r="N281" s="6" t="s">
        <v>2461</v>
      </c>
      <c r="O281" s="6" t="str">
        <f>HYPERLINK("https://ceds.ed.gov/cedselementdetails.aspx?termid=5089")</f>
        <v>https://ceds.ed.gov/cedselementdetails.aspx?termid=5089</v>
      </c>
      <c r="P281" s="6" t="str">
        <f>HYPERLINK("https://ceds.ed.gov/elementComment.aspx?elementName=Electronic Mail Address Type &amp;elementID=5089", "Click here to submit comment")</f>
        <v>Click here to submit comment</v>
      </c>
    </row>
    <row r="282" spans="1:16" ht="90">
      <c r="A282" s="6" t="s">
        <v>6715</v>
      </c>
      <c r="B282" s="6" t="s">
        <v>6768</v>
      </c>
      <c r="C282" s="6" t="s">
        <v>6742</v>
      </c>
      <c r="D282" s="6" t="s">
        <v>2451</v>
      </c>
      <c r="E282" s="6" t="s">
        <v>2452</v>
      </c>
      <c r="F282" s="6" t="s">
        <v>13</v>
      </c>
      <c r="G282" s="6" t="s">
        <v>5968</v>
      </c>
      <c r="H282" s="6" t="s">
        <v>3</v>
      </c>
      <c r="I282" s="6" t="s">
        <v>2453</v>
      </c>
      <c r="J282" s="6"/>
      <c r="K282" s="6"/>
      <c r="L282" s="6" t="s">
        <v>2454</v>
      </c>
      <c r="M282" s="6" t="s">
        <v>2455</v>
      </c>
      <c r="N282" s="6" t="s">
        <v>2456</v>
      </c>
      <c r="O282" s="6" t="str">
        <f>HYPERLINK("https://ceds.ed.gov/cedselementdetails.aspx?termid=5088")</f>
        <v>https://ceds.ed.gov/cedselementdetails.aspx?termid=5088</v>
      </c>
      <c r="P282" s="6" t="str">
        <f>HYPERLINK("https://ceds.ed.gov/elementComment.aspx?elementName=Electronic Mail Address &amp;elementID=5088", "Click here to submit comment")</f>
        <v>Click here to submit comment</v>
      </c>
    </row>
    <row r="283" spans="1:16" ht="240">
      <c r="A283" s="6" t="s">
        <v>6715</v>
      </c>
      <c r="B283" s="6" t="s">
        <v>6768</v>
      </c>
      <c r="C283" s="6" t="s">
        <v>6722</v>
      </c>
      <c r="D283" s="6" t="s">
        <v>1474</v>
      </c>
      <c r="E283" s="6" t="s">
        <v>1475</v>
      </c>
      <c r="F283" s="6" t="s">
        <v>13</v>
      </c>
      <c r="G283" s="6" t="s">
        <v>6080</v>
      </c>
      <c r="H283" s="6" t="s">
        <v>3</v>
      </c>
      <c r="I283" s="6" t="s">
        <v>73</v>
      </c>
      <c r="J283" s="6"/>
      <c r="K283" s="6"/>
      <c r="L283" s="6" t="s">
        <v>1476</v>
      </c>
      <c r="M283" s="6"/>
      <c r="N283" s="6" t="s">
        <v>1474</v>
      </c>
      <c r="O283" s="6" t="str">
        <f>HYPERLINK("https://ceds.ed.gov/cedselementdetails.aspx?termid=5033")</f>
        <v>https://ceds.ed.gov/cedselementdetails.aspx?termid=5033</v>
      </c>
      <c r="P283" s="6" t="str">
        <f>HYPERLINK("https://ceds.ed.gov/elementComment.aspx?elementName=Birthdate &amp;elementID=5033", "Click here to submit comment")</f>
        <v>Click here to submit comment</v>
      </c>
    </row>
    <row r="284" spans="1:16" ht="255">
      <c r="A284" s="6" t="s">
        <v>6715</v>
      </c>
      <c r="B284" s="6" t="s">
        <v>6768</v>
      </c>
      <c r="C284" s="6" t="s">
        <v>6722</v>
      </c>
      <c r="D284" s="6" t="s">
        <v>5353</v>
      </c>
      <c r="E284" s="6" t="s">
        <v>5354</v>
      </c>
      <c r="F284" s="7" t="s">
        <v>6656</v>
      </c>
      <c r="G284" s="6" t="s">
        <v>6312</v>
      </c>
      <c r="H284" s="6" t="s">
        <v>3</v>
      </c>
      <c r="I284" s="6"/>
      <c r="J284" s="6"/>
      <c r="K284" s="6" t="s">
        <v>5355</v>
      </c>
      <c r="L284" s="6" t="s">
        <v>5356</v>
      </c>
      <c r="M284" s="6"/>
      <c r="N284" s="6" t="s">
        <v>5353</v>
      </c>
      <c r="O284" s="6" t="str">
        <f>HYPERLINK("https://ceds.ed.gov/cedselementdetails.aspx?termid=5255")</f>
        <v>https://ceds.ed.gov/cedselementdetails.aspx?termid=5255</v>
      </c>
      <c r="P284" s="6" t="str">
        <f>HYPERLINK("https://ceds.ed.gov/elementComment.aspx?elementName=Sex &amp;elementID=5255", "Click here to submit comment")</f>
        <v>Click here to submit comment</v>
      </c>
    </row>
    <row r="285" spans="1:16" ht="225">
      <c r="A285" s="6" t="s">
        <v>6715</v>
      </c>
      <c r="B285" s="6" t="s">
        <v>6768</v>
      </c>
      <c r="C285" s="6" t="s">
        <v>6722</v>
      </c>
      <c r="D285" s="6" t="s">
        <v>351</v>
      </c>
      <c r="E285" s="6" t="s">
        <v>352</v>
      </c>
      <c r="F285" s="7" t="s">
        <v>6373</v>
      </c>
      <c r="G285" s="6" t="s">
        <v>5986</v>
      </c>
      <c r="H285" s="6"/>
      <c r="I285" s="6"/>
      <c r="J285" s="6"/>
      <c r="K285" s="6" t="s">
        <v>353</v>
      </c>
      <c r="L285" s="6" t="s">
        <v>354</v>
      </c>
      <c r="M285" s="6"/>
      <c r="N285" s="6" t="s">
        <v>355</v>
      </c>
      <c r="O285" s="6" t="str">
        <f>HYPERLINK("https://ceds.ed.gov/cedselementdetails.aspx?termid=5655")</f>
        <v>https://ceds.ed.gov/cedselementdetails.aspx?termid=5655</v>
      </c>
      <c r="P285" s="6" t="str">
        <f>HYPERLINK("https://ceds.ed.gov/elementComment.aspx?elementName=American Indian or Alaska Native &amp;elementID=5655", "Click here to submit comment")</f>
        <v>Click here to submit comment</v>
      </c>
    </row>
    <row r="286" spans="1:16" ht="225">
      <c r="A286" s="6" t="s">
        <v>6715</v>
      </c>
      <c r="B286" s="6" t="s">
        <v>6768</v>
      </c>
      <c r="C286" s="6" t="s">
        <v>6722</v>
      </c>
      <c r="D286" s="6" t="s">
        <v>392</v>
      </c>
      <c r="E286" s="6" t="s">
        <v>393</v>
      </c>
      <c r="F286" s="7" t="s">
        <v>6373</v>
      </c>
      <c r="G286" s="6" t="s">
        <v>5986</v>
      </c>
      <c r="H286" s="6"/>
      <c r="I286" s="6"/>
      <c r="J286" s="6"/>
      <c r="K286" s="6" t="s">
        <v>353</v>
      </c>
      <c r="L286" s="6" t="s">
        <v>394</v>
      </c>
      <c r="M286" s="6"/>
      <c r="N286" s="6" t="s">
        <v>392</v>
      </c>
      <c r="O286" s="6" t="str">
        <f>HYPERLINK("https://ceds.ed.gov/cedselementdetails.aspx?termid=5656")</f>
        <v>https://ceds.ed.gov/cedselementdetails.aspx?termid=5656</v>
      </c>
      <c r="P286" s="6" t="str">
        <f>HYPERLINK("https://ceds.ed.gov/elementComment.aspx?elementName=Asian &amp;elementID=5656", "Click here to submit comment")</f>
        <v>Click here to submit comment</v>
      </c>
    </row>
    <row r="287" spans="1:16" ht="225">
      <c r="A287" s="6" t="s">
        <v>6715</v>
      </c>
      <c r="B287" s="6" t="s">
        <v>6768</v>
      </c>
      <c r="C287" s="6" t="s">
        <v>6722</v>
      </c>
      <c r="D287" s="6" t="s">
        <v>1483</v>
      </c>
      <c r="E287" s="6" t="s">
        <v>1484</v>
      </c>
      <c r="F287" s="7" t="s">
        <v>6373</v>
      </c>
      <c r="G287" s="6" t="s">
        <v>5986</v>
      </c>
      <c r="H287" s="6"/>
      <c r="I287" s="6"/>
      <c r="J287" s="6"/>
      <c r="K287" s="6" t="s">
        <v>353</v>
      </c>
      <c r="L287" s="6" t="s">
        <v>1485</v>
      </c>
      <c r="M287" s="6"/>
      <c r="N287" s="6" t="s">
        <v>1486</v>
      </c>
      <c r="O287" s="6" t="str">
        <f>HYPERLINK("https://ceds.ed.gov/cedselementdetails.aspx?termid=5657")</f>
        <v>https://ceds.ed.gov/cedselementdetails.aspx?termid=5657</v>
      </c>
      <c r="P287" s="6" t="str">
        <f>HYPERLINK("https://ceds.ed.gov/elementComment.aspx?elementName=Black or African American &amp;elementID=5657", "Click here to submit comment")</f>
        <v>Click here to submit comment</v>
      </c>
    </row>
    <row r="288" spans="1:16" ht="225">
      <c r="A288" s="6" t="s">
        <v>6715</v>
      </c>
      <c r="B288" s="6" t="s">
        <v>6768</v>
      </c>
      <c r="C288" s="6" t="s">
        <v>6722</v>
      </c>
      <c r="D288" s="6" t="s">
        <v>4202</v>
      </c>
      <c r="E288" s="6" t="s">
        <v>4203</v>
      </c>
      <c r="F288" s="7" t="s">
        <v>6373</v>
      </c>
      <c r="G288" s="6" t="s">
        <v>5986</v>
      </c>
      <c r="H288" s="6"/>
      <c r="I288" s="6"/>
      <c r="J288" s="6"/>
      <c r="K288" s="6" t="s">
        <v>353</v>
      </c>
      <c r="L288" s="6" t="s">
        <v>4204</v>
      </c>
      <c r="M288" s="6"/>
      <c r="N288" s="6" t="s">
        <v>4205</v>
      </c>
      <c r="O288" s="6" t="str">
        <f>HYPERLINK("https://ceds.ed.gov/cedselementdetails.aspx?termid=5658")</f>
        <v>https://ceds.ed.gov/cedselementdetails.aspx?termid=5658</v>
      </c>
      <c r="P288" s="6" t="str">
        <f>HYPERLINK("https://ceds.ed.gov/elementComment.aspx?elementName=Native Hawaiian or Other Pacific Islander &amp;elementID=5658", "Click here to submit comment")</f>
        <v>Click here to submit comment</v>
      </c>
    </row>
    <row r="289" spans="1:16" ht="225">
      <c r="A289" s="6" t="s">
        <v>6715</v>
      </c>
      <c r="B289" s="6" t="s">
        <v>6768</v>
      </c>
      <c r="C289" s="6" t="s">
        <v>6722</v>
      </c>
      <c r="D289" s="6" t="s">
        <v>5925</v>
      </c>
      <c r="E289" s="6" t="s">
        <v>5926</v>
      </c>
      <c r="F289" s="7" t="s">
        <v>6373</v>
      </c>
      <c r="G289" s="6" t="s">
        <v>5986</v>
      </c>
      <c r="H289" s="6"/>
      <c r="I289" s="6"/>
      <c r="J289" s="6"/>
      <c r="K289" s="6" t="s">
        <v>353</v>
      </c>
      <c r="L289" s="6" t="s">
        <v>5927</v>
      </c>
      <c r="M289" s="6"/>
      <c r="N289" s="6" t="s">
        <v>5925</v>
      </c>
      <c r="O289" s="6" t="str">
        <f>HYPERLINK("https://ceds.ed.gov/cedselementdetails.aspx?termid=5659")</f>
        <v>https://ceds.ed.gov/cedselementdetails.aspx?termid=5659</v>
      </c>
      <c r="P289" s="6" t="str">
        <f>HYPERLINK("https://ceds.ed.gov/elementComment.aspx?elementName=White &amp;elementID=5659", "Click here to submit comment")</f>
        <v>Click here to submit comment</v>
      </c>
    </row>
    <row r="290" spans="1:16" ht="225">
      <c r="A290" s="6" t="s">
        <v>6715</v>
      </c>
      <c r="B290" s="6" t="s">
        <v>6768</v>
      </c>
      <c r="C290" s="6" t="s">
        <v>6722</v>
      </c>
      <c r="D290" s="6" t="s">
        <v>2985</v>
      </c>
      <c r="E290" s="6" t="s">
        <v>2986</v>
      </c>
      <c r="F290" s="7" t="s">
        <v>6373</v>
      </c>
      <c r="G290" s="6" t="s">
        <v>5986</v>
      </c>
      <c r="H290" s="6"/>
      <c r="I290" s="6"/>
      <c r="J290" s="6"/>
      <c r="K290" s="6" t="s">
        <v>353</v>
      </c>
      <c r="L290" s="6" t="s">
        <v>2987</v>
      </c>
      <c r="M290" s="6"/>
      <c r="N290" s="6" t="s">
        <v>2988</v>
      </c>
      <c r="O290" s="6" t="str">
        <f>HYPERLINK("https://ceds.ed.gov/cedselementdetails.aspx?termid=5144")</f>
        <v>https://ceds.ed.gov/cedselementdetails.aspx?termid=5144</v>
      </c>
      <c r="P290" s="6" t="str">
        <f>HYPERLINK("https://ceds.ed.gov/elementComment.aspx?elementName=Hispanic or Latino Ethnicity &amp;elementID=5144", "Click here to submit comment")</f>
        <v>Click here to submit comment</v>
      </c>
    </row>
    <row r="291" spans="1:16" ht="225">
      <c r="A291" s="6" t="s">
        <v>6715</v>
      </c>
      <c r="B291" s="6" t="s">
        <v>6768</v>
      </c>
      <c r="C291" s="6" t="s">
        <v>6743</v>
      </c>
      <c r="D291" s="6" t="s">
        <v>4189</v>
      </c>
      <c r="E291" s="6" t="s">
        <v>4190</v>
      </c>
      <c r="F291" s="6" t="s">
        <v>13</v>
      </c>
      <c r="G291" s="6" t="s">
        <v>6257</v>
      </c>
      <c r="H291" s="6"/>
      <c r="I291" s="6" t="s">
        <v>106</v>
      </c>
      <c r="J291" s="6"/>
      <c r="K291" s="6"/>
      <c r="L291" s="6" t="s">
        <v>4191</v>
      </c>
      <c r="M291" s="6"/>
      <c r="N291" s="6" t="s">
        <v>4192</v>
      </c>
      <c r="O291" s="6" t="str">
        <f>HYPERLINK("https://ceds.ed.gov/cedselementdetails.aspx?termid=5191")</f>
        <v>https://ceds.ed.gov/cedselementdetails.aspx?termid=5191</v>
      </c>
      <c r="P291" s="6" t="str">
        <f>HYPERLINK("https://ceds.ed.gov/elementComment.aspx?elementName=Name of Institution &amp;elementID=5191", "Click here to submit comment")</f>
        <v>Click here to submit comment</v>
      </c>
    </row>
    <row r="292" spans="1:16" ht="45">
      <c r="A292" s="6" t="s">
        <v>6715</v>
      </c>
      <c r="B292" s="6" t="s">
        <v>6768</v>
      </c>
      <c r="C292" s="6" t="s">
        <v>6743</v>
      </c>
      <c r="D292" s="6" t="s">
        <v>2294</v>
      </c>
      <c r="E292" s="6" t="s">
        <v>2295</v>
      </c>
      <c r="F292" s="6" t="s">
        <v>5963</v>
      </c>
      <c r="G292" s="6" t="s">
        <v>202</v>
      </c>
      <c r="H292" s="6"/>
      <c r="I292" s="6"/>
      <c r="J292" s="6"/>
      <c r="K292" s="6"/>
      <c r="L292" s="6" t="s">
        <v>2296</v>
      </c>
      <c r="M292" s="6"/>
      <c r="N292" s="6" t="s">
        <v>2297</v>
      </c>
      <c r="O292" s="6" t="str">
        <f>HYPERLINK("https://ceds.ed.gov/cedselementdetails.aspx?termid=5786")</f>
        <v>https://ceds.ed.gov/cedselementdetails.aspx?termid=5786</v>
      </c>
      <c r="P292" s="6" t="str">
        <f>HYPERLINK("https://ceds.ed.gov/elementComment.aspx?elementName=Early Childhood Degree or Certificate Holder &amp;elementID=5786", "Click here to submit comment")</f>
        <v>Click here to submit comment</v>
      </c>
    </row>
    <row r="293" spans="1:16" ht="150">
      <c r="A293" s="6" t="s">
        <v>6715</v>
      </c>
      <c r="B293" s="6" t="s">
        <v>6768</v>
      </c>
      <c r="C293" s="6" t="s">
        <v>6743</v>
      </c>
      <c r="D293" s="6" t="s">
        <v>3967</v>
      </c>
      <c r="E293" s="6" t="s">
        <v>3968</v>
      </c>
      <c r="F293" s="7" t="s">
        <v>6573</v>
      </c>
      <c r="G293" s="6" t="s">
        <v>6154</v>
      </c>
      <c r="H293" s="6"/>
      <c r="I293" s="6"/>
      <c r="J293" s="6"/>
      <c r="K293" s="6"/>
      <c r="L293" s="6" t="s">
        <v>3969</v>
      </c>
      <c r="M293" s="6"/>
      <c r="N293" s="6" t="s">
        <v>3970</v>
      </c>
      <c r="O293" s="6" t="str">
        <f>HYPERLINK("https://ceds.ed.gov/cedselementdetails.aspx?termid=5340")</f>
        <v>https://ceds.ed.gov/cedselementdetails.aspx?termid=5340</v>
      </c>
      <c r="P293" s="6" t="str">
        <f>HYPERLINK("https://ceds.ed.gov/elementComment.aspx?elementName=Level of Specialization in Early Learning &amp;elementID=5340", "Click here to submit comment")</f>
        <v>Click here to submit comment</v>
      </c>
    </row>
    <row r="294" spans="1:16" ht="60">
      <c r="A294" s="6" t="s">
        <v>6715</v>
      </c>
      <c r="B294" s="6" t="s">
        <v>6768</v>
      </c>
      <c r="C294" s="6" t="s">
        <v>6743</v>
      </c>
      <c r="D294" s="6" t="s">
        <v>2131</v>
      </c>
      <c r="E294" s="6" t="s">
        <v>2132</v>
      </c>
      <c r="F294" s="6" t="s">
        <v>13</v>
      </c>
      <c r="G294" s="6" t="s">
        <v>6131</v>
      </c>
      <c r="H294" s="6"/>
      <c r="I294" s="6" t="s">
        <v>1249</v>
      </c>
      <c r="J294" s="6"/>
      <c r="K294" s="6"/>
      <c r="L294" s="6" t="s">
        <v>2133</v>
      </c>
      <c r="M294" s="6"/>
      <c r="N294" s="6" t="s">
        <v>2134</v>
      </c>
      <c r="O294" s="6" t="str">
        <f>HYPERLINK("https://ceds.ed.gov/cedselementdetails.aspx?termid=5341")</f>
        <v>https://ceds.ed.gov/cedselementdetails.aspx?termid=5341</v>
      </c>
      <c r="P294" s="6" t="str">
        <f>HYPERLINK("https://ceds.ed.gov/elementComment.aspx?elementName=Degree or Certificate Title or Subject &amp;elementID=5341", "Click here to submit comment")</f>
        <v>Click here to submit comment</v>
      </c>
    </row>
    <row r="295" spans="1:16" ht="409.5">
      <c r="A295" s="6" t="s">
        <v>6715</v>
      </c>
      <c r="B295" s="6" t="s">
        <v>6768</v>
      </c>
      <c r="C295" s="6" t="s">
        <v>6743</v>
      </c>
      <c r="D295" s="6" t="s">
        <v>2135</v>
      </c>
      <c r="E295" s="6" t="s">
        <v>2136</v>
      </c>
      <c r="F295" s="7" t="s">
        <v>6454</v>
      </c>
      <c r="G295" s="6" t="s">
        <v>6131</v>
      </c>
      <c r="H295" s="6"/>
      <c r="I295" s="6"/>
      <c r="J295" s="6"/>
      <c r="K295" s="6"/>
      <c r="L295" s="6" t="s">
        <v>2137</v>
      </c>
      <c r="M295" s="6"/>
      <c r="N295" s="6" t="s">
        <v>2138</v>
      </c>
      <c r="O295" s="6" t="str">
        <f>HYPERLINK("https://ceds.ed.gov/cedselementdetails.aspx?termid=5342")</f>
        <v>https://ceds.ed.gov/cedselementdetails.aspx?termid=5342</v>
      </c>
      <c r="P295" s="6" t="str">
        <f>HYPERLINK("https://ceds.ed.gov/elementComment.aspx?elementName=Degree or Certificate Type &amp;elementID=5342", "Click here to submit comment")</f>
        <v>Click here to submit comment</v>
      </c>
    </row>
    <row r="296" spans="1:16" ht="60">
      <c r="A296" s="6" t="s">
        <v>6715</v>
      </c>
      <c r="B296" s="6" t="s">
        <v>6768</v>
      </c>
      <c r="C296" s="6" t="s">
        <v>6743</v>
      </c>
      <c r="D296" s="6" t="s">
        <v>2123</v>
      </c>
      <c r="E296" s="6" t="s">
        <v>2124</v>
      </c>
      <c r="F296" s="6" t="s">
        <v>13</v>
      </c>
      <c r="G296" s="6" t="s">
        <v>6131</v>
      </c>
      <c r="H296" s="6"/>
      <c r="I296" s="6" t="s">
        <v>73</v>
      </c>
      <c r="J296" s="6"/>
      <c r="K296" s="6"/>
      <c r="L296" s="6" t="s">
        <v>2125</v>
      </c>
      <c r="M296" s="6"/>
      <c r="N296" s="6" t="s">
        <v>2126</v>
      </c>
      <c r="O296" s="6" t="str">
        <f>HYPERLINK("https://ceds.ed.gov/cedselementdetails.aspx?termid=5343")</f>
        <v>https://ceds.ed.gov/cedselementdetails.aspx?termid=5343</v>
      </c>
      <c r="P296" s="6" t="str">
        <f>HYPERLINK("https://ceds.ed.gov/elementComment.aspx?elementName=Degree or Certificate Conferring Date &amp;elementID=5343", "Click here to submit comment")</f>
        <v>Click here to submit comment</v>
      </c>
    </row>
    <row r="297" spans="1:16" ht="90">
      <c r="A297" s="6" t="s">
        <v>6715</v>
      </c>
      <c r="B297" s="6" t="s">
        <v>6768</v>
      </c>
      <c r="C297" s="6" t="s">
        <v>6743</v>
      </c>
      <c r="D297" s="6" t="s">
        <v>5829</v>
      </c>
      <c r="E297" s="6" t="s">
        <v>5830</v>
      </c>
      <c r="F297" s="6" t="s">
        <v>13</v>
      </c>
      <c r="G297" s="6" t="s">
        <v>202</v>
      </c>
      <c r="H297" s="6"/>
      <c r="I297" s="6" t="s">
        <v>389</v>
      </c>
      <c r="J297" s="6"/>
      <c r="K297" s="6"/>
      <c r="L297" s="6" t="s">
        <v>5831</v>
      </c>
      <c r="M297" s="6"/>
      <c r="N297" s="6" t="s">
        <v>5832</v>
      </c>
      <c r="O297" s="6" t="str">
        <f>HYPERLINK("https://ceds.ed.gov/cedselementdetails.aspx?termid=5787")</f>
        <v>https://ceds.ed.gov/cedselementdetails.aspx?termid=5787</v>
      </c>
      <c r="P297" s="6" t="str">
        <f>HYPERLINK("https://ceds.ed.gov/elementComment.aspx?elementName=Total Approved Early Childhood Credits Earned &amp;elementID=5787", "Click here to submit comment")</f>
        <v>Click here to submit comment</v>
      </c>
    </row>
    <row r="298" spans="1:16" ht="60">
      <c r="A298" s="6" t="s">
        <v>6715</v>
      </c>
      <c r="B298" s="6" t="s">
        <v>6768</v>
      </c>
      <c r="C298" s="6" t="s">
        <v>6743</v>
      </c>
      <c r="D298" s="6" t="s">
        <v>386</v>
      </c>
      <c r="E298" s="6" t="s">
        <v>387</v>
      </c>
      <c r="F298" s="6" t="s">
        <v>13</v>
      </c>
      <c r="G298" s="6" t="s">
        <v>202</v>
      </c>
      <c r="H298" s="6"/>
      <c r="I298" s="6" t="s">
        <v>389</v>
      </c>
      <c r="J298" s="6"/>
      <c r="K298" s="6"/>
      <c r="L298" s="6" t="s">
        <v>390</v>
      </c>
      <c r="M298" s="6"/>
      <c r="N298" s="6" t="s">
        <v>391</v>
      </c>
      <c r="O298" s="6" t="str">
        <f>HYPERLINK("https://ceds.ed.gov/cedselementdetails.aspx?termid=5790")</f>
        <v>https://ceds.ed.gov/cedselementdetails.aspx?termid=5790</v>
      </c>
      <c r="P298" s="6" t="str">
        <f>HYPERLINK("https://ceds.ed.gov/elementComment.aspx?elementName=Approved Early Childhood Credits Earned By a Non-ECE Degree Holder &amp;elementID=5790", "Click here to submit comment")</f>
        <v>Click here to submit comment</v>
      </c>
    </row>
    <row r="299" spans="1:16" ht="75">
      <c r="A299" s="6" t="s">
        <v>6715</v>
      </c>
      <c r="B299" s="6" t="s">
        <v>6768</v>
      </c>
      <c r="C299" s="6" t="s">
        <v>6743</v>
      </c>
      <c r="D299" s="6" t="s">
        <v>2424</v>
      </c>
      <c r="E299" s="6" t="s">
        <v>2425</v>
      </c>
      <c r="F299" s="6" t="s">
        <v>13</v>
      </c>
      <c r="G299" s="6" t="s">
        <v>202</v>
      </c>
      <c r="H299" s="6"/>
      <c r="I299" s="6" t="s">
        <v>389</v>
      </c>
      <c r="J299" s="6"/>
      <c r="K299" s="6"/>
      <c r="L299" s="6" t="s">
        <v>2426</v>
      </c>
      <c r="M299" s="6"/>
      <c r="N299" s="6" t="s">
        <v>2427</v>
      </c>
      <c r="O299" s="6" t="str">
        <f>HYPERLINK("https://ceds.ed.gov/cedselementdetails.aspx?termid=5791")</f>
        <v>https://ceds.ed.gov/cedselementdetails.aspx?termid=5791</v>
      </c>
      <c r="P299" s="6" t="str">
        <f>HYPERLINK("https://ceds.ed.gov/elementComment.aspx?elementName=Early Learning Staff Total College Credits Earned &amp;elementID=5791", "Click here to submit comment")</f>
        <v>Click here to submit comment</v>
      </c>
    </row>
    <row r="300" spans="1:16" ht="75">
      <c r="A300" s="6" t="s">
        <v>6715</v>
      </c>
      <c r="B300" s="6" t="s">
        <v>6768</v>
      </c>
      <c r="C300" s="6" t="s">
        <v>6743</v>
      </c>
      <c r="D300" s="6" t="s">
        <v>4308</v>
      </c>
      <c r="E300" s="6" t="s">
        <v>4309</v>
      </c>
      <c r="F300" s="6" t="s">
        <v>13</v>
      </c>
      <c r="G300" s="6" t="s">
        <v>202</v>
      </c>
      <c r="H300" s="6"/>
      <c r="I300" s="6" t="s">
        <v>389</v>
      </c>
      <c r="J300" s="6"/>
      <c r="K300" s="6"/>
      <c r="L300" s="6" t="s">
        <v>4310</v>
      </c>
      <c r="M300" s="6"/>
      <c r="N300" s="6" t="s">
        <v>4311</v>
      </c>
      <c r="O300" s="6" t="str">
        <f>HYPERLINK("https://ceds.ed.gov/cedselementdetails.aspx?termid=5815")</f>
        <v>https://ceds.ed.gov/cedselementdetails.aspx?termid=5815</v>
      </c>
      <c r="P300" s="6" t="str">
        <f>HYPERLINK("https://ceds.ed.gov/elementComment.aspx?elementName=Number of School-age Education Postsecondary Credit Hours &amp;elementID=5815", "Click here to submit comment")</f>
        <v>Click here to submit comment</v>
      </c>
    </row>
    <row r="301" spans="1:16" ht="60">
      <c r="A301" s="6" t="s">
        <v>6715</v>
      </c>
      <c r="B301" s="6" t="s">
        <v>6768</v>
      </c>
      <c r="C301" s="6" t="s">
        <v>6743</v>
      </c>
      <c r="D301" s="6" t="s">
        <v>4245</v>
      </c>
      <c r="E301" s="6" t="s">
        <v>4246</v>
      </c>
      <c r="F301" s="6" t="s">
        <v>13</v>
      </c>
      <c r="G301" s="6" t="s">
        <v>202</v>
      </c>
      <c r="H301" s="6"/>
      <c r="I301" s="6" t="s">
        <v>389</v>
      </c>
      <c r="J301" s="6"/>
      <c r="K301" s="6"/>
      <c r="L301" s="6" t="s">
        <v>4247</v>
      </c>
      <c r="M301" s="6"/>
      <c r="N301" s="6" t="s">
        <v>4248</v>
      </c>
      <c r="O301" s="6" t="str">
        <f>HYPERLINK("https://ceds.ed.gov/cedselementdetails.aspx?termid=5816")</f>
        <v>https://ceds.ed.gov/cedselementdetails.aspx?termid=5816</v>
      </c>
      <c r="P301" s="6" t="str">
        <f>HYPERLINK("https://ceds.ed.gov/elementComment.aspx?elementName=Number of Business-related Postsecondary Credit Hours &amp;elementID=5816", "Click here to submit comment")</f>
        <v>Click here to submit comment</v>
      </c>
    </row>
    <row r="302" spans="1:16" ht="75">
      <c r="A302" s="6" t="s">
        <v>6715</v>
      </c>
      <c r="B302" s="6" t="s">
        <v>6768</v>
      </c>
      <c r="C302" s="6" t="s">
        <v>6743</v>
      </c>
      <c r="D302" s="6" t="s">
        <v>5472</v>
      </c>
      <c r="E302" s="6" t="s">
        <v>5473</v>
      </c>
      <c r="F302" s="6" t="s">
        <v>13</v>
      </c>
      <c r="G302" s="6" t="s">
        <v>202</v>
      </c>
      <c r="H302" s="6"/>
      <c r="I302" s="6" t="s">
        <v>73</v>
      </c>
      <c r="J302" s="6"/>
      <c r="K302" s="6"/>
      <c r="L302" s="6" t="s">
        <v>5474</v>
      </c>
      <c r="M302" s="6"/>
      <c r="N302" s="6" t="s">
        <v>5475</v>
      </c>
      <c r="O302" s="6" t="str">
        <f>HYPERLINK("https://ceds.ed.gov/cedselementdetails.aspx?termid=5792")</f>
        <v>https://ceds.ed.gov/cedselementdetails.aspx?termid=5792</v>
      </c>
      <c r="P302" s="6" t="str">
        <f>HYPERLINK("https://ceds.ed.gov/elementComment.aspx?elementName=Staff Education Entry Date &amp;elementID=5792", "Click here to submit comment")</f>
        <v>Click here to submit comment</v>
      </c>
    </row>
    <row r="303" spans="1:16" ht="75">
      <c r="A303" s="6" t="s">
        <v>6715</v>
      </c>
      <c r="B303" s="6" t="s">
        <v>6768</v>
      </c>
      <c r="C303" s="6" t="s">
        <v>6743</v>
      </c>
      <c r="D303" s="6" t="s">
        <v>5476</v>
      </c>
      <c r="E303" s="6" t="s">
        <v>5477</v>
      </c>
      <c r="F303" s="6" t="s">
        <v>13</v>
      </c>
      <c r="G303" s="6" t="s">
        <v>202</v>
      </c>
      <c r="H303" s="6"/>
      <c r="I303" s="6" t="s">
        <v>73</v>
      </c>
      <c r="J303" s="6"/>
      <c r="K303" s="6"/>
      <c r="L303" s="6" t="s">
        <v>5478</v>
      </c>
      <c r="M303" s="6"/>
      <c r="N303" s="6" t="s">
        <v>5479</v>
      </c>
      <c r="O303" s="6" t="str">
        <f>HYPERLINK("https://ceds.ed.gov/cedselementdetails.aspx?termid=5793")</f>
        <v>https://ceds.ed.gov/cedselementdetails.aspx?termid=5793</v>
      </c>
      <c r="P303" s="6" t="str">
        <f>HYPERLINK("https://ceds.ed.gov/elementComment.aspx?elementName=Staff Education Withdrawal Date &amp;elementID=5793", "Click here to submit comment")</f>
        <v>Click here to submit comment</v>
      </c>
    </row>
    <row r="304" spans="1:16" ht="409.5">
      <c r="A304" s="6" t="s">
        <v>6715</v>
      </c>
      <c r="B304" s="6" t="s">
        <v>6768</v>
      </c>
      <c r="C304" s="6" t="s">
        <v>6743</v>
      </c>
      <c r="D304" s="6" t="s">
        <v>2970</v>
      </c>
      <c r="E304" s="6" t="s">
        <v>2971</v>
      </c>
      <c r="F304" s="7" t="s">
        <v>6531</v>
      </c>
      <c r="G304" s="6" t="s">
        <v>6195</v>
      </c>
      <c r="H304" s="6" t="s">
        <v>66</v>
      </c>
      <c r="I304" s="6"/>
      <c r="J304" s="6" t="s">
        <v>2972</v>
      </c>
      <c r="K304" s="6"/>
      <c r="L304" s="6" t="s">
        <v>2973</v>
      </c>
      <c r="M304" s="6"/>
      <c r="N304" s="6" t="s">
        <v>2974</v>
      </c>
      <c r="O304" s="6" t="str">
        <f>HYPERLINK("https://ceds.ed.gov/cedselementdetails.aspx?termid=5141")</f>
        <v>https://ceds.ed.gov/cedselementdetails.aspx?termid=5141</v>
      </c>
      <c r="P304" s="6" t="str">
        <f>HYPERLINK("https://ceds.ed.gov/elementComment.aspx?elementName=Highest Level of Education Completed &amp;elementID=5141", "Click here to submit comment")</f>
        <v>Click here to submit comment</v>
      </c>
    </row>
    <row r="305" spans="1:16" ht="135">
      <c r="A305" s="6" t="s">
        <v>6715</v>
      </c>
      <c r="B305" s="6" t="s">
        <v>6768</v>
      </c>
      <c r="C305" s="6" t="s">
        <v>6743</v>
      </c>
      <c r="D305" s="6" t="s">
        <v>2189</v>
      </c>
      <c r="E305" s="6" t="s">
        <v>2190</v>
      </c>
      <c r="F305" s="6" t="s">
        <v>13</v>
      </c>
      <c r="G305" s="6" t="s">
        <v>6135</v>
      </c>
      <c r="H305" s="6"/>
      <c r="I305" s="6" t="s">
        <v>2191</v>
      </c>
      <c r="J305" s="6"/>
      <c r="K305" s="6"/>
      <c r="L305" s="6" t="s">
        <v>2192</v>
      </c>
      <c r="M305" s="6"/>
      <c r="N305" s="6" t="s">
        <v>2193</v>
      </c>
      <c r="O305" s="6" t="str">
        <f>HYPERLINK("https://ceds.ed.gov/cedselementdetails.aspx?termid=5081")</f>
        <v>https://ceds.ed.gov/cedselementdetails.aspx?termid=5081</v>
      </c>
      <c r="P305" s="6" t="str">
        <f>HYPERLINK("https://ceds.ed.gov/elementComment.aspx?elementName=Diploma or Credential Award Date &amp;elementID=5081", "Click here to submit comment")</f>
        <v>Click here to submit comment</v>
      </c>
    </row>
    <row r="306" spans="1:16" ht="195">
      <c r="A306" s="6" t="s">
        <v>6715</v>
      </c>
      <c r="B306" s="6" t="s">
        <v>6768</v>
      </c>
      <c r="C306" s="6" t="s">
        <v>6743</v>
      </c>
      <c r="D306" s="6" t="s">
        <v>2966</v>
      </c>
      <c r="E306" s="6" t="s">
        <v>2967</v>
      </c>
      <c r="F306" s="7" t="s">
        <v>6530</v>
      </c>
      <c r="G306" s="6" t="s">
        <v>202</v>
      </c>
      <c r="H306" s="6"/>
      <c r="I306" s="6"/>
      <c r="J306" s="6"/>
      <c r="K306" s="6"/>
      <c r="L306" s="6" t="s">
        <v>2968</v>
      </c>
      <c r="M306" s="6"/>
      <c r="N306" s="6" t="s">
        <v>2969</v>
      </c>
      <c r="O306" s="6" t="str">
        <f>HYPERLINK("https://ceds.ed.gov/cedselementdetails.aspx?termid=5817")</f>
        <v>https://ceds.ed.gov/cedselementdetails.aspx?termid=5817</v>
      </c>
      <c r="P306" s="6" t="str">
        <f>HYPERLINK("https://ceds.ed.gov/elementComment.aspx?elementName=Higher Education Institution Accreditation Status &amp;elementID=5817", "Click here to submit comment")</f>
        <v>Click here to submit comment</v>
      </c>
    </row>
    <row r="307" spans="1:16" ht="90">
      <c r="A307" s="6" t="s">
        <v>6715</v>
      </c>
      <c r="B307" s="6" t="s">
        <v>6768</v>
      </c>
      <c r="C307" s="6" t="s">
        <v>6743</v>
      </c>
      <c r="D307" s="6" t="s">
        <v>5361</v>
      </c>
      <c r="E307" s="6" t="s">
        <v>5362</v>
      </c>
      <c r="F307" s="6" t="s">
        <v>13</v>
      </c>
      <c r="G307" s="6"/>
      <c r="H307" s="6" t="s">
        <v>54</v>
      </c>
      <c r="I307" s="6" t="s">
        <v>100</v>
      </c>
      <c r="J307" s="6"/>
      <c r="K307" s="6" t="s">
        <v>5363</v>
      </c>
      <c r="L307" s="6" t="s">
        <v>5364</v>
      </c>
      <c r="M307" s="6"/>
      <c r="N307" s="6" t="s">
        <v>5365</v>
      </c>
      <c r="O307" s="6" t="str">
        <f>HYPERLINK("https://ceds.ed.gov/cedselementdetails.aspx?termid=6459")</f>
        <v>https://ceds.ed.gov/cedselementdetails.aspx?termid=6459</v>
      </c>
      <c r="P307" s="6" t="str">
        <f>HYPERLINK("https://ceds.ed.gov/elementComment.aspx?elementName=Short Name of Institution &amp;elementID=6459", "Click here to submit comment")</f>
        <v>Click here to submit comment</v>
      </c>
    </row>
    <row r="308" spans="1:16" ht="409.5">
      <c r="A308" s="6" t="s">
        <v>6715</v>
      </c>
      <c r="B308" s="6" t="s">
        <v>6768</v>
      </c>
      <c r="C308" s="6" t="s">
        <v>6770</v>
      </c>
      <c r="D308" s="6" t="s">
        <v>2443</v>
      </c>
      <c r="E308" s="6" t="s">
        <v>2444</v>
      </c>
      <c r="F308" s="7" t="s">
        <v>6488</v>
      </c>
      <c r="G308" s="6" t="s">
        <v>6147</v>
      </c>
      <c r="H308" s="6"/>
      <c r="I308" s="6"/>
      <c r="J308" s="6"/>
      <c r="K308" s="6"/>
      <c r="L308" s="6" t="s">
        <v>2445</v>
      </c>
      <c r="M308" s="6"/>
      <c r="N308" s="6" t="s">
        <v>2446</v>
      </c>
      <c r="O308" s="6" t="str">
        <f>HYPERLINK("https://ceds.ed.gov/cedselementdetails.aspx?termid=5087")</f>
        <v>https://ceds.ed.gov/cedselementdetails.aspx?termid=5087</v>
      </c>
      <c r="P308" s="6" t="str">
        <f>HYPERLINK("https://ceds.ed.gov/elementComment.aspx?elementName=Education Staff Classification &amp;elementID=5087", "Click here to submit comment")</f>
        <v>Click here to submit comment</v>
      </c>
    </row>
    <row r="309" spans="1:16" ht="210">
      <c r="A309" s="6" t="s">
        <v>6715</v>
      </c>
      <c r="B309" s="6" t="s">
        <v>6768</v>
      </c>
      <c r="C309" s="6" t="s">
        <v>6770</v>
      </c>
      <c r="D309" s="6" t="s">
        <v>2980</v>
      </c>
      <c r="E309" s="6" t="s">
        <v>2981</v>
      </c>
      <c r="F309" s="6" t="s">
        <v>13</v>
      </c>
      <c r="G309" s="6" t="s">
        <v>6197</v>
      </c>
      <c r="H309" s="6" t="s">
        <v>3</v>
      </c>
      <c r="I309" s="6" t="s">
        <v>73</v>
      </c>
      <c r="J309" s="6"/>
      <c r="K309" s="6" t="s">
        <v>2982</v>
      </c>
      <c r="L309" s="6" t="s">
        <v>2983</v>
      </c>
      <c r="M309" s="6"/>
      <c r="N309" s="6" t="s">
        <v>2984</v>
      </c>
      <c r="O309" s="6" t="str">
        <f>HYPERLINK("https://ceds.ed.gov/cedselementdetails.aspx?termid=5143")</f>
        <v>https://ceds.ed.gov/cedselementdetails.aspx?termid=5143</v>
      </c>
      <c r="P309" s="6" t="str">
        <f>HYPERLINK("https://ceds.ed.gov/elementComment.aspx?elementName=Hire Date &amp;elementID=5143", "Click here to submit comment")</f>
        <v>Click here to submit comment</v>
      </c>
    </row>
    <row r="310" spans="1:16" ht="60">
      <c r="A310" s="6" t="s">
        <v>6715</v>
      </c>
      <c r="B310" s="6" t="s">
        <v>6768</v>
      </c>
      <c r="C310" s="6" t="s">
        <v>6770</v>
      </c>
      <c r="D310" s="6" t="s">
        <v>2534</v>
      </c>
      <c r="E310" s="6" t="s">
        <v>2535</v>
      </c>
      <c r="F310" s="6" t="s">
        <v>13</v>
      </c>
      <c r="G310" s="6" t="s">
        <v>6154</v>
      </c>
      <c r="H310" s="6" t="s">
        <v>3</v>
      </c>
      <c r="I310" s="6" t="s">
        <v>73</v>
      </c>
      <c r="J310" s="6"/>
      <c r="K310" s="6"/>
      <c r="L310" s="6" t="s">
        <v>2536</v>
      </c>
      <c r="M310" s="6"/>
      <c r="N310" s="6" t="s">
        <v>2537</v>
      </c>
      <c r="O310" s="6" t="str">
        <f>HYPERLINK("https://ceds.ed.gov/cedselementdetails.aspx?termid=5345")</f>
        <v>https://ceds.ed.gov/cedselementdetails.aspx?termid=5345</v>
      </c>
      <c r="P310" s="6" t="str">
        <f>HYPERLINK("https://ceds.ed.gov/elementComment.aspx?elementName=Employment Start Date &amp;elementID=5345", "Click here to submit comment")</f>
        <v>Click here to submit comment</v>
      </c>
    </row>
    <row r="311" spans="1:16" ht="60">
      <c r="A311" s="6" t="s">
        <v>6715</v>
      </c>
      <c r="B311" s="6" t="s">
        <v>6768</v>
      </c>
      <c r="C311" s="6" t="s">
        <v>6770</v>
      </c>
      <c r="D311" s="6" t="s">
        <v>2492</v>
      </c>
      <c r="E311" s="6" t="s">
        <v>2493</v>
      </c>
      <c r="F311" s="6" t="s">
        <v>13</v>
      </c>
      <c r="G311" s="6" t="s">
        <v>202</v>
      </c>
      <c r="H311" s="6" t="s">
        <v>3</v>
      </c>
      <c r="I311" s="6" t="s">
        <v>73</v>
      </c>
      <c r="J311" s="6"/>
      <c r="K311" s="6"/>
      <c r="L311" s="6" t="s">
        <v>2494</v>
      </c>
      <c r="M311" s="6"/>
      <c r="N311" s="6" t="s">
        <v>2495</v>
      </c>
      <c r="O311" s="6" t="str">
        <f>HYPERLINK("https://ceds.ed.gov/cedselementdetails.aspx?termid=5794")</f>
        <v>https://ceds.ed.gov/cedselementdetails.aspx?termid=5794</v>
      </c>
      <c r="P311" s="6" t="str">
        <f>HYPERLINK("https://ceds.ed.gov/elementComment.aspx?elementName=Employment End Date &amp;elementID=5794", "Click here to submit comment")</f>
        <v>Click here to submit comment</v>
      </c>
    </row>
    <row r="312" spans="1:16" ht="315">
      <c r="A312" s="6" t="s">
        <v>6715</v>
      </c>
      <c r="B312" s="6" t="s">
        <v>6768</v>
      </c>
      <c r="C312" s="6" t="s">
        <v>6770</v>
      </c>
      <c r="D312" s="6" t="s">
        <v>2538</v>
      </c>
      <c r="E312" s="6" t="s">
        <v>285</v>
      </c>
      <c r="F312" s="7" t="s">
        <v>6496</v>
      </c>
      <c r="G312" s="6" t="s">
        <v>6131</v>
      </c>
      <c r="H312" s="6"/>
      <c r="I312" s="6"/>
      <c r="J312" s="6"/>
      <c r="K312" s="6"/>
      <c r="L312" s="6" t="s">
        <v>2539</v>
      </c>
      <c r="M312" s="6"/>
      <c r="N312" s="6" t="s">
        <v>2540</v>
      </c>
      <c r="O312" s="6" t="str">
        <f>HYPERLINK("https://ceds.ed.gov/cedselementdetails.aspx?termid=5346")</f>
        <v>https://ceds.ed.gov/cedselementdetails.aspx?termid=5346</v>
      </c>
      <c r="P312" s="6" t="str">
        <f>HYPERLINK("https://ceds.ed.gov/elementComment.aspx?elementName=Employment Status &amp;elementID=5346", "Click here to submit comment")</f>
        <v>Click here to submit comment</v>
      </c>
    </row>
    <row r="313" spans="1:16" ht="30">
      <c r="A313" s="6" t="s">
        <v>6715</v>
      </c>
      <c r="B313" s="6" t="s">
        <v>6768</v>
      </c>
      <c r="C313" s="6" t="s">
        <v>6770</v>
      </c>
      <c r="D313" s="6" t="s">
        <v>3019</v>
      </c>
      <c r="E313" s="6" t="s">
        <v>3020</v>
      </c>
      <c r="F313" s="6" t="s">
        <v>13</v>
      </c>
      <c r="G313" s="6" t="s">
        <v>202</v>
      </c>
      <c r="H313" s="6"/>
      <c r="I313" s="6" t="s">
        <v>389</v>
      </c>
      <c r="J313" s="6"/>
      <c r="K313" s="6"/>
      <c r="L313" s="6" t="s">
        <v>3021</v>
      </c>
      <c r="M313" s="6"/>
      <c r="N313" s="6" t="s">
        <v>3022</v>
      </c>
      <c r="O313" s="6" t="str">
        <f>HYPERLINK("https://ceds.ed.gov/cedselementdetails.aspx?termid=5795")</f>
        <v>https://ceds.ed.gov/cedselementdetails.aspx?termid=5795</v>
      </c>
      <c r="P313" s="6" t="str">
        <f>HYPERLINK("https://ceds.ed.gov/elementComment.aspx?elementName=Hours Worked Per Week &amp;elementID=5795", "Click here to submit comment")</f>
        <v>Click here to submit comment</v>
      </c>
    </row>
    <row r="314" spans="1:16" ht="30">
      <c r="A314" s="6" t="s">
        <v>6715</v>
      </c>
      <c r="B314" s="6" t="s">
        <v>6768</v>
      </c>
      <c r="C314" s="6" t="s">
        <v>6770</v>
      </c>
      <c r="D314" s="6" t="s">
        <v>3010</v>
      </c>
      <c r="E314" s="6" t="s">
        <v>3011</v>
      </c>
      <c r="F314" s="6" t="s">
        <v>13</v>
      </c>
      <c r="G314" s="6" t="s">
        <v>202</v>
      </c>
      <c r="H314" s="6"/>
      <c r="I314" s="6" t="s">
        <v>389</v>
      </c>
      <c r="J314" s="6"/>
      <c r="K314" s="6"/>
      <c r="L314" s="6" t="s">
        <v>3013</v>
      </c>
      <c r="M314" s="6"/>
      <c r="N314" s="6" t="s">
        <v>3014</v>
      </c>
      <c r="O314" s="6" t="str">
        <f>HYPERLINK("https://ceds.ed.gov/cedselementdetails.aspx?termid=5796")</f>
        <v>https://ceds.ed.gov/cedselementdetails.aspx?termid=5796</v>
      </c>
      <c r="P314" s="6" t="str">
        <f>HYPERLINK("https://ceds.ed.gov/elementComment.aspx?elementName=Hourly Wage &amp;elementID=5796", "Click here to submit comment")</f>
        <v>Click here to submit comment</v>
      </c>
    </row>
    <row r="315" spans="1:16" ht="180">
      <c r="A315" s="6" t="s">
        <v>6715</v>
      </c>
      <c r="B315" s="6" t="s">
        <v>6768</v>
      </c>
      <c r="C315" s="6" t="s">
        <v>6770</v>
      </c>
      <c r="D315" s="6" t="s">
        <v>5891</v>
      </c>
      <c r="E315" s="6" t="s">
        <v>5892</v>
      </c>
      <c r="F315" s="7" t="s">
        <v>6692</v>
      </c>
      <c r="G315" s="6" t="s">
        <v>202</v>
      </c>
      <c r="H315" s="6"/>
      <c r="I315" s="6"/>
      <c r="J315" s="6"/>
      <c r="K315" s="6"/>
      <c r="L315" s="6" t="s">
        <v>5893</v>
      </c>
      <c r="M315" s="6"/>
      <c r="N315" s="6" t="s">
        <v>5894</v>
      </c>
      <c r="O315" s="6" t="str">
        <f>HYPERLINK("https://ceds.ed.gov/cedselementdetails.aspx?termid=5797")</f>
        <v>https://ceds.ed.gov/cedselementdetails.aspx?termid=5797</v>
      </c>
      <c r="P315" s="6" t="str">
        <f>HYPERLINK("https://ceds.ed.gov/elementComment.aspx?elementName=Wage Collection Code &amp;elementID=5797", "Click here to submit comment")</f>
        <v>Click here to submit comment</v>
      </c>
    </row>
    <row r="316" spans="1:16" ht="75">
      <c r="A316" s="6" t="s">
        <v>6715</v>
      </c>
      <c r="B316" s="6" t="s">
        <v>6768</v>
      </c>
      <c r="C316" s="6" t="s">
        <v>6770</v>
      </c>
      <c r="D316" s="6" t="s">
        <v>5895</v>
      </c>
      <c r="E316" s="6" t="s">
        <v>5896</v>
      </c>
      <c r="F316" s="7" t="s">
        <v>6693</v>
      </c>
      <c r="G316" s="6" t="s">
        <v>202</v>
      </c>
      <c r="H316" s="6"/>
      <c r="I316" s="6"/>
      <c r="J316" s="6"/>
      <c r="K316" s="6"/>
      <c r="L316" s="6" t="s">
        <v>5897</v>
      </c>
      <c r="M316" s="6"/>
      <c r="N316" s="6" t="s">
        <v>5898</v>
      </c>
      <c r="O316" s="6" t="str">
        <f>HYPERLINK("https://ceds.ed.gov/cedselementdetails.aspx?termid=5818")</f>
        <v>https://ceds.ed.gov/cedselementdetails.aspx?termid=5818</v>
      </c>
      <c r="P316" s="6" t="str">
        <f>HYPERLINK("https://ceds.ed.gov/elementComment.aspx?elementName=Wage Verification Code &amp;elementID=5818", "Click here to submit comment")</f>
        <v>Click here to submit comment</v>
      </c>
    </row>
    <row r="317" spans="1:16" ht="45">
      <c r="A317" s="6" t="s">
        <v>6715</v>
      </c>
      <c r="B317" s="6" t="s">
        <v>6768</v>
      </c>
      <c r="C317" s="6" t="s">
        <v>6770</v>
      </c>
      <c r="D317" s="6" t="s">
        <v>4349</v>
      </c>
      <c r="E317" s="6" t="s">
        <v>4350</v>
      </c>
      <c r="F317" s="6" t="s">
        <v>13</v>
      </c>
      <c r="G317" s="6" t="s">
        <v>202</v>
      </c>
      <c r="H317" s="6" t="s">
        <v>3</v>
      </c>
      <c r="I317" s="6" t="s">
        <v>106</v>
      </c>
      <c r="J317" s="6"/>
      <c r="K317" s="6"/>
      <c r="L317" s="6" t="s">
        <v>4351</v>
      </c>
      <c r="M317" s="6"/>
      <c r="N317" s="6" t="s">
        <v>4352</v>
      </c>
      <c r="O317" s="6" t="str">
        <f>HYPERLINK("https://ceds.ed.gov/cedselementdetails.aspx?termid=5204")</f>
        <v>https://ceds.ed.gov/cedselementdetails.aspx?termid=5204</v>
      </c>
      <c r="P317" s="6" t="str">
        <f>HYPERLINK("https://ceds.ed.gov/elementComment.aspx?elementName=Organization Name &amp;elementID=5204", "Click here to submit comment")</f>
        <v>Click here to submit comment</v>
      </c>
    </row>
    <row r="318" spans="1:16" ht="45">
      <c r="A318" s="6" t="s">
        <v>6715</v>
      </c>
      <c r="B318" s="6" t="s">
        <v>6768</v>
      </c>
      <c r="C318" s="6" t="s">
        <v>6770</v>
      </c>
      <c r="D318" s="6" t="s">
        <v>5863</v>
      </c>
      <c r="E318" s="6" t="s">
        <v>5864</v>
      </c>
      <c r="F318" s="6" t="s">
        <v>5963</v>
      </c>
      <c r="G318" s="6" t="s">
        <v>202</v>
      </c>
      <c r="H318" s="6"/>
      <c r="I318" s="6"/>
      <c r="J318" s="6"/>
      <c r="K318" s="6"/>
      <c r="L318" s="6" t="s">
        <v>5865</v>
      </c>
      <c r="M318" s="6"/>
      <c r="N318" s="6" t="s">
        <v>5866</v>
      </c>
      <c r="O318" s="6" t="str">
        <f>HYPERLINK("https://ceds.ed.gov/cedselementdetails.aspx?termid=5798")</f>
        <v>https://ceds.ed.gov/cedselementdetails.aspx?termid=5798</v>
      </c>
      <c r="P318" s="6" t="str">
        <f>HYPERLINK("https://ceds.ed.gov/elementComment.aspx?elementName=Union Membership Status &amp;elementID=5798", "Click here to submit comment")</f>
        <v>Click here to submit comment</v>
      </c>
    </row>
    <row r="319" spans="1:16" ht="409.5">
      <c r="A319" s="6" t="s">
        <v>6715</v>
      </c>
      <c r="B319" s="6" t="s">
        <v>6768</v>
      </c>
      <c r="C319" s="6" t="s">
        <v>6770</v>
      </c>
      <c r="D319" s="6" t="s">
        <v>2525</v>
      </c>
      <c r="E319" s="6" t="s">
        <v>2526</v>
      </c>
      <c r="F319" s="7" t="s">
        <v>6494</v>
      </c>
      <c r="G319" s="6"/>
      <c r="H319" s="6" t="s">
        <v>66</v>
      </c>
      <c r="I319" s="6"/>
      <c r="J319" s="6" t="s">
        <v>2527</v>
      </c>
      <c r="K319" s="6"/>
      <c r="L319" s="6" t="s">
        <v>2528</v>
      </c>
      <c r="M319" s="6"/>
      <c r="N319" s="6" t="s">
        <v>2529</v>
      </c>
      <c r="O319" s="6" t="str">
        <f>HYPERLINK("https://ceds.ed.gov/cedselementdetails.aspx?termid=5613")</f>
        <v>https://ceds.ed.gov/cedselementdetails.aspx?termid=5613</v>
      </c>
      <c r="P319" s="6" t="str">
        <f>HYPERLINK("https://ceds.ed.gov/elementComment.aspx?elementName=Employment Separation Reason &amp;elementID=5613", "Click here to submit comment")</f>
        <v>Click here to submit comment</v>
      </c>
    </row>
    <row r="320" spans="1:16" ht="45">
      <c r="A320" s="6" t="s">
        <v>6715</v>
      </c>
      <c r="B320" s="6" t="s">
        <v>6768</v>
      </c>
      <c r="C320" s="6" t="s">
        <v>6770</v>
      </c>
      <c r="D320" s="6" t="s">
        <v>3384</v>
      </c>
      <c r="E320" s="6" t="s">
        <v>3385</v>
      </c>
      <c r="F320" s="6" t="s">
        <v>5963</v>
      </c>
      <c r="G320" s="6"/>
      <c r="H320" s="6" t="s">
        <v>54</v>
      </c>
      <c r="I320" s="6"/>
      <c r="J320" s="6"/>
      <c r="K320" s="6"/>
      <c r="L320" s="6" t="s">
        <v>3386</v>
      </c>
      <c r="M320" s="6"/>
      <c r="N320" s="6" t="s">
        <v>3387</v>
      </c>
      <c r="O320" s="6" t="str">
        <f>HYPERLINK("https://ceds.ed.gov/cedselementdetails.aspx?termid=6353")</f>
        <v>https://ceds.ed.gov/cedselementdetails.aspx?termid=6353</v>
      </c>
      <c r="P320" s="6" t="str">
        <f>HYPERLINK("https://ceds.ed.gov/elementComment.aspx?elementName=Itinerant Provider &amp;elementID=6353", "Click here to submit comment")</f>
        <v>Click here to submit comment</v>
      </c>
    </row>
    <row r="321" spans="1:16" ht="225">
      <c r="A321" s="6" t="s">
        <v>6715</v>
      </c>
      <c r="B321" s="6" t="s">
        <v>6768</v>
      </c>
      <c r="C321" s="6" t="s">
        <v>6770</v>
      </c>
      <c r="D321" s="6" t="s">
        <v>5447</v>
      </c>
      <c r="E321" s="6" t="s">
        <v>5448</v>
      </c>
      <c r="F321" s="6" t="s">
        <v>13</v>
      </c>
      <c r="G321" s="6" t="s">
        <v>1780</v>
      </c>
      <c r="H321" s="6" t="s">
        <v>3</v>
      </c>
      <c r="I321" s="6" t="s">
        <v>1461</v>
      </c>
      <c r="J321" s="6"/>
      <c r="K321" s="6" t="s">
        <v>5449</v>
      </c>
      <c r="L321" s="6" t="s">
        <v>5450</v>
      </c>
      <c r="M321" s="6"/>
      <c r="N321" s="6" t="s">
        <v>5451</v>
      </c>
      <c r="O321" s="6" t="str">
        <f>HYPERLINK("https://ceds.ed.gov/cedselementdetails.aspx?termid=5032")</f>
        <v>https://ceds.ed.gov/cedselementdetails.aspx?termid=5032</v>
      </c>
      <c r="P321" s="6" t="str">
        <f>HYPERLINK("https://ceds.ed.gov/elementComment.aspx?elementName=Staff Compensation Base Salary &amp;elementID=5032", "Click here to submit comment")</f>
        <v>Click here to submit comment</v>
      </c>
    </row>
    <row r="322" spans="1:16" ht="60">
      <c r="A322" s="6" t="s">
        <v>6715</v>
      </c>
      <c r="B322" s="6" t="s">
        <v>6768</v>
      </c>
      <c r="C322" s="6" t="s">
        <v>6770</v>
      </c>
      <c r="D322" s="6" t="s">
        <v>5496</v>
      </c>
      <c r="E322" s="6" t="s">
        <v>5497</v>
      </c>
      <c r="F322" s="6" t="s">
        <v>13</v>
      </c>
      <c r="G322" s="6" t="s">
        <v>6319</v>
      </c>
      <c r="H322" s="6" t="s">
        <v>3</v>
      </c>
      <c r="I322" s="6" t="s">
        <v>5498</v>
      </c>
      <c r="J322" s="6"/>
      <c r="K322" s="6"/>
      <c r="L322" s="6" t="s">
        <v>5499</v>
      </c>
      <c r="M322" s="6" t="s">
        <v>5500</v>
      </c>
      <c r="N322" s="6" t="s">
        <v>5501</v>
      </c>
      <c r="O322" s="6" t="str">
        <f>HYPERLINK("https://ceds.ed.gov/cedselementdetails.aspx?termid=5118")</f>
        <v>https://ceds.ed.gov/cedselementdetails.aspx?termid=5118</v>
      </c>
      <c r="P322" s="6" t="str">
        <f>HYPERLINK("https://ceds.ed.gov/elementComment.aspx?elementName=Staff Full Time Equivalency &amp;elementID=5118", "Click here to submit comment")</f>
        <v>Click here to submit comment</v>
      </c>
    </row>
    <row r="323" spans="1:16" ht="45">
      <c r="A323" s="6" t="s">
        <v>6715</v>
      </c>
      <c r="B323" s="6" t="s">
        <v>6768</v>
      </c>
      <c r="C323" s="6" t="s">
        <v>6770</v>
      </c>
      <c r="D323" s="6" t="s">
        <v>5859</v>
      </c>
      <c r="E323" s="6" t="s">
        <v>5860</v>
      </c>
      <c r="F323" s="6" t="s">
        <v>13</v>
      </c>
      <c r="G323" s="6"/>
      <c r="H323" s="6" t="s">
        <v>54</v>
      </c>
      <c r="I323" s="6" t="s">
        <v>319</v>
      </c>
      <c r="J323" s="6"/>
      <c r="K323" s="6"/>
      <c r="L323" s="6" t="s">
        <v>5861</v>
      </c>
      <c r="M323" s="6"/>
      <c r="N323" s="6" t="s">
        <v>5862</v>
      </c>
      <c r="O323" s="6" t="str">
        <f>HYPERLINK("https://ceds.ed.gov/cedselementdetails.aspx?termid=6469")</f>
        <v>https://ceds.ed.gov/cedselementdetails.aspx?termid=6469</v>
      </c>
      <c r="P323" s="6" t="str">
        <f>HYPERLINK("https://ceds.ed.gov/elementComment.aspx?elementName=Union Membership Name &amp;elementID=6469", "Click here to submit comment")</f>
        <v>Click here to submit comment</v>
      </c>
    </row>
    <row r="324" spans="1:16" ht="30">
      <c r="A324" s="6" t="s">
        <v>6715</v>
      </c>
      <c r="B324" s="6" t="s">
        <v>6768</v>
      </c>
      <c r="C324" s="6" t="s">
        <v>6770</v>
      </c>
      <c r="D324" s="6" t="s">
        <v>5912</v>
      </c>
      <c r="E324" s="6" t="s">
        <v>5913</v>
      </c>
      <c r="F324" s="6" t="s">
        <v>13</v>
      </c>
      <c r="G324" s="6"/>
      <c r="H324" s="6" t="s">
        <v>54</v>
      </c>
      <c r="I324" s="6" t="s">
        <v>575</v>
      </c>
      <c r="J324" s="6"/>
      <c r="K324" s="6"/>
      <c r="L324" s="6" t="s">
        <v>5914</v>
      </c>
      <c r="M324" s="6"/>
      <c r="N324" s="6" t="s">
        <v>5915</v>
      </c>
      <c r="O324" s="6" t="str">
        <f>HYPERLINK("https://ceds.ed.gov/cedselementdetails.aspx?termid=6470")</f>
        <v>https://ceds.ed.gov/cedselementdetails.aspx?termid=6470</v>
      </c>
      <c r="P324" s="6" t="str">
        <f>HYPERLINK("https://ceds.ed.gov/elementComment.aspx?elementName=Weeks Employed Per Year &amp;elementID=6470", "Click here to submit comment")</f>
        <v>Click here to submit comment</v>
      </c>
    </row>
    <row r="325" spans="1:16" ht="45">
      <c r="A325" s="6" t="s">
        <v>6715</v>
      </c>
      <c r="B325" s="6" t="s">
        <v>6768</v>
      </c>
      <c r="C325" s="6" t="s">
        <v>6771</v>
      </c>
      <c r="D325" s="6" t="s">
        <v>4615</v>
      </c>
      <c r="E325" s="6" t="s">
        <v>4616</v>
      </c>
      <c r="F325" s="6" t="s">
        <v>13</v>
      </c>
      <c r="G325" s="6"/>
      <c r="H325" s="6" t="s">
        <v>54</v>
      </c>
      <c r="I325" s="6" t="s">
        <v>100</v>
      </c>
      <c r="J325" s="6"/>
      <c r="K325" s="6"/>
      <c r="L325" s="6" t="s">
        <v>4618</v>
      </c>
      <c r="M325" s="6"/>
      <c r="N325" s="6" t="s">
        <v>4619</v>
      </c>
      <c r="O325" s="6" t="str">
        <f>HYPERLINK("https://ceds.ed.gov/cedselementdetails.aspx?termid=6398")</f>
        <v>https://ceds.ed.gov/cedselementdetails.aspx?termid=6398</v>
      </c>
      <c r="P325" s="6" t="str">
        <f>HYPERLINK("https://ceds.ed.gov/elementComment.aspx?elementName=Professional Certificate or License Number &amp;elementID=6398", "Click here to submit comment")</f>
        <v>Click here to submit comment</v>
      </c>
    </row>
    <row r="326" spans="1:16" ht="180">
      <c r="A326" s="6" t="s">
        <v>6715</v>
      </c>
      <c r="B326" s="6" t="s">
        <v>6768</v>
      </c>
      <c r="C326" s="6" t="s">
        <v>6733</v>
      </c>
      <c r="D326" s="6" t="s">
        <v>3419</v>
      </c>
      <c r="E326" s="6" t="s">
        <v>3420</v>
      </c>
      <c r="F326" s="7" t="s">
        <v>6563</v>
      </c>
      <c r="G326" s="6" t="s">
        <v>6214</v>
      </c>
      <c r="H326" s="6"/>
      <c r="I326" s="6"/>
      <c r="J326" s="6"/>
      <c r="K326" s="6"/>
      <c r="L326" s="6" t="s">
        <v>3421</v>
      </c>
      <c r="M326" s="6"/>
      <c r="N326" s="6" t="s">
        <v>3422</v>
      </c>
      <c r="O326" s="6" t="str">
        <f>HYPERLINK("https://ceds.ed.gov/cedselementdetails.aspx?termid=5316")</f>
        <v>https://ceds.ed.gov/cedselementdetails.aspx?termid=5316</v>
      </c>
      <c r="P326" s="6" t="str">
        <f>HYPERLINK("https://ceds.ed.gov/elementComment.aspx?elementName=Language Type &amp;elementID=5316", "Click here to submit comment")</f>
        <v>Click here to submit comment</v>
      </c>
    </row>
    <row r="327" spans="1:16" ht="90">
      <c r="A327" s="6" t="s">
        <v>6715</v>
      </c>
      <c r="B327" s="6" t="s">
        <v>6768</v>
      </c>
      <c r="C327" s="6" t="s">
        <v>6733</v>
      </c>
      <c r="D327" s="6" t="s">
        <v>3406</v>
      </c>
      <c r="E327" s="6" t="s">
        <v>3407</v>
      </c>
      <c r="F327" s="5" t="s">
        <v>939</v>
      </c>
      <c r="G327" s="6" t="s">
        <v>6214</v>
      </c>
      <c r="H327" s="6" t="s">
        <v>66</v>
      </c>
      <c r="I327" s="6"/>
      <c r="J327" s="6" t="s">
        <v>2645</v>
      </c>
      <c r="K327" s="6" t="s">
        <v>3408</v>
      </c>
      <c r="L327" s="6" t="s">
        <v>3409</v>
      </c>
      <c r="M327" s="6"/>
      <c r="N327" s="6" t="s">
        <v>3410</v>
      </c>
      <c r="O327" s="6" t="str">
        <f>HYPERLINK("https://ceds.ed.gov/cedselementdetails.aspx?termid=5317")</f>
        <v>https://ceds.ed.gov/cedselementdetails.aspx?termid=5317</v>
      </c>
      <c r="P327" s="6" t="str">
        <f>HYPERLINK("https://ceds.ed.gov/elementComment.aspx?elementName=Language Code &amp;elementID=5317", "Click here to submit comment")</f>
        <v>Click here to submit comment</v>
      </c>
    </row>
    <row r="328" spans="1:16" ht="240">
      <c r="A328" s="6" t="s">
        <v>6715</v>
      </c>
      <c r="B328" s="6" t="s">
        <v>6768</v>
      </c>
      <c r="C328" s="6" t="s">
        <v>6772</v>
      </c>
      <c r="D328" s="6" t="s">
        <v>2290</v>
      </c>
      <c r="E328" s="6" t="s">
        <v>2291</v>
      </c>
      <c r="F328" s="7" t="s">
        <v>6469</v>
      </c>
      <c r="G328" s="6" t="s">
        <v>6131</v>
      </c>
      <c r="H328" s="6"/>
      <c r="I328" s="6"/>
      <c r="J328" s="6"/>
      <c r="K328" s="6"/>
      <c r="L328" s="6" t="s">
        <v>2292</v>
      </c>
      <c r="M328" s="6"/>
      <c r="N328" s="6" t="s">
        <v>2293</v>
      </c>
      <c r="O328" s="6" t="str">
        <f>HYPERLINK("https://ceds.ed.gov/cedselementdetails.aspx?termid=5344")</f>
        <v>https://ceds.ed.gov/cedselementdetails.aspx?termid=5344</v>
      </c>
      <c r="P328" s="6" t="str">
        <f>HYPERLINK("https://ceds.ed.gov/elementComment.aspx?elementName=Early Childhood Credential &amp;elementID=5344", "Click here to submit comment")</f>
        <v>Click here to submit comment</v>
      </c>
    </row>
    <row r="329" spans="1:16" ht="60">
      <c r="A329" s="6" t="s">
        <v>6715</v>
      </c>
      <c r="B329" s="6" t="s">
        <v>6768</v>
      </c>
      <c r="C329" s="6" t="s">
        <v>6772</v>
      </c>
      <c r="D329" s="6" t="s">
        <v>4193</v>
      </c>
      <c r="E329" s="6" t="s">
        <v>4194</v>
      </c>
      <c r="F329" s="6" t="s">
        <v>13</v>
      </c>
      <c r="G329" s="6" t="s">
        <v>202</v>
      </c>
      <c r="H329" s="6"/>
      <c r="I329" s="6" t="s">
        <v>106</v>
      </c>
      <c r="J329" s="6"/>
      <c r="K329" s="6"/>
      <c r="L329" s="6" t="s">
        <v>4195</v>
      </c>
      <c r="M329" s="6"/>
      <c r="N329" s="6" t="s">
        <v>4196</v>
      </c>
      <c r="O329" s="6" t="str">
        <f>HYPERLINK("https://ceds.ed.gov/cedselementdetails.aspx?termid=6064")</f>
        <v>https://ceds.ed.gov/cedselementdetails.aspx?termid=6064</v>
      </c>
      <c r="P329" s="6" t="str">
        <f>HYPERLINK("https://ceds.ed.gov/elementComment.aspx?elementName=Name of Professional Credential or License &amp;elementID=6064", "Click here to submit comment")</f>
        <v>Click here to submit comment</v>
      </c>
    </row>
    <row r="330" spans="1:16" ht="409.5">
      <c r="A330" s="6" t="s">
        <v>6715</v>
      </c>
      <c r="B330" s="6" t="s">
        <v>6768</v>
      </c>
      <c r="C330" s="6" t="s">
        <v>6772</v>
      </c>
      <c r="D330" s="6" t="s">
        <v>5567</v>
      </c>
      <c r="E330" s="6" t="s">
        <v>5568</v>
      </c>
      <c r="F330" s="7" t="s">
        <v>6633</v>
      </c>
      <c r="G330" s="6" t="s">
        <v>202</v>
      </c>
      <c r="H330" s="6"/>
      <c r="I330" s="6"/>
      <c r="J330" s="6"/>
      <c r="K330" s="6"/>
      <c r="L330" s="6" t="s">
        <v>5569</v>
      </c>
      <c r="M330" s="6"/>
      <c r="N330" s="6" t="s">
        <v>5570</v>
      </c>
      <c r="O330" s="6" t="str">
        <f>HYPERLINK("https://ceds.ed.gov/cedselementdetails.aspx?termid=5804")</f>
        <v>https://ceds.ed.gov/cedselementdetails.aspx?termid=5804</v>
      </c>
      <c r="P330" s="6" t="str">
        <f>HYPERLINK("https://ceds.ed.gov/elementComment.aspx?elementName=State Issuing Professional Credential or License &amp;elementID=5804", "Click here to submit comment")</f>
        <v>Click here to submit comment</v>
      </c>
    </row>
    <row r="331" spans="1:16" ht="45">
      <c r="A331" s="6" t="s">
        <v>6715</v>
      </c>
      <c r="B331" s="6" t="s">
        <v>6768</v>
      </c>
      <c r="C331" s="6" t="s">
        <v>6772</v>
      </c>
      <c r="D331" s="6" t="s">
        <v>2046</v>
      </c>
      <c r="E331" s="6" t="s">
        <v>2047</v>
      </c>
      <c r="F331" s="6" t="s">
        <v>13</v>
      </c>
      <c r="G331" s="6" t="s">
        <v>202</v>
      </c>
      <c r="H331" s="6"/>
      <c r="I331" s="6" t="s">
        <v>73</v>
      </c>
      <c r="J331" s="6"/>
      <c r="K331" s="6"/>
      <c r="L331" s="6" t="s">
        <v>2048</v>
      </c>
      <c r="M331" s="6"/>
      <c r="N331" s="6" t="s">
        <v>2049</v>
      </c>
      <c r="O331" s="6" t="str">
        <f>HYPERLINK("https://ceds.ed.gov/cedselementdetails.aspx?termid=5070")</f>
        <v>https://ceds.ed.gov/cedselementdetails.aspx?termid=5070</v>
      </c>
      <c r="P331" s="6" t="str">
        <f>HYPERLINK("https://ceds.ed.gov/elementComment.aspx?elementName=Credential Issuance Date &amp;elementID=5070", "Click here to submit comment")</f>
        <v>Click here to submit comment</v>
      </c>
    </row>
    <row r="332" spans="1:16" ht="45">
      <c r="A332" s="6" t="s">
        <v>6715</v>
      </c>
      <c r="B332" s="6" t="s">
        <v>6768</v>
      </c>
      <c r="C332" s="6" t="s">
        <v>6772</v>
      </c>
      <c r="D332" s="6" t="s">
        <v>2042</v>
      </c>
      <c r="E332" s="6" t="s">
        <v>2043</v>
      </c>
      <c r="F332" s="6" t="s">
        <v>13</v>
      </c>
      <c r="G332" s="6" t="s">
        <v>202</v>
      </c>
      <c r="H332" s="6"/>
      <c r="I332" s="6" t="s">
        <v>73</v>
      </c>
      <c r="J332" s="6"/>
      <c r="K332" s="6"/>
      <c r="L332" s="6" t="s">
        <v>2044</v>
      </c>
      <c r="M332" s="6"/>
      <c r="N332" s="6" t="s">
        <v>2045</v>
      </c>
      <c r="O332" s="6" t="str">
        <f>HYPERLINK("https://ceds.ed.gov/cedselementdetails.aspx?termid=5069")</f>
        <v>https://ceds.ed.gov/cedselementdetails.aspx?termid=5069</v>
      </c>
      <c r="P332" s="6" t="str">
        <f>HYPERLINK("https://ceds.ed.gov/elementComment.aspx?elementName=Credential Expiration Date &amp;elementID=5069", "Click here to submit comment")</f>
        <v>Click here to submit comment</v>
      </c>
    </row>
    <row r="333" spans="1:16" ht="150">
      <c r="A333" s="6" t="s">
        <v>6715</v>
      </c>
      <c r="B333" s="6" t="s">
        <v>6768</v>
      </c>
      <c r="C333" s="6" t="s">
        <v>6772</v>
      </c>
      <c r="D333" s="6" t="s">
        <v>1627</v>
      </c>
      <c r="E333" s="6" t="s">
        <v>1628</v>
      </c>
      <c r="F333" s="7" t="s">
        <v>6421</v>
      </c>
      <c r="G333" s="6" t="s">
        <v>202</v>
      </c>
      <c r="H333" s="6"/>
      <c r="I333" s="6"/>
      <c r="J333" s="6"/>
      <c r="K333" s="6"/>
      <c r="L333" s="6" t="s">
        <v>1630</v>
      </c>
      <c r="M333" s="6" t="s">
        <v>1631</v>
      </c>
      <c r="N333" s="6" t="s">
        <v>1632</v>
      </c>
      <c r="O333" s="6" t="str">
        <f>HYPERLINK("https://ceds.ed.gov/cedselementdetails.aspx?termid=5805")</f>
        <v>https://ceds.ed.gov/cedselementdetails.aspx?termid=5805</v>
      </c>
      <c r="P333" s="6" t="str">
        <f>HYPERLINK("https://ceds.ed.gov/elementComment.aspx?elementName=Child Development Associate Type &amp;elementID=5805", "Click here to submit comment")</f>
        <v>Click here to submit comment</v>
      </c>
    </row>
    <row r="334" spans="1:16" ht="45">
      <c r="A334" s="6" t="s">
        <v>6715</v>
      </c>
      <c r="B334" s="6" t="s">
        <v>6768</v>
      </c>
      <c r="C334" s="6" t="s">
        <v>6764</v>
      </c>
      <c r="D334" s="6" t="s">
        <v>5041</v>
      </c>
      <c r="E334" s="6" t="s">
        <v>5042</v>
      </c>
      <c r="F334" s="6" t="s">
        <v>13</v>
      </c>
      <c r="G334" s="6" t="s">
        <v>202</v>
      </c>
      <c r="H334" s="6"/>
      <c r="I334" s="6" t="s">
        <v>389</v>
      </c>
      <c r="J334" s="6"/>
      <c r="K334" s="6"/>
      <c r="L334" s="6" t="s">
        <v>5043</v>
      </c>
      <c r="M334" s="6"/>
      <c r="N334" s="6" t="s">
        <v>5044</v>
      </c>
      <c r="O334" s="6" t="str">
        <f>HYPERLINK("https://ceds.ed.gov/cedselementdetails.aspx?termid=5803")</f>
        <v>https://ceds.ed.gov/cedselementdetails.aspx?termid=5803</v>
      </c>
      <c r="P334" s="6" t="str">
        <f>HYPERLINK("https://ceds.ed.gov/elementComment.aspx?elementName=Required Training Clock Hours &amp;elementID=5803", "Click here to submit comment")</f>
        <v>Click here to submit comment</v>
      </c>
    </row>
    <row r="335" spans="1:16" ht="60">
      <c r="A335" s="6" t="s">
        <v>6715</v>
      </c>
      <c r="B335" s="6" t="s">
        <v>6768</v>
      </c>
      <c r="C335" s="6" t="s">
        <v>6764</v>
      </c>
      <c r="D335" s="6" t="s">
        <v>4607</v>
      </c>
      <c r="E335" s="6" t="s">
        <v>4608</v>
      </c>
      <c r="F335" s="6" t="s">
        <v>5963</v>
      </c>
      <c r="G335" s="6" t="s">
        <v>202</v>
      </c>
      <c r="H335" s="6"/>
      <c r="I335" s="6"/>
      <c r="J335" s="6"/>
      <c r="K335" s="6"/>
      <c r="L335" s="6" t="s">
        <v>4609</v>
      </c>
      <c r="M335" s="6"/>
      <c r="N335" s="6" t="s">
        <v>4610</v>
      </c>
      <c r="O335" s="6" t="str">
        <f>HYPERLINK("https://ceds.ed.gov/cedselementdetails.aspx?termid=5806")</f>
        <v>https://ceds.ed.gov/cedselementdetails.aspx?termid=5806</v>
      </c>
      <c r="P335" s="6" t="str">
        <f>HYPERLINK("https://ceds.ed.gov/elementComment.aspx?elementName=Professional Association Membership Status &amp;elementID=5806", "Click here to submit comment")</f>
        <v>Click here to submit comment</v>
      </c>
    </row>
    <row r="336" spans="1:16" ht="30">
      <c r="A336" s="6" t="s">
        <v>6715</v>
      </c>
      <c r="B336" s="6" t="s">
        <v>6768</v>
      </c>
      <c r="C336" s="6" t="s">
        <v>6764</v>
      </c>
      <c r="D336" s="6" t="s">
        <v>4611</v>
      </c>
      <c r="E336" s="6" t="s">
        <v>4612</v>
      </c>
      <c r="F336" s="6" t="s">
        <v>13</v>
      </c>
      <c r="G336" s="6" t="s">
        <v>202</v>
      </c>
      <c r="H336" s="6"/>
      <c r="I336" s="6" t="s">
        <v>106</v>
      </c>
      <c r="J336" s="6"/>
      <c r="K336" s="6"/>
      <c r="L336" s="6" t="s">
        <v>4613</v>
      </c>
      <c r="M336" s="6"/>
      <c r="N336" s="6" t="s">
        <v>4614</v>
      </c>
      <c r="O336" s="6" t="str">
        <f>HYPERLINK("https://ceds.ed.gov/cedselementdetails.aspx?termid=5807")</f>
        <v>https://ceds.ed.gov/cedselementdetails.aspx?termid=5807</v>
      </c>
      <c r="P336" s="6" t="str">
        <f>HYPERLINK("https://ceds.ed.gov/elementComment.aspx?elementName=Professional Association Name &amp;elementID=5807", "Click here to submit comment")</f>
        <v>Click here to submit comment</v>
      </c>
    </row>
    <row r="337" spans="1:16" ht="60">
      <c r="A337" s="6" t="s">
        <v>6715</v>
      </c>
      <c r="B337" s="6" t="s">
        <v>6768</v>
      </c>
      <c r="C337" s="6" t="s">
        <v>6764</v>
      </c>
      <c r="D337" s="6" t="s">
        <v>4714</v>
      </c>
      <c r="E337" s="6" t="s">
        <v>4715</v>
      </c>
      <c r="F337" s="6" t="s">
        <v>5963</v>
      </c>
      <c r="G337" s="6" t="s">
        <v>202</v>
      </c>
      <c r="H337" s="6"/>
      <c r="I337" s="6"/>
      <c r="J337" s="6"/>
      <c r="K337" s="6"/>
      <c r="L337" s="6" t="s">
        <v>4716</v>
      </c>
      <c r="M337" s="6"/>
      <c r="N337" s="6" t="s">
        <v>4717</v>
      </c>
      <c r="O337" s="6" t="str">
        <f>HYPERLINK("https://ceds.ed.gov/cedselementdetails.aspx?termid=5810")</f>
        <v>https://ceds.ed.gov/cedselementdetails.aspx?termid=5810</v>
      </c>
      <c r="P337" s="6" t="str">
        <f>HYPERLINK("https://ceds.ed.gov/elementComment.aspx?elementName=Professional Development Scholarship Status &amp;elementID=5810", "Click here to submit comment")</f>
        <v>Click here to submit comment</v>
      </c>
    </row>
    <row r="338" spans="1:16" ht="210">
      <c r="A338" s="6" t="s">
        <v>6715</v>
      </c>
      <c r="B338" s="6" t="s">
        <v>6768</v>
      </c>
      <c r="C338" s="6" t="s">
        <v>6764</v>
      </c>
      <c r="D338" s="6" t="s">
        <v>4694</v>
      </c>
      <c r="E338" s="6" t="s">
        <v>4695</v>
      </c>
      <c r="F338" s="7" t="s">
        <v>6617</v>
      </c>
      <c r="G338" s="6" t="s">
        <v>202</v>
      </c>
      <c r="H338" s="6"/>
      <c r="I338" s="6"/>
      <c r="J338" s="6"/>
      <c r="K338" s="6"/>
      <c r="L338" s="6" t="s">
        <v>4696</v>
      </c>
      <c r="M338" s="6"/>
      <c r="N338" s="6" t="s">
        <v>4697</v>
      </c>
      <c r="O338" s="6" t="str">
        <f>HYPERLINK("https://ceds.ed.gov/cedselementdetails.aspx?termid=5811")</f>
        <v>https://ceds.ed.gov/cedselementdetails.aspx?termid=5811</v>
      </c>
      <c r="P338" s="6" t="str">
        <f>HYPERLINK("https://ceds.ed.gov/elementComment.aspx?elementName=Professional Development Financial Support Type &amp;elementID=5811", "Click here to submit comment")</f>
        <v>Click here to submit comment</v>
      </c>
    </row>
    <row r="339" spans="1:16" ht="60">
      <c r="A339" s="6" t="s">
        <v>6715</v>
      </c>
      <c r="B339" s="6" t="s">
        <v>6768</v>
      </c>
      <c r="C339" s="6" t="s">
        <v>6764</v>
      </c>
      <c r="D339" s="6" t="s">
        <v>5515</v>
      </c>
      <c r="E339" s="6" t="s">
        <v>5516</v>
      </c>
      <c r="F339" s="6" t="s">
        <v>13</v>
      </c>
      <c r="G339" s="6" t="s">
        <v>202</v>
      </c>
      <c r="H339" s="6" t="s">
        <v>66</v>
      </c>
      <c r="I339" s="6" t="s">
        <v>73</v>
      </c>
      <c r="J339" s="6" t="s">
        <v>5512</v>
      </c>
      <c r="K339" s="6"/>
      <c r="L339" s="6" t="s">
        <v>5517</v>
      </c>
      <c r="M339" s="6"/>
      <c r="N339" s="6" t="s">
        <v>5518</v>
      </c>
      <c r="O339" s="6" t="str">
        <f>HYPERLINK("https://ceds.ed.gov/cedselementdetails.aspx?termid=6067")</f>
        <v>https://ceds.ed.gov/cedselementdetails.aspx?termid=6067</v>
      </c>
      <c r="P339" s="6" t="str">
        <f>HYPERLINK("https://ceds.ed.gov/elementComment.aspx?elementName=Staff Professional Development Activity Start Date &amp;elementID=6067", "Click here to submit comment")</f>
        <v>Click here to submit comment</v>
      </c>
    </row>
    <row r="340" spans="1:16" ht="60">
      <c r="A340" s="6" t="s">
        <v>6715</v>
      </c>
      <c r="B340" s="6" t="s">
        <v>6768</v>
      </c>
      <c r="C340" s="6" t="s">
        <v>6764</v>
      </c>
      <c r="D340" s="6" t="s">
        <v>5510</v>
      </c>
      <c r="E340" s="6" t="s">
        <v>5511</v>
      </c>
      <c r="F340" s="6" t="s">
        <v>13</v>
      </c>
      <c r="G340" s="6" t="s">
        <v>202</v>
      </c>
      <c r="H340" s="6" t="s">
        <v>66</v>
      </c>
      <c r="I340" s="6" t="s">
        <v>73</v>
      </c>
      <c r="J340" s="6" t="s">
        <v>5512</v>
      </c>
      <c r="K340" s="6"/>
      <c r="L340" s="6" t="s">
        <v>5513</v>
      </c>
      <c r="M340" s="6"/>
      <c r="N340" s="6" t="s">
        <v>5514</v>
      </c>
      <c r="O340" s="6" t="str">
        <f>HYPERLINK("https://ceds.ed.gov/cedselementdetails.aspx?termid=6068")</f>
        <v>https://ceds.ed.gov/cedselementdetails.aspx?termid=6068</v>
      </c>
      <c r="P340" s="6" t="str">
        <f>HYPERLINK("https://ceds.ed.gov/elementComment.aspx?elementName=Staff Professional Development Activity Completion Date &amp;elementID=6068", "Click here to submit comment")</f>
        <v>Click here to submit comment</v>
      </c>
    </row>
    <row r="341" spans="1:16" ht="120">
      <c r="A341" s="6" t="s">
        <v>6715</v>
      </c>
      <c r="B341" s="6" t="s">
        <v>6768</v>
      </c>
      <c r="C341" s="6" t="s">
        <v>6764</v>
      </c>
      <c r="D341" s="6" t="s">
        <v>4257</v>
      </c>
      <c r="E341" s="6" t="s">
        <v>4258</v>
      </c>
      <c r="F341" s="6" t="s">
        <v>13</v>
      </c>
      <c r="G341" s="6" t="s">
        <v>6252</v>
      </c>
      <c r="H341" s="6" t="s">
        <v>66</v>
      </c>
      <c r="I341" s="6" t="s">
        <v>1461</v>
      </c>
      <c r="J341" s="6" t="s">
        <v>1820</v>
      </c>
      <c r="K341" s="6"/>
      <c r="L341" s="6" t="s">
        <v>4259</v>
      </c>
      <c r="M341" s="6"/>
      <c r="N341" s="6" t="s">
        <v>4260</v>
      </c>
      <c r="O341" s="6" t="str">
        <f>HYPERLINK("https://ceds.ed.gov/cedselementdetails.aspx?termid=5200")</f>
        <v>https://ceds.ed.gov/cedselementdetails.aspx?termid=5200</v>
      </c>
      <c r="P341" s="6" t="str">
        <f>HYPERLINK("https://ceds.ed.gov/elementComment.aspx?elementName=Number of Credits Earned &amp;elementID=5200", "Click here to submit comment")</f>
        <v>Click here to submit comment</v>
      </c>
    </row>
    <row r="342" spans="1:16" ht="195">
      <c r="A342" s="6" t="s">
        <v>6715</v>
      </c>
      <c r="B342" s="6" t="s">
        <v>6768</v>
      </c>
      <c r="C342" s="6" t="s">
        <v>6764</v>
      </c>
      <c r="D342" s="6" t="s">
        <v>1880</v>
      </c>
      <c r="E342" s="6" t="s">
        <v>1881</v>
      </c>
      <c r="F342" s="7" t="s">
        <v>6438</v>
      </c>
      <c r="G342" s="6" t="s">
        <v>24</v>
      </c>
      <c r="H342" s="6"/>
      <c r="I342" s="6"/>
      <c r="J342" s="6"/>
      <c r="K342" s="6"/>
      <c r="L342" s="6" t="s">
        <v>1882</v>
      </c>
      <c r="M342" s="6"/>
      <c r="N342" s="6" t="s">
        <v>1883</v>
      </c>
      <c r="O342" s="6" t="str">
        <f>HYPERLINK("https://ceds.ed.gov/cedselementdetails.aspx?termid=5057")</f>
        <v>https://ceds.ed.gov/cedselementdetails.aspx?termid=5057</v>
      </c>
      <c r="P342" s="6" t="str">
        <f>HYPERLINK("https://ceds.ed.gov/elementComment.aspx?elementName=Course Credit Units &amp;elementID=5057", "Click here to submit comment")</f>
        <v>Click here to submit comment</v>
      </c>
    </row>
    <row r="343" spans="1:16" ht="60">
      <c r="A343" s="6" t="s">
        <v>6715</v>
      </c>
      <c r="B343" s="6" t="s">
        <v>6768</v>
      </c>
      <c r="C343" s="6" t="s">
        <v>6764</v>
      </c>
      <c r="D343" s="6" t="s">
        <v>1540</v>
      </c>
      <c r="E343" s="6" t="s">
        <v>1541</v>
      </c>
      <c r="F343" s="6" t="s">
        <v>13</v>
      </c>
      <c r="G343" s="6" t="s">
        <v>202</v>
      </c>
      <c r="H343" s="6"/>
      <c r="I343" s="6" t="s">
        <v>73</v>
      </c>
      <c r="J343" s="6"/>
      <c r="K343" s="6"/>
      <c r="L343" s="6" t="s">
        <v>1543</v>
      </c>
      <c r="M343" s="6" t="s">
        <v>1544</v>
      </c>
      <c r="N343" s="6" t="s">
        <v>1545</v>
      </c>
      <c r="O343" s="6" t="str">
        <f>HYPERLINK("https://ceds.ed.gov/cedselementdetails.aspx?termid=6065")</f>
        <v>https://ceds.ed.gov/cedselementdetails.aspx?termid=6065</v>
      </c>
      <c r="P343" s="6" t="str">
        <f>HYPERLINK("https://ceds.ed.gov/elementComment.aspx?elementName=Cardiopulmonary Resuscitation Certification Expiration Date &amp;elementID=6065", "Click here to submit comment")</f>
        <v>Click here to submit comment</v>
      </c>
    </row>
    <row r="344" spans="1:16" ht="45">
      <c r="A344" s="6" t="s">
        <v>6715</v>
      </c>
      <c r="B344" s="6" t="s">
        <v>6768</v>
      </c>
      <c r="C344" s="6" t="s">
        <v>6764</v>
      </c>
      <c r="D344" s="6" t="s">
        <v>2763</v>
      </c>
      <c r="E344" s="6" t="s">
        <v>2764</v>
      </c>
      <c r="F344" s="6" t="s">
        <v>13</v>
      </c>
      <c r="G344" s="6" t="s">
        <v>202</v>
      </c>
      <c r="H344" s="6"/>
      <c r="I344" s="6" t="s">
        <v>73</v>
      </c>
      <c r="J344" s="6"/>
      <c r="K344" s="6"/>
      <c r="L344" s="6" t="s">
        <v>2765</v>
      </c>
      <c r="M344" s="6"/>
      <c r="N344" s="6" t="s">
        <v>2766</v>
      </c>
      <c r="O344" s="6" t="str">
        <f>HYPERLINK("https://ceds.ed.gov/cedselementdetails.aspx?termid=6066")</f>
        <v>https://ceds.ed.gov/cedselementdetails.aspx?termid=6066</v>
      </c>
      <c r="P344" s="6" t="str">
        <f>HYPERLINK("https://ceds.ed.gov/elementComment.aspx?elementName=First Aid Certification Expiration Date &amp;elementID=6066", "Click here to submit comment")</f>
        <v>Click here to submit comment</v>
      </c>
    </row>
    <row r="345" spans="1:16" ht="240">
      <c r="A345" s="6" t="s">
        <v>6715</v>
      </c>
      <c r="B345" s="6" t="s">
        <v>6768</v>
      </c>
      <c r="C345" s="6" t="s">
        <v>6764</v>
      </c>
      <c r="D345" s="6" t="s">
        <v>2340</v>
      </c>
      <c r="E345" s="6" t="s">
        <v>2341</v>
      </c>
      <c r="F345" s="7" t="s">
        <v>6477</v>
      </c>
      <c r="G345" s="6" t="s">
        <v>202</v>
      </c>
      <c r="H345" s="6"/>
      <c r="I345" s="6"/>
      <c r="J345" s="6"/>
      <c r="K345" s="6"/>
      <c r="L345" s="6" t="s">
        <v>2342</v>
      </c>
      <c r="M345" s="6"/>
      <c r="N345" s="6" t="s">
        <v>2343</v>
      </c>
      <c r="O345" s="6" t="str">
        <f>HYPERLINK("https://ceds.ed.gov/cedselementdetails.aspx?termid=5812")</f>
        <v>https://ceds.ed.gov/cedselementdetails.aspx?termid=5812</v>
      </c>
      <c r="P345" s="6" t="str">
        <f>HYPERLINK("https://ceds.ed.gov/elementComment.aspx?elementName=Early Learning Core Knowledge Area &amp;elementID=5812", "Click here to submit comment")</f>
        <v>Click here to submit comment</v>
      </c>
    </row>
    <row r="346" spans="1:16" ht="45">
      <c r="A346" s="6" t="s">
        <v>6715</v>
      </c>
      <c r="B346" s="6" t="s">
        <v>6768</v>
      </c>
      <c r="C346" s="6" t="s">
        <v>6764</v>
      </c>
      <c r="D346" s="6" t="s">
        <v>5555</v>
      </c>
      <c r="E346" s="6" t="s">
        <v>5556</v>
      </c>
      <c r="F346" s="6" t="s">
        <v>5963</v>
      </c>
      <c r="G346" s="6" t="s">
        <v>202</v>
      </c>
      <c r="H346" s="6"/>
      <c r="I346" s="6"/>
      <c r="J346" s="6"/>
      <c r="K346" s="6"/>
      <c r="L346" s="6" t="s">
        <v>5557</v>
      </c>
      <c r="M346" s="6"/>
      <c r="N346" s="6" t="s">
        <v>5558</v>
      </c>
      <c r="O346" s="6" t="str">
        <f>HYPERLINK("https://ceds.ed.gov/cedselementdetails.aspx?termid=5813")</f>
        <v>https://ceds.ed.gov/cedselementdetails.aspx?termid=5813</v>
      </c>
      <c r="P346" s="6" t="str">
        <f>HYPERLINK("https://ceds.ed.gov/elementComment.aspx?elementName=State Approved Trainer Status &amp;elementID=5813", "Click here to submit comment")</f>
        <v>Click here to submit comment</v>
      </c>
    </row>
    <row r="347" spans="1:16" ht="60">
      <c r="A347" s="6" t="s">
        <v>6715</v>
      </c>
      <c r="B347" s="6" t="s">
        <v>6768</v>
      </c>
      <c r="C347" s="6" t="s">
        <v>6764</v>
      </c>
      <c r="D347" s="6" t="s">
        <v>5551</v>
      </c>
      <c r="E347" s="6" t="s">
        <v>5552</v>
      </c>
      <c r="F347" s="6" t="s">
        <v>5963</v>
      </c>
      <c r="G347" s="6" t="s">
        <v>202</v>
      </c>
      <c r="H347" s="6"/>
      <c r="I347" s="6"/>
      <c r="J347" s="6"/>
      <c r="K347" s="6"/>
      <c r="L347" s="6" t="s">
        <v>5553</v>
      </c>
      <c r="M347" s="6"/>
      <c r="N347" s="6" t="s">
        <v>5554</v>
      </c>
      <c r="O347" s="6" t="str">
        <f>HYPERLINK("https://ceds.ed.gov/cedselementdetails.aspx?termid=5814")</f>
        <v>https://ceds.ed.gov/cedselementdetails.aspx?termid=5814</v>
      </c>
      <c r="P347" s="6" t="str">
        <f>HYPERLINK("https://ceds.ed.gov/elementComment.aspx?elementName=State Approved Technical Assistance Provider Status &amp;elementID=5814", "Click here to submit comment")</f>
        <v>Click here to submit comment</v>
      </c>
    </row>
    <row r="348" spans="1:16" ht="30">
      <c r="A348" s="6" t="s">
        <v>6715</v>
      </c>
      <c r="B348" s="6" t="s">
        <v>6768</v>
      </c>
      <c r="C348" s="6" t="s">
        <v>6764</v>
      </c>
      <c r="D348" s="6" t="s">
        <v>1582</v>
      </c>
      <c r="E348" s="6" t="s">
        <v>1583</v>
      </c>
      <c r="F348" s="6" t="s">
        <v>13</v>
      </c>
      <c r="G348" s="6"/>
      <c r="H348" s="6" t="s">
        <v>54</v>
      </c>
      <c r="I348" s="6" t="s">
        <v>73</v>
      </c>
      <c r="J348" s="6"/>
      <c r="K348" s="6"/>
      <c r="L348" s="6" t="s">
        <v>1584</v>
      </c>
      <c r="M348" s="6"/>
      <c r="N348" s="6" t="s">
        <v>1585</v>
      </c>
      <c r="O348" s="6" t="str">
        <f>HYPERLINK("https://ceds.ed.gov/cedselementdetails.aspx?termid=6255")</f>
        <v>https://ceds.ed.gov/cedselementdetails.aspx?termid=6255</v>
      </c>
      <c r="P348" s="6" t="str">
        <f>HYPERLINK("https://ceds.ed.gov/elementComment.aspx?elementName=Career Education Plan Date &amp;elementID=6255", "Click here to submit comment")</f>
        <v>Click here to submit comment</v>
      </c>
    </row>
    <row r="349" spans="1:16" ht="105">
      <c r="A349" s="6" t="s">
        <v>6715</v>
      </c>
      <c r="B349" s="6" t="s">
        <v>6768</v>
      </c>
      <c r="C349" s="6" t="s">
        <v>6764</v>
      </c>
      <c r="D349" s="6" t="s">
        <v>1586</v>
      </c>
      <c r="E349" s="6" t="s">
        <v>1587</v>
      </c>
      <c r="F349" s="7" t="s">
        <v>6416</v>
      </c>
      <c r="G349" s="6"/>
      <c r="H349" s="6" t="s">
        <v>54</v>
      </c>
      <c r="I349" s="6"/>
      <c r="J349" s="6"/>
      <c r="K349" s="6"/>
      <c r="L349" s="6" t="s">
        <v>1588</v>
      </c>
      <c r="M349" s="6"/>
      <c r="N349" s="6" t="s">
        <v>1589</v>
      </c>
      <c r="O349" s="6" t="str">
        <f>HYPERLINK("https://ceds.ed.gov/cedselementdetails.aspx?termid=6256")</f>
        <v>https://ceds.ed.gov/cedselementdetails.aspx?termid=6256</v>
      </c>
      <c r="P349" s="6" t="str">
        <f>HYPERLINK("https://ceds.ed.gov/elementComment.aspx?elementName=Career Education Plan Type &amp;elementID=6256", "Click here to submit comment")</f>
        <v>Click here to submit comment</v>
      </c>
    </row>
    <row r="350" spans="1:16" ht="255">
      <c r="A350" s="6" t="s">
        <v>6715</v>
      </c>
      <c r="B350" s="6" t="s">
        <v>6768</v>
      </c>
      <c r="C350" s="6" t="s">
        <v>6764</v>
      </c>
      <c r="D350" s="6" t="s">
        <v>2376</v>
      </c>
      <c r="E350" s="6" t="s">
        <v>2377</v>
      </c>
      <c r="F350" s="7" t="s">
        <v>6483</v>
      </c>
      <c r="G350" s="6"/>
      <c r="H350" s="6" t="s">
        <v>54</v>
      </c>
      <c r="I350" s="6"/>
      <c r="J350" s="6"/>
      <c r="K350" s="6"/>
      <c r="L350" s="6" t="s">
        <v>2378</v>
      </c>
      <c r="M350" s="6"/>
      <c r="N350" s="6" t="s">
        <v>2379</v>
      </c>
      <c r="O350" s="6" t="str">
        <f>HYPERLINK("https://ceds.ed.gov/cedselementdetails.aspx?termid=6304")</f>
        <v>https://ceds.ed.gov/cedselementdetails.aspx?termid=6304</v>
      </c>
      <c r="P350" s="6" t="str">
        <f>HYPERLINK("https://ceds.ed.gov/elementComment.aspx?elementName=Early Learning Professional Development Topic Area &amp;elementID=6304", "Click here to submit comment")</f>
        <v>Click here to submit comment</v>
      </c>
    </row>
    <row r="351" spans="1:16" ht="45">
      <c r="A351" s="6" t="s">
        <v>6715</v>
      </c>
      <c r="B351" s="6" t="s">
        <v>6768</v>
      </c>
      <c r="C351" s="6" t="s">
        <v>6764</v>
      </c>
      <c r="D351" s="6" t="s">
        <v>4686</v>
      </c>
      <c r="E351" s="6" t="s">
        <v>4687</v>
      </c>
      <c r="F351" s="6" t="s">
        <v>6254</v>
      </c>
      <c r="G351" s="6"/>
      <c r="H351" s="6" t="s">
        <v>54</v>
      </c>
      <c r="I351" s="6"/>
      <c r="J351" s="6"/>
      <c r="K351" s="6"/>
      <c r="L351" s="6" t="s">
        <v>4688</v>
      </c>
      <c r="M351" s="6"/>
      <c r="N351" s="6" t="s">
        <v>4689</v>
      </c>
      <c r="O351" s="6" t="str">
        <f>HYPERLINK("https://ceds.ed.gov/cedselementdetails.aspx?termid=6399")</f>
        <v>https://ceds.ed.gov/cedselementdetails.aspx?termid=6399</v>
      </c>
      <c r="P351" s="6" t="str">
        <f>HYPERLINK("https://ceds.ed.gov/elementComment.aspx?elementName=Professional Development Audience Type &amp;elementID=6399", "Click here to submit comment")</f>
        <v>Click here to submit comment</v>
      </c>
    </row>
    <row r="352" spans="1:16" ht="60">
      <c r="A352" s="6" t="s">
        <v>6715</v>
      </c>
      <c r="B352" s="6" t="s">
        <v>6768</v>
      </c>
      <c r="C352" s="6" t="s">
        <v>6764</v>
      </c>
      <c r="D352" s="6" t="s">
        <v>4710</v>
      </c>
      <c r="E352" s="6" t="s">
        <v>4711</v>
      </c>
      <c r="F352" s="6" t="s">
        <v>5963</v>
      </c>
      <c r="G352" s="6"/>
      <c r="H352" s="6" t="s">
        <v>54</v>
      </c>
      <c r="I352" s="6"/>
      <c r="J352" s="6"/>
      <c r="K352" s="6"/>
      <c r="L352" s="6" t="s">
        <v>4712</v>
      </c>
      <c r="M352" s="6"/>
      <c r="N352" s="6" t="s">
        <v>4713</v>
      </c>
      <c r="O352" s="6" t="str">
        <f>HYPERLINK("https://ceds.ed.gov/cedselementdetails.aspx?termid=6415")</f>
        <v>https://ceds.ed.gov/cedselementdetails.aspx?termid=6415</v>
      </c>
      <c r="P352" s="6" t="str">
        <f>HYPERLINK("https://ceds.ed.gov/elementComment.aspx?elementName=Professional Development Publish Activity Indicator &amp;elementID=6415", "Click here to submit comment")</f>
        <v>Click here to submit comment</v>
      </c>
    </row>
    <row r="353" spans="1:16" ht="135">
      <c r="A353" s="6" t="s">
        <v>6715</v>
      </c>
      <c r="B353" s="6" t="s">
        <v>6768</v>
      </c>
      <c r="C353" s="6" t="s">
        <v>6773</v>
      </c>
      <c r="D353" s="6" t="s">
        <v>5506</v>
      </c>
      <c r="E353" s="6" t="s">
        <v>5507</v>
      </c>
      <c r="F353" s="6" t="s">
        <v>13</v>
      </c>
      <c r="G353" s="6" t="s">
        <v>6322</v>
      </c>
      <c r="H353" s="6" t="s">
        <v>3</v>
      </c>
      <c r="I353" s="6" t="s">
        <v>100</v>
      </c>
      <c r="J353" s="6"/>
      <c r="K353" s="6"/>
      <c r="L353" s="6" t="s">
        <v>5508</v>
      </c>
      <c r="M353" s="6"/>
      <c r="N353" s="6" t="s">
        <v>5509</v>
      </c>
      <c r="O353" s="6" t="str">
        <f>HYPERLINK("https://ceds.ed.gov/cedselementdetails.aspx?termid=5156")</f>
        <v>https://ceds.ed.gov/cedselementdetails.aspx?termid=5156</v>
      </c>
      <c r="P353" s="6" t="str">
        <f>HYPERLINK("https://ceds.ed.gov/elementComment.aspx?elementName=Staff Member Identifier &amp;elementID=5156", "Click here to submit comment")</f>
        <v>Click here to submit comment</v>
      </c>
    </row>
    <row r="354" spans="1:16" ht="409.5">
      <c r="A354" s="6" t="s">
        <v>6715</v>
      </c>
      <c r="B354" s="6" t="s">
        <v>6768</v>
      </c>
      <c r="C354" s="6" t="s">
        <v>6773</v>
      </c>
      <c r="D354" s="6" t="s">
        <v>5502</v>
      </c>
      <c r="E354" s="6" t="s">
        <v>5503</v>
      </c>
      <c r="F354" s="7" t="s">
        <v>6662</v>
      </c>
      <c r="G354" s="6" t="s">
        <v>6321</v>
      </c>
      <c r="H354" s="6" t="s">
        <v>3</v>
      </c>
      <c r="I354" s="6"/>
      <c r="J354" s="6"/>
      <c r="K354" s="6"/>
      <c r="L354" s="6" t="s">
        <v>5504</v>
      </c>
      <c r="M354" s="6"/>
      <c r="N354" s="6" t="s">
        <v>5505</v>
      </c>
      <c r="O354" s="6" t="str">
        <f>HYPERLINK("https://ceds.ed.gov/cedselementdetails.aspx?termid=5162")</f>
        <v>https://ceds.ed.gov/cedselementdetails.aspx?termid=5162</v>
      </c>
      <c r="P354" s="6" t="str">
        <f>HYPERLINK("https://ceds.ed.gov/elementComment.aspx?elementName=Staff Member Identification System &amp;elementID=5162", "Click here to submit comment")</f>
        <v>Click here to submit comment</v>
      </c>
    </row>
    <row r="355" spans="1:16" ht="225">
      <c r="A355" s="6" t="s">
        <v>6715</v>
      </c>
      <c r="B355" s="6" t="s">
        <v>6768</v>
      </c>
      <c r="C355" s="6" t="s">
        <v>6773</v>
      </c>
      <c r="D355" s="6" t="s">
        <v>170</v>
      </c>
      <c r="E355" s="6" t="s">
        <v>171</v>
      </c>
      <c r="F355" s="6" t="s">
        <v>13</v>
      </c>
      <c r="G355" s="6" t="s">
        <v>5973</v>
      </c>
      <c r="H355" s="6" t="s">
        <v>3</v>
      </c>
      <c r="I355" s="6" t="s">
        <v>100</v>
      </c>
      <c r="J355" s="6"/>
      <c r="K355" s="6"/>
      <c r="L355" s="6" t="s">
        <v>172</v>
      </c>
      <c r="M355" s="6"/>
      <c r="N355" s="6" t="s">
        <v>173</v>
      </c>
      <c r="O355" s="6" t="str">
        <f>HYPERLINK("https://ceds.ed.gov/cedselementdetails.aspx?termid=5019")</f>
        <v>https://ceds.ed.gov/cedselementdetails.aspx?termid=5019</v>
      </c>
      <c r="P355" s="6" t="str">
        <f>HYPERLINK("https://ceds.ed.gov/elementComment.aspx?elementName=Address Apartment Room or Suite Number &amp;elementID=5019", "Click here to submit comment")</f>
        <v>Click here to submit comment</v>
      </c>
    </row>
    <row r="356" spans="1:16" ht="225">
      <c r="A356" s="6" t="s">
        <v>6715</v>
      </c>
      <c r="B356" s="6" t="s">
        <v>6768</v>
      </c>
      <c r="C356" s="6" t="s">
        <v>6773</v>
      </c>
      <c r="D356" s="6" t="s">
        <v>174</v>
      </c>
      <c r="E356" s="6" t="s">
        <v>175</v>
      </c>
      <c r="F356" s="6" t="s">
        <v>13</v>
      </c>
      <c r="G356" s="6" t="s">
        <v>5973</v>
      </c>
      <c r="H356" s="6" t="s">
        <v>3</v>
      </c>
      <c r="I356" s="6" t="s">
        <v>100</v>
      </c>
      <c r="J356" s="6"/>
      <c r="K356" s="6"/>
      <c r="L356" s="6" t="s">
        <v>176</v>
      </c>
      <c r="M356" s="6"/>
      <c r="N356" s="6" t="s">
        <v>177</v>
      </c>
      <c r="O356" s="6" t="str">
        <f>HYPERLINK("https://ceds.ed.gov/cedselementdetails.aspx?termid=5040")</f>
        <v>https://ceds.ed.gov/cedselementdetails.aspx?termid=5040</v>
      </c>
      <c r="P356" s="6" t="str">
        <f>HYPERLINK("https://ceds.ed.gov/elementComment.aspx?elementName=Address City &amp;elementID=5040", "Click here to submit comment")</f>
        <v>Click here to submit comment</v>
      </c>
    </row>
    <row r="357" spans="1:16" ht="225">
      <c r="A357" s="6" t="s">
        <v>6715</v>
      </c>
      <c r="B357" s="6" t="s">
        <v>6768</v>
      </c>
      <c r="C357" s="6" t="s">
        <v>6773</v>
      </c>
      <c r="D357" s="6" t="s">
        <v>182</v>
      </c>
      <c r="E357" s="6" t="s">
        <v>183</v>
      </c>
      <c r="F357" s="6" t="s">
        <v>13</v>
      </c>
      <c r="G357" s="6" t="s">
        <v>5973</v>
      </c>
      <c r="H357" s="6" t="s">
        <v>3</v>
      </c>
      <c r="I357" s="6" t="s">
        <v>184</v>
      </c>
      <c r="J357" s="6"/>
      <c r="K357" s="6"/>
      <c r="L357" s="6" t="s">
        <v>185</v>
      </c>
      <c r="M357" s="6"/>
      <c r="N357" s="6" t="s">
        <v>186</v>
      </c>
      <c r="O357" s="6" t="str">
        <f>HYPERLINK("https://ceds.ed.gov/cedselementdetails.aspx?termid=5214")</f>
        <v>https://ceds.ed.gov/cedselementdetails.aspx?termid=5214</v>
      </c>
      <c r="P357" s="6" t="str">
        <f>HYPERLINK("https://ceds.ed.gov/elementComment.aspx?elementName=Address Postal Code &amp;elementID=5214", "Click here to submit comment")</f>
        <v>Click here to submit comment</v>
      </c>
    </row>
    <row r="358" spans="1:16" ht="225">
      <c r="A358" s="6" t="s">
        <v>6715</v>
      </c>
      <c r="B358" s="6" t="s">
        <v>6768</v>
      </c>
      <c r="C358" s="6" t="s">
        <v>6773</v>
      </c>
      <c r="D358" s="6" t="s">
        <v>187</v>
      </c>
      <c r="E358" s="6" t="s">
        <v>188</v>
      </c>
      <c r="F358" s="6" t="s">
        <v>13</v>
      </c>
      <c r="G358" s="6" t="s">
        <v>5973</v>
      </c>
      <c r="H358" s="6" t="s">
        <v>3</v>
      </c>
      <c r="I358" s="6" t="s">
        <v>149</v>
      </c>
      <c r="J358" s="6"/>
      <c r="K358" s="6"/>
      <c r="L358" s="6" t="s">
        <v>189</v>
      </c>
      <c r="M358" s="6"/>
      <c r="N358" s="6" t="s">
        <v>190</v>
      </c>
      <c r="O358" s="6" t="str">
        <f>HYPERLINK("https://ceds.ed.gov/cedselementdetails.aspx?termid=5269")</f>
        <v>https://ceds.ed.gov/cedselementdetails.aspx?termid=5269</v>
      </c>
      <c r="P358" s="6" t="str">
        <f>HYPERLINK("https://ceds.ed.gov/elementComment.aspx?elementName=Address Street Number and Name &amp;elementID=5269", "Click here to submit comment")</f>
        <v>Click here to submit comment</v>
      </c>
    </row>
    <row r="359" spans="1:16" ht="150">
      <c r="A359" s="6" t="s">
        <v>6715</v>
      </c>
      <c r="B359" s="6" t="s">
        <v>6768</v>
      </c>
      <c r="C359" s="6" t="s">
        <v>6773</v>
      </c>
      <c r="D359" s="6" t="s">
        <v>200</v>
      </c>
      <c r="E359" s="6" t="s">
        <v>201</v>
      </c>
      <c r="F359" s="7" t="s">
        <v>6355</v>
      </c>
      <c r="G359" s="6" t="s">
        <v>202</v>
      </c>
      <c r="H359" s="6" t="s">
        <v>3</v>
      </c>
      <c r="I359" s="6" t="s">
        <v>100</v>
      </c>
      <c r="J359" s="6"/>
      <c r="K359" s="6"/>
      <c r="L359" s="6" t="s">
        <v>203</v>
      </c>
      <c r="M359" s="6"/>
      <c r="N359" s="6" t="s">
        <v>204</v>
      </c>
      <c r="O359" s="6" t="str">
        <f>HYPERLINK("https://ceds.ed.gov/cedselementdetails.aspx?termid=5698")</f>
        <v>https://ceds.ed.gov/cedselementdetails.aspx?termid=5698</v>
      </c>
      <c r="P359" s="6" t="str">
        <f>HYPERLINK("https://ceds.ed.gov/elementComment.aspx?elementName=Address Type for Staff &amp;elementID=5698", "Click here to submit comment")</f>
        <v>Click here to submit comment</v>
      </c>
    </row>
    <row r="360" spans="1:16" ht="195">
      <c r="A360" s="6" t="s">
        <v>6715</v>
      </c>
      <c r="B360" s="6" t="s">
        <v>6768</v>
      </c>
      <c r="C360" s="6" t="s">
        <v>6773</v>
      </c>
      <c r="D360" s="6" t="s">
        <v>2776</v>
      </c>
      <c r="E360" s="6" t="s">
        <v>2777</v>
      </c>
      <c r="F360" s="6" t="s">
        <v>13</v>
      </c>
      <c r="G360" s="6" t="s">
        <v>6176</v>
      </c>
      <c r="H360" s="6" t="s">
        <v>3</v>
      </c>
      <c r="I360" s="6" t="s">
        <v>1368</v>
      </c>
      <c r="J360" s="6"/>
      <c r="K360" s="6" t="s">
        <v>2778</v>
      </c>
      <c r="L360" s="6" t="s">
        <v>2779</v>
      </c>
      <c r="M360" s="6"/>
      <c r="N360" s="6" t="s">
        <v>2780</v>
      </c>
      <c r="O360" s="6" t="str">
        <f>HYPERLINK("https://ceds.ed.gov/cedselementdetails.aspx?termid=5115")</f>
        <v>https://ceds.ed.gov/cedselementdetails.aspx?termid=5115</v>
      </c>
      <c r="P360" s="6" t="str">
        <f>HYPERLINK("https://ceds.ed.gov/elementComment.aspx?elementName=First Name &amp;elementID=5115", "Click here to submit comment")</f>
        <v>Click here to submit comment</v>
      </c>
    </row>
    <row r="361" spans="1:16" ht="150">
      <c r="A361" s="6" t="s">
        <v>6715</v>
      </c>
      <c r="B361" s="6" t="s">
        <v>6768</v>
      </c>
      <c r="C361" s="6" t="s">
        <v>6773</v>
      </c>
      <c r="D361" s="6" t="s">
        <v>2829</v>
      </c>
      <c r="E361" s="6" t="s">
        <v>2830</v>
      </c>
      <c r="F361" s="6" t="s">
        <v>13</v>
      </c>
      <c r="G361" s="6" t="s">
        <v>6179</v>
      </c>
      <c r="H361" s="6" t="s">
        <v>3</v>
      </c>
      <c r="I361" s="6" t="s">
        <v>2031</v>
      </c>
      <c r="J361" s="6"/>
      <c r="K361" s="6" t="s">
        <v>2778</v>
      </c>
      <c r="L361" s="6" t="s">
        <v>2831</v>
      </c>
      <c r="M361" s="6"/>
      <c r="N361" s="6" t="s">
        <v>2832</v>
      </c>
      <c r="O361" s="6" t="str">
        <f>HYPERLINK("https://ceds.ed.gov/cedselementdetails.aspx?termid=5121")</f>
        <v>https://ceds.ed.gov/cedselementdetails.aspx?termid=5121</v>
      </c>
      <c r="P361" s="6" t="str">
        <f>HYPERLINK("https://ceds.ed.gov/elementComment.aspx?elementName=Generation Code or Suffix &amp;elementID=5121", "Click here to submit comment")</f>
        <v>Click here to submit comment</v>
      </c>
    </row>
    <row r="362" spans="1:16" ht="195">
      <c r="A362" s="6" t="s">
        <v>6715</v>
      </c>
      <c r="B362" s="6" t="s">
        <v>6768</v>
      </c>
      <c r="C362" s="6" t="s">
        <v>6773</v>
      </c>
      <c r="D362" s="6" t="s">
        <v>3427</v>
      </c>
      <c r="E362" s="6" t="s">
        <v>3428</v>
      </c>
      <c r="F362" s="6" t="s">
        <v>13</v>
      </c>
      <c r="G362" s="6" t="s">
        <v>6176</v>
      </c>
      <c r="H362" s="6" t="s">
        <v>3</v>
      </c>
      <c r="I362" s="6" t="s">
        <v>1368</v>
      </c>
      <c r="J362" s="6"/>
      <c r="K362" s="6" t="s">
        <v>2778</v>
      </c>
      <c r="L362" s="6" t="s">
        <v>3429</v>
      </c>
      <c r="M362" s="6" t="s">
        <v>3430</v>
      </c>
      <c r="N362" s="6" t="s">
        <v>3431</v>
      </c>
      <c r="O362" s="6" t="str">
        <f>HYPERLINK("https://ceds.ed.gov/cedselementdetails.aspx?termid=5172")</f>
        <v>https://ceds.ed.gov/cedselementdetails.aspx?termid=5172</v>
      </c>
      <c r="P362" s="6" t="str">
        <f>HYPERLINK("https://ceds.ed.gov/elementComment.aspx?elementName=Last or Surname &amp;elementID=5172", "Click here to submit comment")</f>
        <v>Click here to submit comment</v>
      </c>
    </row>
    <row r="363" spans="1:16" ht="195">
      <c r="A363" s="6" t="s">
        <v>6715</v>
      </c>
      <c r="B363" s="6" t="s">
        <v>6768</v>
      </c>
      <c r="C363" s="6" t="s">
        <v>6773</v>
      </c>
      <c r="D363" s="6" t="s">
        <v>4088</v>
      </c>
      <c r="E363" s="6" t="s">
        <v>4089</v>
      </c>
      <c r="F363" s="6" t="s">
        <v>13</v>
      </c>
      <c r="G363" s="6" t="s">
        <v>6176</v>
      </c>
      <c r="H363" s="6" t="s">
        <v>3</v>
      </c>
      <c r="I363" s="6" t="s">
        <v>1368</v>
      </c>
      <c r="J363" s="6"/>
      <c r="K363" s="6" t="s">
        <v>2778</v>
      </c>
      <c r="L363" s="6" t="s">
        <v>4090</v>
      </c>
      <c r="M363" s="6"/>
      <c r="N363" s="6" t="s">
        <v>4091</v>
      </c>
      <c r="O363" s="6" t="str">
        <f>HYPERLINK("https://ceds.ed.gov/cedselementdetails.aspx?termid=5184")</f>
        <v>https://ceds.ed.gov/cedselementdetails.aspx?termid=5184</v>
      </c>
      <c r="P363" s="6" t="str">
        <f>HYPERLINK("https://ceds.ed.gov/elementComment.aspx?elementName=Middle Name &amp;elementID=5184", "Click here to submit comment")</f>
        <v>Click here to submit comment</v>
      </c>
    </row>
    <row r="364" spans="1:16" ht="105">
      <c r="A364" s="6" t="s">
        <v>6715</v>
      </c>
      <c r="B364" s="6" t="s">
        <v>6768</v>
      </c>
      <c r="C364" s="6" t="s">
        <v>6773</v>
      </c>
      <c r="D364" s="6" t="s">
        <v>4498</v>
      </c>
      <c r="E364" s="6" t="s">
        <v>4499</v>
      </c>
      <c r="F364" s="6" t="s">
        <v>13</v>
      </c>
      <c r="G364" s="6" t="s">
        <v>6280</v>
      </c>
      <c r="H364" s="6" t="s">
        <v>3</v>
      </c>
      <c r="I364" s="6" t="s">
        <v>100</v>
      </c>
      <c r="J364" s="6"/>
      <c r="K364" s="6"/>
      <c r="L364" s="6" t="s">
        <v>4500</v>
      </c>
      <c r="M364" s="6" t="s">
        <v>4501</v>
      </c>
      <c r="N364" s="6" t="s">
        <v>4502</v>
      </c>
      <c r="O364" s="6" t="str">
        <f>HYPERLINK("https://ceds.ed.gov/cedselementdetails.aspx?termid=5212")</f>
        <v>https://ceds.ed.gov/cedselementdetails.aspx?termid=5212</v>
      </c>
      <c r="P364" s="6" t="str">
        <f>HYPERLINK("https://ceds.ed.gov/elementComment.aspx?elementName=Personal Title or Prefix &amp;elementID=5212", "Click here to submit comment")</f>
        <v>Click here to submit comment</v>
      </c>
    </row>
    <row r="365" spans="1:16" ht="90">
      <c r="A365" s="6" t="s">
        <v>6715</v>
      </c>
      <c r="B365" s="6" t="s">
        <v>6768</v>
      </c>
      <c r="C365" s="6" t="s">
        <v>6773</v>
      </c>
      <c r="D365" s="6" t="s">
        <v>4507</v>
      </c>
      <c r="E365" s="6" t="s">
        <v>4508</v>
      </c>
      <c r="F365" s="6" t="s">
        <v>13</v>
      </c>
      <c r="G365" s="6" t="s">
        <v>5968</v>
      </c>
      <c r="H365" s="6" t="s">
        <v>3</v>
      </c>
      <c r="I365" s="6" t="s">
        <v>1249</v>
      </c>
      <c r="J365" s="6"/>
      <c r="K365" s="6"/>
      <c r="L365" s="6" t="s">
        <v>4509</v>
      </c>
      <c r="M365" s="6"/>
      <c r="N365" s="6" t="s">
        <v>4510</v>
      </c>
      <c r="O365" s="6" t="str">
        <f>HYPERLINK("https://ceds.ed.gov/cedselementdetails.aspx?termid=5213")</f>
        <v>https://ceds.ed.gov/cedselementdetails.aspx?termid=5213</v>
      </c>
      <c r="P365" s="6" t="str">
        <f>HYPERLINK("https://ceds.ed.gov/elementComment.aspx?elementName=Position Title &amp;elementID=5213", "Click here to submit comment")</f>
        <v>Click here to submit comment</v>
      </c>
    </row>
    <row r="366" spans="1:16" ht="90">
      <c r="A366" s="6" t="s">
        <v>6715</v>
      </c>
      <c r="B366" s="6" t="s">
        <v>6768</v>
      </c>
      <c r="C366" s="6" t="s">
        <v>6773</v>
      </c>
      <c r="D366" s="6" t="s">
        <v>4591</v>
      </c>
      <c r="E366" s="6" t="s">
        <v>4592</v>
      </c>
      <c r="F366" s="6" t="s">
        <v>5963</v>
      </c>
      <c r="G366" s="6" t="s">
        <v>5968</v>
      </c>
      <c r="H366" s="6" t="s">
        <v>3</v>
      </c>
      <c r="I366" s="6"/>
      <c r="J366" s="6"/>
      <c r="K366" s="6"/>
      <c r="L366" s="6" t="s">
        <v>4593</v>
      </c>
      <c r="M366" s="6"/>
      <c r="N366" s="6" t="s">
        <v>4594</v>
      </c>
      <c r="O366" s="6" t="str">
        <f>HYPERLINK("https://ceds.ed.gov/cedselementdetails.aspx?termid=5219")</f>
        <v>https://ceds.ed.gov/cedselementdetails.aspx?termid=5219</v>
      </c>
      <c r="P366" s="6" t="str">
        <f>HYPERLINK("https://ceds.ed.gov/elementComment.aspx?elementName=Primary Telephone Number Indicator &amp;elementID=5219", "Click here to submit comment")</f>
        <v>Click here to submit comment</v>
      </c>
    </row>
    <row r="367" spans="1:16" ht="409.5">
      <c r="A367" s="6" t="s">
        <v>6715</v>
      </c>
      <c r="B367" s="6" t="s">
        <v>6768</v>
      </c>
      <c r="C367" s="6" t="s">
        <v>6773</v>
      </c>
      <c r="D367" s="6" t="s">
        <v>5533</v>
      </c>
      <c r="E367" s="6" t="s">
        <v>5534</v>
      </c>
      <c r="F367" s="7" t="s">
        <v>6633</v>
      </c>
      <c r="G367" s="6" t="s">
        <v>6324</v>
      </c>
      <c r="H367" s="6" t="s">
        <v>3</v>
      </c>
      <c r="I367" s="6"/>
      <c r="J367" s="6"/>
      <c r="K367" s="6"/>
      <c r="L367" s="6" t="s">
        <v>5535</v>
      </c>
      <c r="M367" s="6"/>
      <c r="N367" s="6" t="s">
        <v>5536</v>
      </c>
      <c r="O367" s="6" t="str">
        <f>HYPERLINK("https://ceds.ed.gov/cedselementdetails.aspx?termid=5267")</f>
        <v>https://ceds.ed.gov/cedselementdetails.aspx?termid=5267</v>
      </c>
      <c r="P367" s="6" t="str">
        <f>HYPERLINK("https://ceds.ed.gov/elementComment.aspx?elementName=State Abbreviation &amp;elementID=5267", "Click here to submit comment")</f>
        <v>Click here to submit comment</v>
      </c>
    </row>
    <row r="368" spans="1:16" ht="90">
      <c r="A368" s="6" t="s">
        <v>6715</v>
      </c>
      <c r="B368" s="6" t="s">
        <v>6768</v>
      </c>
      <c r="C368" s="6" t="s">
        <v>6773</v>
      </c>
      <c r="D368" s="6" t="s">
        <v>5727</v>
      </c>
      <c r="E368" s="6" t="s">
        <v>5728</v>
      </c>
      <c r="F368" s="6" t="s">
        <v>13</v>
      </c>
      <c r="G368" s="6" t="s">
        <v>5968</v>
      </c>
      <c r="H368" s="6" t="s">
        <v>3</v>
      </c>
      <c r="I368" s="6" t="s">
        <v>5729</v>
      </c>
      <c r="J368" s="6"/>
      <c r="K368" s="6"/>
      <c r="L368" s="6" t="s">
        <v>5730</v>
      </c>
      <c r="M368" s="6"/>
      <c r="N368" s="6" t="s">
        <v>5731</v>
      </c>
      <c r="O368" s="6" t="str">
        <f>HYPERLINK("https://ceds.ed.gov/cedselementdetails.aspx?termid=5279")</f>
        <v>https://ceds.ed.gov/cedselementdetails.aspx?termid=5279</v>
      </c>
      <c r="P368" s="6" t="str">
        <f>HYPERLINK("https://ceds.ed.gov/elementComment.aspx?elementName=Telephone Number &amp;elementID=5279", "Click here to submit comment")</f>
        <v>Click here to submit comment</v>
      </c>
    </row>
    <row r="369" spans="1:16" ht="135">
      <c r="A369" s="6" t="s">
        <v>6715</v>
      </c>
      <c r="B369" s="6" t="s">
        <v>6768</v>
      </c>
      <c r="C369" s="6" t="s">
        <v>6773</v>
      </c>
      <c r="D369" s="6" t="s">
        <v>5732</v>
      </c>
      <c r="E369" s="6" t="s">
        <v>5733</v>
      </c>
      <c r="F369" s="7" t="s">
        <v>6675</v>
      </c>
      <c r="G369" s="6" t="s">
        <v>5968</v>
      </c>
      <c r="H369" s="6" t="s">
        <v>3</v>
      </c>
      <c r="I369" s="6" t="s">
        <v>2844</v>
      </c>
      <c r="J369" s="6"/>
      <c r="K369" s="6"/>
      <c r="L369" s="6" t="s">
        <v>5734</v>
      </c>
      <c r="M369" s="6"/>
      <c r="N369" s="6" t="s">
        <v>5735</v>
      </c>
      <c r="O369" s="6" t="str">
        <f>HYPERLINK("https://ceds.ed.gov/cedselementdetails.aspx?termid=5280")</f>
        <v>https://ceds.ed.gov/cedselementdetails.aspx?termid=5280</v>
      </c>
      <c r="P369" s="6" t="str">
        <f>HYPERLINK("https://ceds.ed.gov/elementComment.aspx?elementName=Telephone Number Type &amp;elementID=5280", "Click here to submit comment")</f>
        <v>Click here to submit comment</v>
      </c>
    </row>
    <row r="370" spans="1:16" ht="409.5">
      <c r="A370" s="6" t="s">
        <v>6715</v>
      </c>
      <c r="B370" s="6" t="s">
        <v>6768</v>
      </c>
      <c r="C370" s="6" t="s">
        <v>6774</v>
      </c>
      <c r="D370" s="6" t="s">
        <v>4648</v>
      </c>
      <c r="E370" s="6" t="s">
        <v>4649</v>
      </c>
      <c r="F370" s="7" t="s">
        <v>6613</v>
      </c>
      <c r="G370" s="6"/>
      <c r="H370" s="6" t="s">
        <v>54</v>
      </c>
      <c r="I370" s="6"/>
      <c r="J370" s="6"/>
      <c r="K370" s="6" t="s">
        <v>4651</v>
      </c>
      <c r="L370" s="6" t="s">
        <v>4652</v>
      </c>
      <c r="M370" s="6"/>
      <c r="N370" s="6" t="s">
        <v>4653</v>
      </c>
      <c r="O370" s="6" t="str">
        <f>HYPERLINK("https://ceds.ed.gov/cedselementdetails.aspx?termid=6245")</f>
        <v>https://ceds.ed.gov/cedselementdetails.aspx?termid=6245</v>
      </c>
      <c r="P370" s="6" t="str">
        <f>HYPERLINK("https://ceds.ed.gov/elementComment.aspx?elementName=Professional Development Activity Education Levels Addressed &amp;elementID=6245", "Click here to submit comment")</f>
        <v>Click here to submit comment</v>
      </c>
    </row>
    <row r="371" spans="1:16" ht="60">
      <c r="A371" s="6" t="s">
        <v>6715</v>
      </c>
      <c r="B371" s="6" t="s">
        <v>6768</v>
      </c>
      <c r="C371" s="6" t="s">
        <v>6775</v>
      </c>
      <c r="D371" s="6" t="s">
        <v>4658</v>
      </c>
      <c r="E371" s="6" t="s">
        <v>4659</v>
      </c>
      <c r="F371" s="6" t="s">
        <v>13</v>
      </c>
      <c r="G371" s="6" t="s">
        <v>202</v>
      </c>
      <c r="H371" s="6"/>
      <c r="I371" s="6" t="s">
        <v>100</v>
      </c>
      <c r="J371" s="6" t="s">
        <v>4661</v>
      </c>
      <c r="K371" s="6"/>
      <c r="L371" s="6" t="s">
        <v>4662</v>
      </c>
      <c r="M371" s="6"/>
      <c r="N371" s="6" t="s">
        <v>4663</v>
      </c>
      <c r="O371" s="6" t="str">
        <f>HYPERLINK("https://ceds.ed.gov/cedselementdetails.aspx?termid=5808")</f>
        <v>https://ceds.ed.gov/cedselementdetails.aspx?termid=5808</v>
      </c>
      <c r="P371" s="6" t="str">
        <f>HYPERLINK("https://ceds.ed.gov/elementComment.aspx?elementName=Professional Development Activity Identifier &amp;elementID=5808", "Click here to submit comment")</f>
        <v>Click here to submit comment</v>
      </c>
    </row>
    <row r="372" spans="1:16" ht="60">
      <c r="A372" s="6" t="s">
        <v>6715</v>
      </c>
      <c r="B372" s="6" t="s">
        <v>6768</v>
      </c>
      <c r="C372" s="6" t="s">
        <v>6775</v>
      </c>
      <c r="D372" s="6" t="s">
        <v>4654</v>
      </c>
      <c r="E372" s="6" t="s">
        <v>4655</v>
      </c>
      <c r="F372" s="6" t="s">
        <v>13</v>
      </c>
      <c r="G372" s="6"/>
      <c r="H372" s="6" t="s">
        <v>54</v>
      </c>
      <c r="I372" s="6" t="s">
        <v>73</v>
      </c>
      <c r="J372" s="6"/>
      <c r="K372" s="6"/>
      <c r="L372" s="6" t="s">
        <v>4656</v>
      </c>
      <c r="M372" s="6"/>
      <c r="N372" s="6" t="s">
        <v>4657</v>
      </c>
      <c r="O372" s="6" t="str">
        <f>HYPERLINK("https://ceds.ed.gov/cedselementdetails.aspx?termid=6421")</f>
        <v>https://ceds.ed.gov/cedselementdetails.aspx?termid=6421</v>
      </c>
      <c r="P372" s="6" t="str">
        <f>HYPERLINK("https://ceds.ed.gov/elementComment.aspx?elementName=Professional Development Activity Expiration Date &amp;elementID=6421", "Click here to submit comment")</f>
        <v>Click here to submit comment</v>
      </c>
    </row>
    <row r="373" spans="1:16" ht="60">
      <c r="A373" s="6" t="s">
        <v>6715</v>
      </c>
      <c r="B373" s="6" t="s">
        <v>6768</v>
      </c>
      <c r="C373" s="6" t="s">
        <v>6775</v>
      </c>
      <c r="D373" s="6" t="s">
        <v>4620</v>
      </c>
      <c r="E373" s="6" t="s">
        <v>4621</v>
      </c>
      <c r="F373" s="6" t="s">
        <v>13</v>
      </c>
      <c r="G373" s="6"/>
      <c r="H373" s="6" t="s">
        <v>54</v>
      </c>
      <c r="I373" s="6" t="s">
        <v>100</v>
      </c>
      <c r="J373" s="6"/>
      <c r="K373" s="6"/>
      <c r="L373" s="6" t="s">
        <v>4622</v>
      </c>
      <c r="M373" s="6"/>
      <c r="N373" s="6" t="s">
        <v>4623</v>
      </c>
      <c r="O373" s="6" t="str">
        <f>HYPERLINK("https://ceds.ed.gov/cedselementdetails.aspx?termid=6402")</f>
        <v>https://ceds.ed.gov/cedselementdetails.aspx?termid=6402</v>
      </c>
      <c r="P373" s="6" t="str">
        <f>HYPERLINK("https://ceds.ed.gov/elementComment.aspx?elementName=Professional Development Activity Approval Code &amp;elementID=6402", "Click here to submit comment")</f>
        <v>Click here to submit comment</v>
      </c>
    </row>
    <row r="374" spans="1:16" ht="105">
      <c r="A374" s="6" t="s">
        <v>6715</v>
      </c>
      <c r="B374" s="6" t="s">
        <v>6768</v>
      </c>
      <c r="C374" s="6" t="s">
        <v>6775</v>
      </c>
      <c r="D374" s="6" t="s">
        <v>4624</v>
      </c>
      <c r="E374" s="6" t="s">
        <v>4625</v>
      </c>
      <c r="F374" s="7" t="s">
        <v>6611</v>
      </c>
      <c r="G374" s="6"/>
      <c r="H374" s="6" t="s">
        <v>54</v>
      </c>
      <c r="I374" s="6"/>
      <c r="J374" s="6"/>
      <c r="K374" s="6"/>
      <c r="L374" s="6" t="s">
        <v>4626</v>
      </c>
      <c r="M374" s="6"/>
      <c r="N374" s="6" t="s">
        <v>4627</v>
      </c>
      <c r="O374" s="6" t="str">
        <f>HYPERLINK("https://ceds.ed.gov/cedselementdetails.aspx?termid=6403")</f>
        <v>https://ceds.ed.gov/cedselementdetails.aspx?termid=6403</v>
      </c>
      <c r="P374" s="6" t="str">
        <f>HYPERLINK("https://ceds.ed.gov/elementComment.aspx?elementName=Professional Development Activity Approved For &amp;elementID=6403", "Click here to submit comment")</f>
        <v>Click here to submit comment</v>
      </c>
    </row>
    <row r="375" spans="1:16" ht="75">
      <c r="A375" s="6" t="s">
        <v>6715</v>
      </c>
      <c r="B375" s="6" t="s">
        <v>6768</v>
      </c>
      <c r="C375" s="6" t="s">
        <v>6775</v>
      </c>
      <c r="D375" s="6" t="s">
        <v>4628</v>
      </c>
      <c r="E375" s="6" t="s">
        <v>4629</v>
      </c>
      <c r="F375" s="6" t="s">
        <v>13</v>
      </c>
      <c r="G375" s="6"/>
      <c r="H375" s="6" t="s">
        <v>54</v>
      </c>
      <c r="I375" s="6" t="s">
        <v>100</v>
      </c>
      <c r="J375" s="6"/>
      <c r="K375" s="6"/>
      <c r="L375" s="6" t="s">
        <v>4630</v>
      </c>
      <c r="M375" s="6"/>
      <c r="N375" s="6" t="s">
        <v>4631</v>
      </c>
      <c r="O375" s="6" t="str">
        <f>HYPERLINK("https://ceds.ed.gov/cedselementdetails.aspx?termid=6404")</f>
        <v>https://ceds.ed.gov/cedselementdetails.aspx?termid=6404</v>
      </c>
      <c r="P375" s="6" t="str">
        <f>HYPERLINK("https://ceds.ed.gov/elementComment.aspx?elementName=Professional Development Activity Code &amp;elementID=6404", "Click here to submit comment")</f>
        <v>Click here to submit comment</v>
      </c>
    </row>
    <row r="376" spans="1:16" ht="45">
      <c r="A376" s="6" t="s">
        <v>6715</v>
      </c>
      <c r="B376" s="6" t="s">
        <v>6768</v>
      </c>
      <c r="C376" s="6" t="s">
        <v>6775</v>
      </c>
      <c r="D376" s="6" t="s">
        <v>4632</v>
      </c>
      <c r="E376" s="6" t="s">
        <v>4633</v>
      </c>
      <c r="F376" s="6" t="s">
        <v>13</v>
      </c>
      <c r="G376" s="6"/>
      <c r="H376" s="6" t="s">
        <v>54</v>
      </c>
      <c r="I376" s="6" t="s">
        <v>1461</v>
      </c>
      <c r="J376" s="6"/>
      <c r="K376" s="6"/>
      <c r="L376" s="6" t="s">
        <v>4634</v>
      </c>
      <c r="M376" s="6"/>
      <c r="N376" s="6" t="s">
        <v>4635</v>
      </c>
      <c r="O376" s="6" t="str">
        <f>HYPERLINK("https://ceds.ed.gov/cedselementdetails.aspx?termid=6405")</f>
        <v>https://ceds.ed.gov/cedselementdetails.aspx?termid=6405</v>
      </c>
      <c r="P376" s="6" t="str">
        <f>HYPERLINK("https://ceds.ed.gov/elementComment.aspx?elementName=Professional Development Activity Cost &amp;elementID=6405", "Click here to submit comment")</f>
        <v>Click here to submit comment</v>
      </c>
    </row>
    <row r="377" spans="1:16" ht="120">
      <c r="A377" s="6" t="s">
        <v>6715</v>
      </c>
      <c r="B377" s="6" t="s">
        <v>6768</v>
      </c>
      <c r="C377" s="6" t="s">
        <v>6775</v>
      </c>
      <c r="D377" s="6" t="s">
        <v>4636</v>
      </c>
      <c r="E377" s="6" t="s">
        <v>4637</v>
      </c>
      <c r="F377" s="7" t="s">
        <v>6612</v>
      </c>
      <c r="G377" s="6"/>
      <c r="H377" s="6" t="s">
        <v>54</v>
      </c>
      <c r="I377" s="6"/>
      <c r="J377" s="6"/>
      <c r="K377" s="6"/>
      <c r="L377" s="6" t="s">
        <v>4638</v>
      </c>
      <c r="M377" s="6"/>
      <c r="N377" s="6" t="s">
        <v>4639</v>
      </c>
      <c r="O377" s="6" t="str">
        <f>HYPERLINK("https://ceds.ed.gov/cedselementdetails.aspx?termid=6406")</f>
        <v>https://ceds.ed.gov/cedselementdetails.aspx?termid=6406</v>
      </c>
      <c r="P377" s="6" t="str">
        <f>HYPERLINK("https://ceds.ed.gov/elementComment.aspx?elementName=Professional Development Activity Credit Type &amp;elementID=6406", "Click here to submit comment")</f>
        <v>Click here to submit comment</v>
      </c>
    </row>
    <row r="378" spans="1:16" ht="45">
      <c r="A378" s="6" t="s">
        <v>6715</v>
      </c>
      <c r="B378" s="6" t="s">
        <v>6768</v>
      </c>
      <c r="C378" s="6" t="s">
        <v>6775</v>
      </c>
      <c r="D378" s="6" t="s">
        <v>4640</v>
      </c>
      <c r="E378" s="6" t="s">
        <v>4641</v>
      </c>
      <c r="F378" s="6" t="s">
        <v>13</v>
      </c>
      <c r="G378" s="6"/>
      <c r="H378" s="6" t="s">
        <v>54</v>
      </c>
      <c r="I378" s="6" t="s">
        <v>1461</v>
      </c>
      <c r="J378" s="6"/>
      <c r="K378" s="6"/>
      <c r="L378" s="6" t="s">
        <v>4642</v>
      </c>
      <c r="M378" s="6"/>
      <c r="N378" s="6" t="s">
        <v>4643</v>
      </c>
      <c r="O378" s="6" t="str">
        <f>HYPERLINK("https://ceds.ed.gov/cedselementdetails.aspx?termid=6407")</f>
        <v>https://ceds.ed.gov/cedselementdetails.aspx?termid=6407</v>
      </c>
      <c r="P378" s="6" t="str">
        <f>HYPERLINK("https://ceds.ed.gov/elementComment.aspx?elementName=Professional Development Activity Credits &amp;elementID=6407", "Click here to submit comment")</f>
        <v>Click here to submit comment</v>
      </c>
    </row>
    <row r="379" spans="1:16" ht="60">
      <c r="A379" s="6" t="s">
        <v>6715</v>
      </c>
      <c r="B379" s="6" t="s">
        <v>6768</v>
      </c>
      <c r="C379" s="6" t="s">
        <v>6775</v>
      </c>
      <c r="D379" s="6" t="s">
        <v>4644</v>
      </c>
      <c r="E379" s="6" t="s">
        <v>4645</v>
      </c>
      <c r="F379" s="6" t="s">
        <v>13</v>
      </c>
      <c r="G379" s="6"/>
      <c r="H379" s="6" t="s">
        <v>54</v>
      </c>
      <c r="I379" s="6" t="s">
        <v>319</v>
      </c>
      <c r="J379" s="6"/>
      <c r="K379" s="6"/>
      <c r="L379" s="6" t="s">
        <v>4646</v>
      </c>
      <c r="M379" s="6"/>
      <c r="N379" s="6" t="s">
        <v>4647</v>
      </c>
      <c r="O379" s="6" t="str">
        <f>HYPERLINK("https://ceds.ed.gov/cedselementdetails.aspx?termid=6408")</f>
        <v>https://ceds.ed.gov/cedselementdetails.aspx?termid=6408</v>
      </c>
      <c r="P379" s="6" t="str">
        <f>HYPERLINK("https://ceds.ed.gov/elementComment.aspx?elementName=Professional Development Activity Description &amp;elementID=6408", "Click here to submit comment")</f>
        <v>Click here to submit comment</v>
      </c>
    </row>
    <row r="380" spans="1:16" ht="60">
      <c r="A380" s="6" t="s">
        <v>6715</v>
      </c>
      <c r="B380" s="6" t="s">
        <v>6768</v>
      </c>
      <c r="C380" s="6" t="s">
        <v>6775</v>
      </c>
      <c r="D380" s="6" t="s">
        <v>4664</v>
      </c>
      <c r="E380" s="6" t="s">
        <v>4665</v>
      </c>
      <c r="F380" s="6" t="s">
        <v>6289</v>
      </c>
      <c r="G380" s="6"/>
      <c r="H380" s="6" t="s">
        <v>54</v>
      </c>
      <c r="I380" s="6"/>
      <c r="J380" s="6"/>
      <c r="K380" s="6"/>
      <c r="L380" s="6" t="s">
        <v>4666</v>
      </c>
      <c r="M380" s="6"/>
      <c r="N380" s="6" t="s">
        <v>4667</v>
      </c>
      <c r="O380" s="6" t="str">
        <f>HYPERLINK("https://ceds.ed.gov/cedselementdetails.aspx?termid=6409")</f>
        <v>https://ceds.ed.gov/cedselementdetails.aspx?termid=6409</v>
      </c>
      <c r="P380" s="6" t="str">
        <f>HYPERLINK("https://ceds.ed.gov/elementComment.aspx?elementName=Professional Development Activity Level &amp;elementID=6409", "Click here to submit comment")</f>
        <v>Click here to submit comment</v>
      </c>
    </row>
    <row r="381" spans="1:16" ht="45">
      <c r="A381" s="6" t="s">
        <v>6715</v>
      </c>
      <c r="B381" s="6" t="s">
        <v>6768</v>
      </c>
      <c r="C381" s="6" t="s">
        <v>6775</v>
      </c>
      <c r="D381" s="6" t="s">
        <v>4668</v>
      </c>
      <c r="E381" s="6" t="s">
        <v>4669</v>
      </c>
      <c r="F381" s="6" t="s">
        <v>13</v>
      </c>
      <c r="G381" s="6"/>
      <c r="H381" s="6" t="s">
        <v>54</v>
      </c>
      <c r="I381" s="6" t="s">
        <v>319</v>
      </c>
      <c r="J381" s="6"/>
      <c r="K381" s="6"/>
      <c r="L381" s="6" t="s">
        <v>4670</v>
      </c>
      <c r="M381" s="6"/>
      <c r="N381" s="6" t="s">
        <v>4671</v>
      </c>
      <c r="O381" s="6" t="str">
        <f>HYPERLINK("https://ceds.ed.gov/cedselementdetails.aspx?termid=6410")</f>
        <v>https://ceds.ed.gov/cedselementdetails.aspx?termid=6410</v>
      </c>
      <c r="P381" s="6" t="str">
        <f>HYPERLINK("https://ceds.ed.gov/elementComment.aspx?elementName=Professional Development Activity Objective &amp;elementID=6410", "Click here to submit comment")</f>
        <v>Click here to submit comment</v>
      </c>
    </row>
    <row r="382" spans="1:16" ht="409.5">
      <c r="A382" s="6" t="s">
        <v>6715</v>
      </c>
      <c r="B382" s="6" t="s">
        <v>6768</v>
      </c>
      <c r="C382" s="6" t="s">
        <v>6775</v>
      </c>
      <c r="D382" s="6" t="s">
        <v>4672</v>
      </c>
      <c r="E382" s="6" t="s">
        <v>4673</v>
      </c>
      <c r="F382" s="7" t="s">
        <v>6614</v>
      </c>
      <c r="G382" s="6"/>
      <c r="H382" s="6" t="s">
        <v>54</v>
      </c>
      <c r="I382" s="6"/>
      <c r="J382" s="6"/>
      <c r="K382" s="6"/>
      <c r="L382" s="6" t="s">
        <v>4674</v>
      </c>
      <c r="M382" s="6"/>
      <c r="N382" s="6" t="s">
        <v>4675</v>
      </c>
      <c r="O382" s="6" t="str">
        <f>HYPERLINK("https://ceds.ed.gov/cedselementdetails.aspx?termid=6464")</f>
        <v>https://ceds.ed.gov/cedselementdetails.aspx?termid=6464</v>
      </c>
      <c r="P382" s="6" t="str">
        <f>HYPERLINK("https://ceds.ed.gov/elementComment.aspx?elementName=Professional Development Activity Target Audience &amp;elementID=6464", "Click here to submit comment")</f>
        <v>Click here to submit comment</v>
      </c>
    </row>
    <row r="383" spans="1:16" ht="45">
      <c r="A383" s="6" t="s">
        <v>6715</v>
      </c>
      <c r="B383" s="6" t="s">
        <v>6768</v>
      </c>
      <c r="C383" s="6" t="s">
        <v>6775</v>
      </c>
      <c r="D383" s="6" t="s">
        <v>4676</v>
      </c>
      <c r="E383" s="6" t="s">
        <v>4677</v>
      </c>
      <c r="F383" s="6" t="s">
        <v>13</v>
      </c>
      <c r="G383" s="6" t="s">
        <v>202</v>
      </c>
      <c r="H383" s="6" t="s">
        <v>66</v>
      </c>
      <c r="I383" s="6" t="s">
        <v>106</v>
      </c>
      <c r="J383" s="6" t="s">
        <v>4678</v>
      </c>
      <c r="K383" s="6"/>
      <c r="L383" s="6" t="s">
        <v>4679</v>
      </c>
      <c r="M383" s="6"/>
      <c r="N383" s="6" t="s">
        <v>4680</v>
      </c>
      <c r="O383" s="6" t="str">
        <f>HYPERLINK("https://ceds.ed.gov/cedselementdetails.aspx?termid=5809")</f>
        <v>https://ceds.ed.gov/cedselementdetails.aspx?termid=5809</v>
      </c>
      <c r="P383" s="6" t="str">
        <f>HYPERLINK("https://ceds.ed.gov/elementComment.aspx?elementName=Professional Development Activity Title &amp;elementID=5809", "Click here to submit comment")</f>
        <v>Click here to submit comment</v>
      </c>
    </row>
    <row r="384" spans="1:16" ht="210">
      <c r="A384" s="6" t="s">
        <v>6715</v>
      </c>
      <c r="B384" s="6" t="s">
        <v>6768</v>
      </c>
      <c r="C384" s="6" t="s">
        <v>6775</v>
      </c>
      <c r="D384" s="6" t="s">
        <v>4681</v>
      </c>
      <c r="E384" s="6" t="s">
        <v>4682</v>
      </c>
      <c r="F384" s="7" t="s">
        <v>6615</v>
      </c>
      <c r="G384" s="6"/>
      <c r="H384" s="6" t="s">
        <v>54</v>
      </c>
      <c r="I384" s="6"/>
      <c r="J384" s="6"/>
      <c r="K384" s="6" t="s">
        <v>4683</v>
      </c>
      <c r="L384" s="6" t="s">
        <v>4684</v>
      </c>
      <c r="M384" s="6"/>
      <c r="N384" s="6" t="s">
        <v>4685</v>
      </c>
      <c r="O384" s="6" t="str">
        <f>HYPERLINK("https://ceds.ed.gov/cedselementdetails.aspx?termid=6412")</f>
        <v>https://ceds.ed.gov/cedselementdetails.aspx?termid=6412</v>
      </c>
      <c r="P384" s="6" t="str">
        <f>HYPERLINK("https://ceds.ed.gov/elementComment.aspx?elementName=Professional Development Activity Type &amp;elementID=6412", "Click here to submit comment")</f>
        <v>Click here to submit comment</v>
      </c>
    </row>
    <row r="385" spans="1:16" ht="45">
      <c r="A385" s="6" t="s">
        <v>6715</v>
      </c>
      <c r="B385" s="6" t="s">
        <v>6768</v>
      </c>
      <c r="C385" s="6" t="s">
        <v>6776</v>
      </c>
      <c r="D385" s="6" t="s">
        <v>4718</v>
      </c>
      <c r="E385" s="6" t="s">
        <v>4719</v>
      </c>
      <c r="F385" s="6" t="s">
        <v>13</v>
      </c>
      <c r="G385" s="6"/>
      <c r="H385" s="6" t="s">
        <v>54</v>
      </c>
      <c r="I385" s="6" t="s">
        <v>575</v>
      </c>
      <c r="J385" s="6"/>
      <c r="K385" s="6"/>
      <c r="L385" s="6" t="s">
        <v>4720</v>
      </c>
      <c r="M385" s="6"/>
      <c r="N385" s="6" t="s">
        <v>4721</v>
      </c>
      <c r="O385" s="6" t="str">
        <f>HYPERLINK("https://ceds.ed.gov/cedselementdetails.aspx?termid=6416")</f>
        <v>https://ceds.ed.gov/cedselementdetails.aspx?termid=6416</v>
      </c>
      <c r="P385" s="6" t="str">
        <f>HYPERLINK("https://ceds.ed.gov/elementComment.aspx?elementName=Professional Development Session Capacity &amp;elementID=6416", "Click here to submit comment")</f>
        <v>Click here to submit comment</v>
      </c>
    </row>
    <row r="386" spans="1:16" ht="45">
      <c r="A386" s="6" t="s">
        <v>6715</v>
      </c>
      <c r="B386" s="6" t="s">
        <v>6768</v>
      </c>
      <c r="C386" s="6" t="s">
        <v>6776</v>
      </c>
      <c r="D386" s="6" t="s">
        <v>4722</v>
      </c>
      <c r="E386" s="6" t="s">
        <v>4723</v>
      </c>
      <c r="F386" s="6" t="s">
        <v>13</v>
      </c>
      <c r="G386" s="6"/>
      <c r="H386" s="6" t="s">
        <v>54</v>
      </c>
      <c r="I386" s="6" t="s">
        <v>73</v>
      </c>
      <c r="J386" s="6"/>
      <c r="K386" s="6"/>
      <c r="L386" s="6" t="s">
        <v>4724</v>
      </c>
      <c r="M386" s="6"/>
      <c r="N386" s="6" t="s">
        <v>4725</v>
      </c>
      <c r="O386" s="6" t="str">
        <f>HYPERLINK("https://ceds.ed.gov/cedselementdetails.aspx?termid=6417")</f>
        <v>https://ceds.ed.gov/cedselementdetails.aspx?termid=6417</v>
      </c>
      <c r="P386" s="6" t="str">
        <f>HYPERLINK("https://ceds.ed.gov/elementComment.aspx?elementName=Professional Development Session End Date &amp;elementID=6417", "Click here to submit comment")</f>
        <v>Click here to submit comment</v>
      </c>
    </row>
    <row r="387" spans="1:16" ht="45">
      <c r="A387" s="6" t="s">
        <v>6715</v>
      </c>
      <c r="B387" s="6" t="s">
        <v>6768</v>
      </c>
      <c r="C387" s="6" t="s">
        <v>6776</v>
      </c>
      <c r="D387" s="6" t="s">
        <v>4726</v>
      </c>
      <c r="E387" s="6" t="s">
        <v>4727</v>
      </c>
      <c r="F387" s="6" t="s">
        <v>13</v>
      </c>
      <c r="G387" s="6"/>
      <c r="H387" s="6" t="s">
        <v>54</v>
      </c>
      <c r="I387" s="6" t="s">
        <v>4728</v>
      </c>
      <c r="J387" s="6"/>
      <c r="K387" s="6"/>
      <c r="L387" s="6" t="s">
        <v>4729</v>
      </c>
      <c r="M387" s="6"/>
      <c r="N387" s="6" t="s">
        <v>4730</v>
      </c>
      <c r="O387" s="6" t="str">
        <f>HYPERLINK("https://ceds.ed.gov/cedselementdetails.aspx?termid=6418")</f>
        <v>https://ceds.ed.gov/cedselementdetails.aspx?termid=6418</v>
      </c>
      <c r="P387" s="6" t="str">
        <f>HYPERLINK("https://ceds.ed.gov/elementComment.aspx?elementName=Professional Development Session End Time &amp;elementID=6418", "Click here to submit comment")</f>
        <v>Click here to submit comment</v>
      </c>
    </row>
    <row r="388" spans="1:16" ht="60">
      <c r="A388" s="6" t="s">
        <v>6715</v>
      </c>
      <c r="B388" s="6" t="s">
        <v>6768</v>
      </c>
      <c r="C388" s="6" t="s">
        <v>6776</v>
      </c>
      <c r="D388" s="6" t="s">
        <v>4731</v>
      </c>
      <c r="E388" s="6" t="s">
        <v>4732</v>
      </c>
      <c r="F388" s="6" t="s">
        <v>13</v>
      </c>
      <c r="G388" s="6"/>
      <c r="H388" s="6" t="s">
        <v>54</v>
      </c>
      <c r="I388" s="6" t="s">
        <v>100</v>
      </c>
      <c r="J388" s="6"/>
      <c r="K388" s="6"/>
      <c r="L388" s="6" t="s">
        <v>4733</v>
      </c>
      <c r="M388" s="6"/>
      <c r="N388" s="6" t="s">
        <v>4734</v>
      </c>
      <c r="O388" s="6" t="str">
        <f>HYPERLINK("https://ceds.ed.gov/cedselementdetails.aspx?termid=6419")</f>
        <v>https://ceds.ed.gov/cedselementdetails.aspx?termid=6419</v>
      </c>
      <c r="P388" s="6" t="str">
        <f>HYPERLINK("https://ceds.ed.gov/elementComment.aspx?elementName=Professional Development Session Evaluation Method &amp;elementID=6419", "Click here to submit comment")</f>
        <v>Click here to submit comment</v>
      </c>
    </row>
    <row r="389" spans="1:16" ht="60">
      <c r="A389" s="6" t="s">
        <v>6715</v>
      </c>
      <c r="B389" s="6" t="s">
        <v>6768</v>
      </c>
      <c r="C389" s="6" t="s">
        <v>6776</v>
      </c>
      <c r="D389" s="6" t="s">
        <v>4735</v>
      </c>
      <c r="E389" s="6" t="s">
        <v>4736</v>
      </c>
      <c r="F389" s="6" t="s">
        <v>13</v>
      </c>
      <c r="G389" s="6"/>
      <c r="H389" s="6" t="s">
        <v>54</v>
      </c>
      <c r="I389" s="6" t="s">
        <v>100</v>
      </c>
      <c r="J389" s="6"/>
      <c r="K389" s="6"/>
      <c r="L389" s="6" t="s">
        <v>4737</v>
      </c>
      <c r="M389" s="6"/>
      <c r="N389" s="6" t="s">
        <v>4738</v>
      </c>
      <c r="O389" s="6" t="str">
        <f>HYPERLINK("https://ceds.ed.gov/cedselementdetails.aspx?termid=6420")</f>
        <v>https://ceds.ed.gov/cedselementdetails.aspx?termid=6420</v>
      </c>
      <c r="P389" s="6" t="str">
        <f>HYPERLINK("https://ceds.ed.gov/elementComment.aspx?elementName=Professional Development Session Evaluation Score &amp;elementID=6420", "Click here to submit comment")</f>
        <v>Click here to submit comment</v>
      </c>
    </row>
    <row r="390" spans="1:16" ht="75">
      <c r="A390" s="6" t="s">
        <v>6715</v>
      </c>
      <c r="B390" s="6" t="s">
        <v>6768</v>
      </c>
      <c r="C390" s="6" t="s">
        <v>6776</v>
      </c>
      <c r="D390" s="6" t="s">
        <v>4739</v>
      </c>
      <c r="E390" s="6" t="s">
        <v>4740</v>
      </c>
      <c r="F390" s="6" t="s">
        <v>13</v>
      </c>
      <c r="G390" s="6"/>
      <c r="H390" s="6" t="s">
        <v>54</v>
      </c>
      <c r="I390" s="6" t="s">
        <v>100</v>
      </c>
      <c r="J390" s="6"/>
      <c r="K390" s="6"/>
      <c r="L390" s="6" t="s">
        <v>4741</v>
      </c>
      <c r="M390" s="6"/>
      <c r="N390" s="6" t="s">
        <v>4742</v>
      </c>
      <c r="O390" s="6" t="str">
        <f>HYPERLINK("https://ceds.ed.gov/cedselementdetails.aspx?termid=6422")</f>
        <v>https://ceds.ed.gov/cedselementdetails.aspx?termid=6422</v>
      </c>
      <c r="P390" s="6" t="str">
        <f>HYPERLINK("https://ceds.ed.gov/elementComment.aspx?elementName=Professional Development Session Identifier &amp;elementID=6422", "Click here to submit comment")</f>
        <v>Click here to submit comment</v>
      </c>
    </row>
    <row r="391" spans="1:16" ht="45">
      <c r="A391" s="6" t="s">
        <v>6715</v>
      </c>
      <c r="B391" s="6" t="s">
        <v>6768</v>
      </c>
      <c r="C391" s="6" t="s">
        <v>6776</v>
      </c>
      <c r="D391" s="6" t="s">
        <v>4747</v>
      </c>
      <c r="E391" s="6" t="s">
        <v>4748</v>
      </c>
      <c r="F391" s="6" t="s">
        <v>13</v>
      </c>
      <c r="G391" s="6"/>
      <c r="H391" s="6" t="s">
        <v>54</v>
      </c>
      <c r="I391" s="6" t="s">
        <v>73</v>
      </c>
      <c r="J391" s="6"/>
      <c r="K391" s="6"/>
      <c r="L391" s="6" t="s">
        <v>4749</v>
      </c>
      <c r="M391" s="6"/>
      <c r="N391" s="6" t="s">
        <v>4750</v>
      </c>
      <c r="O391" s="6" t="str">
        <f>HYPERLINK("https://ceds.ed.gov/cedselementdetails.aspx?termid=6426")</f>
        <v>https://ceds.ed.gov/cedselementdetails.aspx?termid=6426</v>
      </c>
      <c r="P391" s="6" t="str">
        <f>HYPERLINK("https://ceds.ed.gov/elementComment.aspx?elementName=Professional Development Session Start Date &amp;elementID=6426", "Click here to submit comment")</f>
        <v>Click here to submit comment</v>
      </c>
    </row>
    <row r="392" spans="1:16" ht="45">
      <c r="A392" s="6" t="s">
        <v>6715</v>
      </c>
      <c r="B392" s="6" t="s">
        <v>6768</v>
      </c>
      <c r="C392" s="6" t="s">
        <v>6776</v>
      </c>
      <c r="D392" s="6" t="s">
        <v>4751</v>
      </c>
      <c r="E392" s="6" t="s">
        <v>4752</v>
      </c>
      <c r="F392" s="6" t="s">
        <v>13</v>
      </c>
      <c r="G392" s="6"/>
      <c r="H392" s="6" t="s">
        <v>54</v>
      </c>
      <c r="I392" s="6" t="s">
        <v>4728</v>
      </c>
      <c r="J392" s="6"/>
      <c r="K392" s="6"/>
      <c r="L392" s="6" t="s">
        <v>4753</v>
      </c>
      <c r="M392" s="6"/>
      <c r="N392" s="6" t="s">
        <v>4754</v>
      </c>
      <c r="O392" s="6" t="str">
        <f>HYPERLINK("https://ceds.ed.gov/cedselementdetails.aspx?termid=6427")</f>
        <v>https://ceds.ed.gov/cedselementdetails.aspx?termid=6427</v>
      </c>
      <c r="P392" s="6" t="str">
        <f>HYPERLINK("https://ceds.ed.gov/elementComment.aspx?elementName=Professional Development Session Start Time &amp;elementID=6427", "Click here to submit comment")</f>
        <v>Click here to submit comment</v>
      </c>
    </row>
    <row r="393" spans="1:16" ht="60">
      <c r="A393" s="6" t="s">
        <v>6715</v>
      </c>
      <c r="B393" s="6" t="s">
        <v>6768</v>
      </c>
      <c r="C393" s="6" t="s">
        <v>6776</v>
      </c>
      <c r="D393" s="6" t="s">
        <v>4755</v>
      </c>
      <c r="E393" s="6" t="s">
        <v>4756</v>
      </c>
      <c r="F393" s="6" t="s">
        <v>6292</v>
      </c>
      <c r="G393" s="6"/>
      <c r="H393" s="6" t="s">
        <v>54</v>
      </c>
      <c r="I393" s="6"/>
      <c r="J393" s="6"/>
      <c r="K393" s="6"/>
      <c r="L393" s="6" t="s">
        <v>4757</v>
      </c>
      <c r="M393" s="6"/>
      <c r="N393" s="6" t="s">
        <v>4758</v>
      </c>
      <c r="O393" s="6" t="str">
        <f>HYPERLINK("https://ceds.ed.gov/cedselementdetails.aspx?termid=6428")</f>
        <v>https://ceds.ed.gov/cedselementdetails.aspx?termid=6428</v>
      </c>
      <c r="P393" s="6" t="str">
        <f>HYPERLINK("https://ceds.ed.gov/elementComment.aspx?elementName=Professional Development Session Status &amp;elementID=6428", "Click here to submit comment")</f>
        <v>Click here to submit comment</v>
      </c>
    </row>
    <row r="394" spans="1:16" ht="90">
      <c r="A394" s="6" t="s">
        <v>6715</v>
      </c>
      <c r="B394" s="6" t="s">
        <v>6768</v>
      </c>
      <c r="C394" s="6" t="s">
        <v>6776</v>
      </c>
      <c r="D394" s="6" t="s">
        <v>4690</v>
      </c>
      <c r="E394" s="6" t="s">
        <v>4691</v>
      </c>
      <c r="F394" s="7" t="s">
        <v>6616</v>
      </c>
      <c r="G394" s="6"/>
      <c r="H394" s="6" t="s">
        <v>54</v>
      </c>
      <c r="I394" s="6"/>
      <c r="J394" s="6"/>
      <c r="K394" s="6"/>
      <c r="L394" s="6" t="s">
        <v>4692</v>
      </c>
      <c r="M394" s="6"/>
      <c r="N394" s="6" t="s">
        <v>4693</v>
      </c>
      <c r="O394" s="6" t="str">
        <f>HYPERLINK("https://ceds.ed.gov/cedselementdetails.aspx?termid=6401")</f>
        <v>https://ceds.ed.gov/cedselementdetails.aspx?termid=6401</v>
      </c>
      <c r="P394" s="6" t="str">
        <f>HYPERLINK("https://ceds.ed.gov/elementComment.aspx?elementName=Professional Development Delivery Method &amp;elementID=6401", "Click here to submit comment")</f>
        <v>Click here to submit comment</v>
      </c>
    </row>
    <row r="395" spans="1:16" ht="45">
      <c r="A395" s="6" t="s">
        <v>6715</v>
      </c>
      <c r="B395" s="6" t="s">
        <v>6768</v>
      </c>
      <c r="C395" s="6" t="s">
        <v>6776</v>
      </c>
      <c r="D395" s="6" t="s">
        <v>4698</v>
      </c>
      <c r="E395" s="6" t="s">
        <v>4699</v>
      </c>
      <c r="F395" s="6" t="s">
        <v>13</v>
      </c>
      <c r="G395" s="6"/>
      <c r="H395" s="6" t="s">
        <v>54</v>
      </c>
      <c r="I395" s="6" t="s">
        <v>100</v>
      </c>
      <c r="J395" s="6"/>
      <c r="K395" s="6"/>
      <c r="L395" s="6" t="s">
        <v>4700</v>
      </c>
      <c r="M395" s="6"/>
      <c r="N395" s="6" t="s">
        <v>4701</v>
      </c>
      <c r="O395" s="6" t="str">
        <f>HYPERLINK("https://ceds.ed.gov/cedselementdetails.aspx?termid=6413")</f>
        <v>https://ceds.ed.gov/cedselementdetails.aspx?termid=6413</v>
      </c>
      <c r="P395" s="6" t="str">
        <f>HYPERLINK("https://ceds.ed.gov/elementComment.aspx?elementName=Professional Development Funding Source &amp;elementID=6413", "Click here to submit comment")</f>
        <v>Click here to submit comment</v>
      </c>
    </row>
    <row r="396" spans="1:16" ht="240">
      <c r="A396" s="6" t="s">
        <v>6715</v>
      </c>
      <c r="B396" s="6" t="s">
        <v>6768</v>
      </c>
      <c r="C396" s="6" t="s">
        <v>6776</v>
      </c>
      <c r="D396" s="6" t="s">
        <v>4702</v>
      </c>
      <c r="E396" s="6" t="s">
        <v>4703</v>
      </c>
      <c r="F396" s="7" t="s">
        <v>6618</v>
      </c>
      <c r="G396" s="6"/>
      <c r="H396" s="6" t="s">
        <v>54</v>
      </c>
      <c r="I396" s="6"/>
      <c r="J396" s="6"/>
      <c r="K396" s="6"/>
      <c r="L396" s="6" t="s">
        <v>4704</v>
      </c>
      <c r="M396" s="6"/>
      <c r="N396" s="6" t="s">
        <v>4705</v>
      </c>
      <c r="O396" s="6" t="str">
        <f>HYPERLINK("https://ceds.ed.gov/cedselementdetails.aspx?termid=6429")</f>
        <v>https://ceds.ed.gov/cedselementdetails.aspx?termid=6429</v>
      </c>
      <c r="P396" s="6" t="str">
        <f>HYPERLINK("https://ceds.ed.gov/elementComment.aspx?elementName=Professional Development Instructional Delivery Mode &amp;elementID=6429", "Click here to submit comment")</f>
        <v>Click here to submit comment</v>
      </c>
    </row>
    <row r="397" spans="1:16" ht="60">
      <c r="A397" s="6" t="s">
        <v>6715</v>
      </c>
      <c r="B397" s="6" t="s">
        <v>6768</v>
      </c>
      <c r="C397" s="6" t="s">
        <v>6776</v>
      </c>
      <c r="D397" s="6" t="s">
        <v>4706</v>
      </c>
      <c r="E397" s="6" t="s">
        <v>4707</v>
      </c>
      <c r="F397" s="6" t="s">
        <v>13</v>
      </c>
      <c r="G397" s="6"/>
      <c r="H397" s="6" t="s">
        <v>54</v>
      </c>
      <c r="I397" s="6" t="s">
        <v>100</v>
      </c>
      <c r="J397" s="6"/>
      <c r="K397" s="6"/>
      <c r="L397" s="6" t="s">
        <v>4708</v>
      </c>
      <c r="M397" s="6"/>
      <c r="N397" s="6" t="s">
        <v>4709</v>
      </c>
      <c r="O397" s="6" t="str">
        <f>HYPERLINK("https://ceds.ed.gov/cedselementdetails.aspx?termid=6414")</f>
        <v>https://ceds.ed.gov/cedselementdetails.aspx?termid=6414</v>
      </c>
      <c r="P397" s="6" t="str">
        <f>HYPERLINK("https://ceds.ed.gov/elementComment.aspx?elementName=Professional Development Instructor Identifier &amp;elementID=6414", "Click here to submit comment")</f>
        <v>Click here to submit comment</v>
      </c>
    </row>
    <row r="398" spans="1:16" ht="45">
      <c r="A398" s="6" t="s">
        <v>6715</v>
      </c>
      <c r="B398" s="6" t="s">
        <v>6768</v>
      </c>
      <c r="C398" s="6" t="s">
        <v>6776</v>
      </c>
      <c r="D398" s="6" t="s">
        <v>5443</v>
      </c>
      <c r="E398" s="6" t="s">
        <v>5444</v>
      </c>
      <c r="F398" s="6" t="s">
        <v>13</v>
      </c>
      <c r="G398" s="6"/>
      <c r="H398" s="6" t="s">
        <v>54</v>
      </c>
      <c r="I398" s="6" t="s">
        <v>106</v>
      </c>
      <c r="J398" s="6"/>
      <c r="K398" s="6"/>
      <c r="L398" s="6" t="s">
        <v>5445</v>
      </c>
      <c r="M398" s="6"/>
      <c r="N398" s="6" t="s">
        <v>5446</v>
      </c>
      <c r="O398" s="6" t="str">
        <f>HYPERLINK("https://ceds.ed.gov/cedselementdetails.aspx?termid=6461")</f>
        <v>https://ceds.ed.gov/cedselementdetails.aspx?termid=6461</v>
      </c>
      <c r="P398" s="6" t="str">
        <f>HYPERLINK("https://ceds.ed.gov/elementComment.aspx?elementName=Sponsoring Agency Name &amp;elementID=6461", "Click here to submit comment")</f>
        <v>Click here to submit comment</v>
      </c>
    </row>
    <row r="399" spans="1:16" ht="60">
      <c r="A399" s="6" t="s">
        <v>6715</v>
      </c>
      <c r="B399" s="6" t="s">
        <v>6768</v>
      </c>
      <c r="C399" s="6" t="s">
        <v>6777</v>
      </c>
      <c r="D399" s="6" t="s">
        <v>4743</v>
      </c>
      <c r="E399" s="6" t="s">
        <v>4744</v>
      </c>
      <c r="F399" s="6" t="s">
        <v>13</v>
      </c>
      <c r="G399" s="6"/>
      <c r="H399" s="6" t="s">
        <v>54</v>
      </c>
      <c r="I399" s="6" t="s">
        <v>106</v>
      </c>
      <c r="J399" s="6"/>
      <c r="K399" s="6"/>
      <c r="L399" s="6" t="s">
        <v>4745</v>
      </c>
      <c r="M399" s="6"/>
      <c r="N399" s="6" t="s">
        <v>4746</v>
      </c>
      <c r="O399" s="6" t="str">
        <f>HYPERLINK("https://ceds.ed.gov/cedselementdetails.aspx?termid=6424")</f>
        <v>https://ceds.ed.gov/cedselementdetails.aspx?termid=6424</v>
      </c>
      <c r="P399" s="6" t="str">
        <f>HYPERLINK("https://ceds.ed.gov/elementComment.aspx?elementName=Professional Development Session Location Name &amp;elementID=6424", "Click here to submit comment")</f>
        <v>Click here to submit comment</v>
      </c>
    </row>
    <row r="400" spans="1:16" ht="225">
      <c r="A400" s="6" t="s">
        <v>6715</v>
      </c>
      <c r="B400" s="6" t="s">
        <v>6768</v>
      </c>
      <c r="C400" s="6" t="s">
        <v>6777</v>
      </c>
      <c r="D400" s="6" t="s">
        <v>187</v>
      </c>
      <c r="E400" s="6" t="s">
        <v>188</v>
      </c>
      <c r="F400" s="6" t="s">
        <v>13</v>
      </c>
      <c r="G400" s="6" t="s">
        <v>5973</v>
      </c>
      <c r="H400" s="6" t="s">
        <v>3</v>
      </c>
      <c r="I400" s="6" t="s">
        <v>149</v>
      </c>
      <c r="J400" s="6"/>
      <c r="K400" s="6"/>
      <c r="L400" s="6" t="s">
        <v>189</v>
      </c>
      <c r="M400" s="6"/>
      <c r="N400" s="6" t="s">
        <v>190</v>
      </c>
      <c r="O400" s="6" t="str">
        <f>HYPERLINK("https://ceds.ed.gov/cedselementdetails.aspx?termid=5269")</f>
        <v>https://ceds.ed.gov/cedselementdetails.aspx?termid=5269</v>
      </c>
      <c r="P400" s="6" t="str">
        <f>HYPERLINK("https://ceds.ed.gov/elementComment.aspx?elementName=Address Street Number and Name &amp;elementID=5269", "Click here to submit comment")</f>
        <v>Click here to submit comment</v>
      </c>
    </row>
    <row r="401" spans="1:16" ht="225">
      <c r="A401" s="6" t="s">
        <v>6715</v>
      </c>
      <c r="B401" s="6" t="s">
        <v>6768</v>
      </c>
      <c r="C401" s="6" t="s">
        <v>6777</v>
      </c>
      <c r="D401" s="6" t="s">
        <v>170</v>
      </c>
      <c r="E401" s="6" t="s">
        <v>171</v>
      </c>
      <c r="F401" s="6" t="s">
        <v>13</v>
      </c>
      <c r="G401" s="6" t="s">
        <v>5973</v>
      </c>
      <c r="H401" s="6" t="s">
        <v>3</v>
      </c>
      <c r="I401" s="6" t="s">
        <v>100</v>
      </c>
      <c r="J401" s="6"/>
      <c r="K401" s="6"/>
      <c r="L401" s="6" t="s">
        <v>172</v>
      </c>
      <c r="M401" s="6"/>
      <c r="N401" s="6" t="s">
        <v>173</v>
      </c>
      <c r="O401" s="6" t="str">
        <f>HYPERLINK("https://ceds.ed.gov/cedselementdetails.aspx?termid=5019")</f>
        <v>https://ceds.ed.gov/cedselementdetails.aspx?termid=5019</v>
      </c>
      <c r="P401" s="6" t="str">
        <f>HYPERLINK("https://ceds.ed.gov/elementComment.aspx?elementName=Address Apartment Room or Suite Number &amp;elementID=5019", "Click here to submit comment")</f>
        <v>Click here to submit comment</v>
      </c>
    </row>
    <row r="402" spans="1:16" ht="225">
      <c r="A402" s="6" t="s">
        <v>6715</v>
      </c>
      <c r="B402" s="6" t="s">
        <v>6768</v>
      </c>
      <c r="C402" s="6" t="s">
        <v>6777</v>
      </c>
      <c r="D402" s="6" t="s">
        <v>174</v>
      </c>
      <c r="E402" s="6" t="s">
        <v>175</v>
      </c>
      <c r="F402" s="6" t="s">
        <v>13</v>
      </c>
      <c r="G402" s="6" t="s">
        <v>5973</v>
      </c>
      <c r="H402" s="6" t="s">
        <v>3</v>
      </c>
      <c r="I402" s="6" t="s">
        <v>100</v>
      </c>
      <c r="J402" s="6"/>
      <c r="K402" s="6"/>
      <c r="L402" s="6" t="s">
        <v>176</v>
      </c>
      <c r="M402" s="6"/>
      <c r="N402" s="6" t="s">
        <v>177</v>
      </c>
      <c r="O402" s="6" t="str">
        <f>HYPERLINK("https://ceds.ed.gov/cedselementdetails.aspx?termid=5040")</f>
        <v>https://ceds.ed.gov/cedselementdetails.aspx?termid=5040</v>
      </c>
      <c r="P402" s="6" t="str">
        <f>HYPERLINK("https://ceds.ed.gov/elementComment.aspx?elementName=Address City &amp;elementID=5040", "Click here to submit comment")</f>
        <v>Click here to submit comment</v>
      </c>
    </row>
    <row r="403" spans="1:16" ht="409.5">
      <c r="A403" s="6" t="s">
        <v>6715</v>
      </c>
      <c r="B403" s="6" t="s">
        <v>6768</v>
      </c>
      <c r="C403" s="6" t="s">
        <v>6777</v>
      </c>
      <c r="D403" s="6" t="s">
        <v>5533</v>
      </c>
      <c r="E403" s="6" t="s">
        <v>5534</v>
      </c>
      <c r="F403" s="7" t="s">
        <v>6633</v>
      </c>
      <c r="G403" s="6" t="s">
        <v>6324</v>
      </c>
      <c r="H403" s="6" t="s">
        <v>3</v>
      </c>
      <c r="I403" s="6"/>
      <c r="J403" s="6"/>
      <c r="K403" s="6"/>
      <c r="L403" s="6" t="s">
        <v>5535</v>
      </c>
      <c r="M403" s="6"/>
      <c r="N403" s="6" t="s">
        <v>5536</v>
      </c>
      <c r="O403" s="6" t="str">
        <f>HYPERLINK("https://ceds.ed.gov/cedselementdetails.aspx?termid=5267")</f>
        <v>https://ceds.ed.gov/cedselementdetails.aspx?termid=5267</v>
      </c>
      <c r="P403" s="6" t="str">
        <f>HYPERLINK("https://ceds.ed.gov/elementComment.aspx?elementName=State Abbreviation &amp;elementID=5267", "Click here to submit comment")</f>
        <v>Click here to submit comment</v>
      </c>
    </row>
    <row r="404" spans="1:16" ht="225">
      <c r="A404" s="6" t="s">
        <v>6715</v>
      </c>
      <c r="B404" s="6" t="s">
        <v>6768</v>
      </c>
      <c r="C404" s="6" t="s">
        <v>6777</v>
      </c>
      <c r="D404" s="6" t="s">
        <v>182</v>
      </c>
      <c r="E404" s="6" t="s">
        <v>183</v>
      </c>
      <c r="F404" s="6" t="s">
        <v>13</v>
      </c>
      <c r="G404" s="6" t="s">
        <v>5973</v>
      </c>
      <c r="H404" s="6" t="s">
        <v>3</v>
      </c>
      <c r="I404" s="6" t="s">
        <v>184</v>
      </c>
      <c r="J404" s="6"/>
      <c r="K404" s="6"/>
      <c r="L404" s="6" t="s">
        <v>185</v>
      </c>
      <c r="M404" s="6"/>
      <c r="N404" s="6" t="s">
        <v>186</v>
      </c>
      <c r="O404" s="6" t="str">
        <f>HYPERLINK("https://ceds.ed.gov/cedselementdetails.aspx?termid=5214")</f>
        <v>https://ceds.ed.gov/cedselementdetails.aspx?termid=5214</v>
      </c>
      <c r="P404" s="6" t="str">
        <f>HYPERLINK("https://ceds.ed.gov/elementComment.aspx?elementName=Address Postal Code &amp;elementID=5214", "Click here to submit comment")</f>
        <v>Click here to submit comment</v>
      </c>
    </row>
    <row r="405" spans="1:16" ht="90">
      <c r="A405" s="6" t="s">
        <v>6715</v>
      </c>
      <c r="B405" s="6" t="s">
        <v>6768</v>
      </c>
      <c r="C405" s="6" t="s">
        <v>6777</v>
      </c>
      <c r="D405" s="6" t="s">
        <v>5727</v>
      </c>
      <c r="E405" s="6" t="s">
        <v>5728</v>
      </c>
      <c r="F405" s="6" t="s">
        <v>13</v>
      </c>
      <c r="G405" s="6" t="s">
        <v>5968</v>
      </c>
      <c r="H405" s="6" t="s">
        <v>3</v>
      </c>
      <c r="I405" s="6" t="s">
        <v>5729</v>
      </c>
      <c r="J405" s="6"/>
      <c r="K405" s="6"/>
      <c r="L405" s="6" t="s">
        <v>5730</v>
      </c>
      <c r="M405" s="6"/>
      <c r="N405" s="6" t="s">
        <v>5731</v>
      </c>
      <c r="O405" s="6" t="str">
        <f>HYPERLINK("https://ceds.ed.gov/cedselementdetails.aspx?termid=5279")</f>
        <v>https://ceds.ed.gov/cedselementdetails.aspx?termid=5279</v>
      </c>
      <c r="P405" s="6" t="str">
        <f>HYPERLINK("https://ceds.ed.gov/elementComment.aspx?elementName=Telephone Number &amp;elementID=5279", "Click here to submit comment")</f>
        <v>Click here to submit comment</v>
      </c>
    </row>
    <row r="406" spans="1:16" ht="135">
      <c r="A406" s="6" t="s">
        <v>6715</v>
      </c>
      <c r="B406" s="6" t="s">
        <v>6778</v>
      </c>
      <c r="C406" s="6"/>
      <c r="D406" s="6" t="s">
        <v>2657</v>
      </c>
      <c r="E406" s="6" t="s">
        <v>2658</v>
      </c>
      <c r="F406" s="6" t="s">
        <v>13</v>
      </c>
      <c r="G406" s="6" t="s">
        <v>218</v>
      </c>
      <c r="H406" s="6" t="s">
        <v>3</v>
      </c>
      <c r="I406" s="6" t="s">
        <v>1461</v>
      </c>
      <c r="J406" s="6"/>
      <c r="K406" s="6"/>
      <c r="L406" s="6" t="s">
        <v>2659</v>
      </c>
      <c r="M406" s="6"/>
      <c r="N406" s="6" t="s">
        <v>2660</v>
      </c>
      <c r="O406" s="6" t="str">
        <f>HYPERLINK("https://ceds.ed.gov/cedselementdetails.aspx?termid=5540")</f>
        <v>https://ceds.ed.gov/cedselementdetails.aspx?termid=5540</v>
      </c>
      <c r="P406" s="6" t="str">
        <f>HYPERLINK("https://ceds.ed.gov/elementComment.aspx?elementName=Federal Programs Funding Allocation &amp;elementID=5540", "Click here to submit comment")</f>
        <v>Click here to submit comment</v>
      </c>
    </row>
    <row r="407" spans="1:16" ht="60">
      <c r="A407" s="6" t="s">
        <v>6715</v>
      </c>
      <c r="B407" s="6" t="s">
        <v>6779</v>
      </c>
      <c r="C407" s="6" t="s">
        <v>6780</v>
      </c>
      <c r="D407" s="6" t="s">
        <v>2336</v>
      </c>
      <c r="E407" s="6" t="s">
        <v>2337</v>
      </c>
      <c r="F407" s="6" t="s">
        <v>13</v>
      </c>
      <c r="G407" s="6" t="s">
        <v>6095</v>
      </c>
      <c r="H407" s="6"/>
      <c r="I407" s="6" t="s">
        <v>106</v>
      </c>
      <c r="J407" s="6"/>
      <c r="K407" s="6"/>
      <c r="L407" s="6" t="s">
        <v>2338</v>
      </c>
      <c r="M407" s="6"/>
      <c r="N407" s="6" t="s">
        <v>2339</v>
      </c>
      <c r="O407" s="6" t="str">
        <f>HYPERLINK("https://ceds.ed.gov/cedselementdetails.aspx?termid=5820")</f>
        <v>https://ceds.ed.gov/cedselementdetails.aspx?termid=5820</v>
      </c>
      <c r="P407" s="6" t="str">
        <f>HYPERLINK("https://ceds.ed.gov/elementComment.aspx?elementName=Early Learning Class Group Name &amp;elementID=5820", "Click here to submit comment")</f>
        <v>Click here to submit comment</v>
      </c>
    </row>
    <row r="408" spans="1:16" ht="75">
      <c r="A408" s="6" t="s">
        <v>6715</v>
      </c>
      <c r="B408" s="6" t="s">
        <v>6779</v>
      </c>
      <c r="C408" s="6" t="s">
        <v>6780</v>
      </c>
      <c r="D408" s="6" t="s">
        <v>2331</v>
      </c>
      <c r="E408" s="6" t="s">
        <v>2332</v>
      </c>
      <c r="F408" s="6" t="s">
        <v>13</v>
      </c>
      <c r="G408" s="6" t="s">
        <v>6095</v>
      </c>
      <c r="H408" s="6"/>
      <c r="I408" s="6" t="s">
        <v>100</v>
      </c>
      <c r="J408" s="6"/>
      <c r="K408" s="6"/>
      <c r="L408" s="6" t="s">
        <v>2334</v>
      </c>
      <c r="M408" s="6"/>
      <c r="N408" s="6" t="s">
        <v>2335</v>
      </c>
      <c r="O408" s="6" t="str">
        <f>HYPERLINK("https://ceds.ed.gov/cedselementdetails.aspx?termid=5819")</f>
        <v>https://ceds.ed.gov/cedselementdetails.aspx?termid=5819</v>
      </c>
      <c r="P408" s="6" t="str">
        <f>HYPERLINK("https://ceds.ed.gov/elementComment.aspx?elementName=Early Learning Class Group Identifier &amp;elementID=5819", "Click here to submit comment")</f>
        <v>Click here to submit comment</v>
      </c>
    </row>
    <row r="409" spans="1:16" ht="30">
      <c r="A409" s="6" t="s">
        <v>6715</v>
      </c>
      <c r="B409" s="6" t="s">
        <v>6779</v>
      </c>
      <c r="C409" s="6" t="s">
        <v>6781</v>
      </c>
      <c r="D409" s="6" t="s">
        <v>1678</v>
      </c>
      <c r="E409" s="6" t="s">
        <v>1679</v>
      </c>
      <c r="F409" s="6" t="s">
        <v>13</v>
      </c>
      <c r="G409" s="6" t="s">
        <v>6097</v>
      </c>
      <c r="H409" s="6"/>
      <c r="I409" s="6" t="s">
        <v>426</v>
      </c>
      <c r="J409" s="6"/>
      <c r="K409" s="6"/>
      <c r="L409" s="6" t="s">
        <v>1680</v>
      </c>
      <c r="M409" s="6"/>
      <c r="N409" s="6" t="s">
        <v>1681</v>
      </c>
      <c r="O409" s="6" t="str">
        <f>HYPERLINK("https://ceds.ed.gov/cedselementdetails.aspx?termid=5510")</f>
        <v>https://ceds.ed.gov/cedselementdetails.aspx?termid=5510</v>
      </c>
      <c r="P409" s="6" t="str">
        <f>HYPERLINK("https://ceds.ed.gov/elementComment.aspx?elementName=Class Beginning Time &amp;elementID=5510", "Click here to submit comment")</f>
        <v>Click here to submit comment</v>
      </c>
    </row>
    <row r="410" spans="1:16" ht="30">
      <c r="A410" s="6" t="s">
        <v>6715</v>
      </c>
      <c r="B410" s="6" t="s">
        <v>6779</v>
      </c>
      <c r="C410" s="6" t="s">
        <v>6781</v>
      </c>
      <c r="D410" s="6" t="s">
        <v>1682</v>
      </c>
      <c r="E410" s="6" t="s">
        <v>1683</v>
      </c>
      <c r="F410" s="6" t="s">
        <v>13</v>
      </c>
      <c r="G410" s="6" t="s">
        <v>6097</v>
      </c>
      <c r="H410" s="6"/>
      <c r="I410" s="6" t="s">
        <v>1684</v>
      </c>
      <c r="J410" s="6"/>
      <c r="K410" s="6"/>
      <c r="L410" s="6" t="s">
        <v>1685</v>
      </c>
      <c r="M410" s="6"/>
      <c r="N410" s="6" t="s">
        <v>1686</v>
      </c>
      <c r="O410" s="6" t="str">
        <f>HYPERLINK("https://ceds.ed.gov/cedselementdetails.aspx?termid=5511")</f>
        <v>https://ceds.ed.gov/cedselementdetails.aspx?termid=5511</v>
      </c>
      <c r="P410" s="6" t="str">
        <f>HYPERLINK("https://ceds.ed.gov/elementComment.aspx?elementName=Class Ending Time &amp;elementID=5511", "Click here to submit comment")</f>
        <v>Click here to submit comment</v>
      </c>
    </row>
    <row r="411" spans="1:16" ht="180">
      <c r="A411" s="6" t="s">
        <v>6715</v>
      </c>
      <c r="B411" s="6" t="s">
        <v>6779</v>
      </c>
      <c r="C411" s="6" t="s">
        <v>6781</v>
      </c>
      <c r="D411" s="6" t="s">
        <v>5305</v>
      </c>
      <c r="E411" s="6" t="s">
        <v>5306</v>
      </c>
      <c r="F411" s="7" t="s">
        <v>6654</v>
      </c>
      <c r="G411" s="6" t="s">
        <v>6129</v>
      </c>
      <c r="H411" s="6"/>
      <c r="I411" s="6"/>
      <c r="J411" s="6"/>
      <c r="K411" s="6"/>
      <c r="L411" s="6" t="s">
        <v>5307</v>
      </c>
      <c r="M411" s="6"/>
      <c r="N411" s="6" t="s">
        <v>5308</v>
      </c>
      <c r="O411" s="6" t="str">
        <f>HYPERLINK("https://ceds.ed.gov/cedselementdetails.aspx?termid=5352")</f>
        <v>https://ceds.ed.gov/cedselementdetails.aspx?termid=5352</v>
      </c>
      <c r="P411" s="6" t="str">
        <f>HYPERLINK("https://ceds.ed.gov/elementComment.aspx?elementName=Service Option Variation &amp;elementID=5352", "Click here to submit comment")</f>
        <v>Click here to submit comment</v>
      </c>
    </row>
    <row r="412" spans="1:16" ht="60">
      <c r="A412" s="6" t="s">
        <v>6715</v>
      </c>
      <c r="B412" s="6" t="s">
        <v>6779</v>
      </c>
      <c r="C412" s="6" t="s">
        <v>6781</v>
      </c>
      <c r="D412" s="6" t="s">
        <v>3015</v>
      </c>
      <c r="E412" s="6" t="s">
        <v>3016</v>
      </c>
      <c r="F412" s="6" t="s">
        <v>13</v>
      </c>
      <c r="G412" s="6" t="s">
        <v>6129</v>
      </c>
      <c r="H412" s="6"/>
      <c r="I412" s="6" t="s">
        <v>1461</v>
      </c>
      <c r="J412" s="6"/>
      <c r="K412" s="6"/>
      <c r="L412" s="6" t="s">
        <v>3017</v>
      </c>
      <c r="M412" s="6"/>
      <c r="N412" s="6" t="s">
        <v>3018</v>
      </c>
      <c r="O412" s="6" t="str">
        <f>HYPERLINK("https://ceds.ed.gov/cedselementdetails.aspx?termid=5353")</f>
        <v>https://ceds.ed.gov/cedselementdetails.aspx?termid=5353</v>
      </c>
      <c r="P412" s="6" t="str">
        <f>HYPERLINK("https://ceds.ed.gov/elementComment.aspx?elementName=Hours Available Per Day &amp;elementID=5353", "Click here to submit comment")</f>
        <v>Click here to submit comment</v>
      </c>
    </row>
    <row r="413" spans="1:16" ht="60">
      <c r="A413" s="6" t="s">
        <v>6715</v>
      </c>
      <c r="B413" s="6" t="s">
        <v>6779</v>
      </c>
      <c r="C413" s="6" t="s">
        <v>6781</v>
      </c>
      <c r="D413" s="6" t="s">
        <v>2110</v>
      </c>
      <c r="E413" s="6" t="s">
        <v>2111</v>
      </c>
      <c r="F413" s="6" t="s">
        <v>13</v>
      </c>
      <c r="G413" s="6" t="s">
        <v>6129</v>
      </c>
      <c r="H413" s="6"/>
      <c r="I413" s="6" t="s">
        <v>308</v>
      </c>
      <c r="J413" s="6"/>
      <c r="K413" s="6"/>
      <c r="L413" s="6" t="s">
        <v>2112</v>
      </c>
      <c r="M413" s="6"/>
      <c r="N413" s="6" t="s">
        <v>2113</v>
      </c>
      <c r="O413" s="6" t="str">
        <f>HYPERLINK("https://ceds.ed.gov/cedselementdetails.aspx?termid=5354")</f>
        <v>https://ceds.ed.gov/cedselementdetails.aspx?termid=5354</v>
      </c>
      <c r="P413" s="6" t="str">
        <f>HYPERLINK("https://ceds.ed.gov/elementComment.aspx?elementName=Days Available Per Week &amp;elementID=5354", "Click here to submit comment")</f>
        <v>Click here to submit comment</v>
      </c>
    </row>
    <row r="414" spans="1:16" ht="240">
      <c r="A414" s="6" t="s">
        <v>6715</v>
      </c>
      <c r="B414" s="6" t="s">
        <v>6779</v>
      </c>
      <c r="C414" s="6" t="s">
        <v>6781</v>
      </c>
      <c r="D414" s="6" t="s">
        <v>2307</v>
      </c>
      <c r="E414" s="6" t="s">
        <v>2308</v>
      </c>
      <c r="F414" s="7" t="s">
        <v>6472</v>
      </c>
      <c r="G414" s="6" t="s">
        <v>6129</v>
      </c>
      <c r="H414" s="6" t="s">
        <v>66</v>
      </c>
      <c r="I414" s="6"/>
      <c r="J414" s="6" t="s">
        <v>2309</v>
      </c>
      <c r="K414" s="6"/>
      <c r="L414" s="6" t="s">
        <v>2310</v>
      </c>
      <c r="M414" s="6"/>
      <c r="N414" s="6" t="s">
        <v>2311</v>
      </c>
      <c r="O414" s="6" t="str">
        <f>HYPERLINK("https://ceds.ed.gov/cedselementdetails.aspx?termid=5355")</f>
        <v>https://ceds.ed.gov/cedselementdetails.aspx?termid=5355</v>
      </c>
      <c r="P414" s="6" t="str">
        <f>HYPERLINK("https://ceds.ed.gov/elementComment.aspx?elementName=Early Childhood Setting &amp;elementID=5355", "Click here to submit comment")</f>
        <v>Click here to submit comment</v>
      </c>
    </row>
    <row r="415" spans="1:16" ht="45">
      <c r="A415" s="6" t="s">
        <v>6715</v>
      </c>
      <c r="B415" s="6" t="s">
        <v>6779</v>
      </c>
      <c r="C415" s="6" t="s">
        <v>6781</v>
      </c>
      <c r="D415" s="6" t="s">
        <v>2380</v>
      </c>
      <c r="E415" s="6" t="s">
        <v>2381</v>
      </c>
      <c r="F415" s="6" t="s">
        <v>13</v>
      </c>
      <c r="G415" s="6" t="s">
        <v>6097</v>
      </c>
      <c r="H415" s="6"/>
      <c r="I415" s="6" t="s">
        <v>2382</v>
      </c>
      <c r="J415" s="6"/>
      <c r="K415" s="6"/>
      <c r="L415" s="6" t="s">
        <v>2383</v>
      </c>
      <c r="M415" s="6"/>
      <c r="N415" s="6" t="s">
        <v>2384</v>
      </c>
      <c r="O415" s="6" t="str">
        <f>HYPERLINK("https://ceds.ed.gov/cedselementdetails.aspx?termid=5824")</f>
        <v>https://ceds.ed.gov/cedselementdetails.aspx?termid=5824</v>
      </c>
      <c r="P415" s="6" t="str">
        <f>HYPERLINK("https://ceds.ed.gov/elementComment.aspx?elementName=Early Learning Program Annual Operating Weeks &amp;elementID=5824", "Click here to submit comment")</f>
        <v>Click here to submit comment</v>
      </c>
    </row>
    <row r="416" spans="1:16" ht="45">
      <c r="A416" s="6" t="s">
        <v>6715</v>
      </c>
      <c r="B416" s="6" t="s">
        <v>6779</v>
      </c>
      <c r="C416" s="6" t="s">
        <v>6781</v>
      </c>
      <c r="D416" s="6" t="s">
        <v>3415</v>
      </c>
      <c r="E416" s="6" t="s">
        <v>3416</v>
      </c>
      <c r="F416" s="6" t="s">
        <v>5963</v>
      </c>
      <c r="G416" s="6"/>
      <c r="H416" s="6"/>
      <c r="I416" s="6"/>
      <c r="J416" s="6"/>
      <c r="K416" s="6"/>
      <c r="L416" s="6" t="s">
        <v>3417</v>
      </c>
      <c r="M416" s="6"/>
      <c r="N416" s="6" t="s">
        <v>3418</v>
      </c>
      <c r="O416" s="6" t="str">
        <f>HYPERLINK("https://ceds.ed.gov/cedselementdetails.aspx?termid=6190")</f>
        <v>https://ceds.ed.gov/cedselementdetails.aspx?termid=6190</v>
      </c>
      <c r="P416" s="6" t="str">
        <f>HYPERLINK("https://ceds.ed.gov/elementComment.aspx?elementName=Language Translation Policy &amp;elementID=6190", "Click here to submit comment")</f>
        <v>Click here to submit comment</v>
      </c>
    </row>
    <row r="417" spans="1:16" ht="30">
      <c r="A417" s="6" t="s">
        <v>6715</v>
      </c>
      <c r="B417" s="6" t="s">
        <v>6779</v>
      </c>
      <c r="C417" s="6" t="s">
        <v>6781</v>
      </c>
      <c r="D417" s="6" t="s">
        <v>2349</v>
      </c>
      <c r="E417" s="6" t="s">
        <v>2350</v>
      </c>
      <c r="F417" s="6" t="s">
        <v>13</v>
      </c>
      <c r="G417" s="6"/>
      <c r="H417" s="6" t="s">
        <v>54</v>
      </c>
      <c r="I417" s="6" t="s">
        <v>575</v>
      </c>
      <c r="J417" s="6"/>
      <c r="K417" s="6"/>
      <c r="L417" s="6" t="s">
        <v>2352</v>
      </c>
      <c r="M417" s="6"/>
      <c r="N417" s="6" t="s">
        <v>2353</v>
      </c>
      <c r="O417" s="6" t="str">
        <f>HYPERLINK("https://ceds.ed.gov/cedselementdetails.aspx?termid=6295")</f>
        <v>https://ceds.ed.gov/cedselementdetails.aspx?termid=6295</v>
      </c>
      <c r="P417" s="6" t="str">
        <f>HYPERLINK("https://ceds.ed.gov/elementComment.aspx?elementName=Early Learning Group Size &amp;elementID=6295", "Click here to submit comment")</f>
        <v>Click here to submit comment</v>
      </c>
    </row>
    <row r="418" spans="1:16" ht="270">
      <c r="A418" s="6" t="s">
        <v>6715</v>
      </c>
      <c r="B418" s="6" t="s">
        <v>6779</v>
      </c>
      <c r="C418" s="6" t="s">
        <v>6782</v>
      </c>
      <c r="D418" s="6" t="s">
        <v>2298</v>
      </c>
      <c r="E418" s="6" t="s">
        <v>2299</v>
      </c>
      <c r="F418" s="7" t="s">
        <v>6470</v>
      </c>
      <c r="G418" s="6" t="s">
        <v>6140</v>
      </c>
      <c r="H418" s="6"/>
      <c r="I418" s="6"/>
      <c r="J418" s="6"/>
      <c r="K418" s="6"/>
      <c r="L418" s="6" t="s">
        <v>2300</v>
      </c>
      <c r="M418" s="6"/>
      <c r="N418" s="6" t="s">
        <v>2301</v>
      </c>
      <c r="O418" s="6" t="str">
        <f>HYPERLINK("https://ceds.ed.gov/cedselementdetails.aspx?termid=5318")</f>
        <v>https://ceds.ed.gov/cedselementdetails.aspx?termid=5318</v>
      </c>
      <c r="P418" s="6" t="str">
        <f>HYPERLINK("https://ceds.ed.gov/elementComment.aspx?elementName=Early Childhood Enrollment Service Type &amp;elementID=5318", "Click here to submit comment")</f>
        <v>Click here to submit comment</v>
      </c>
    </row>
    <row r="419" spans="1:16" ht="60">
      <c r="A419" s="6" t="s">
        <v>6715</v>
      </c>
      <c r="B419" s="6" t="s">
        <v>6779</v>
      </c>
      <c r="C419" s="6" t="s">
        <v>6782</v>
      </c>
      <c r="D419" s="6" t="s">
        <v>2428</v>
      </c>
      <c r="E419" s="6" t="s">
        <v>2429</v>
      </c>
      <c r="F419" s="6" t="s">
        <v>13</v>
      </c>
      <c r="G419" s="6" t="s">
        <v>6143</v>
      </c>
      <c r="H419" s="6"/>
      <c r="I419" s="6" t="s">
        <v>575</v>
      </c>
      <c r="J419" s="6"/>
      <c r="K419" s="6"/>
      <c r="L419" s="6" t="s">
        <v>2430</v>
      </c>
      <c r="M419" s="6"/>
      <c r="N419" s="6" t="s">
        <v>2431</v>
      </c>
      <c r="O419" s="6" t="str">
        <f>HYPERLINK("https://ceds.ed.gov/cedselementdetails.aspx?termid=5626")</f>
        <v>https://ceds.ed.gov/cedselementdetails.aspx?termid=5626</v>
      </c>
      <c r="P419" s="6" t="str">
        <f>HYPERLINK("https://ceds.ed.gov/elementComment.aspx?elementName=Early Learning Youngest Age Authorized to Serve &amp;elementID=5626", "Click here to submit comment")</f>
        <v>Click here to submit comment</v>
      </c>
    </row>
    <row r="420" spans="1:16" ht="60">
      <c r="A420" s="6" t="s">
        <v>6715</v>
      </c>
      <c r="B420" s="6" t="s">
        <v>6779</v>
      </c>
      <c r="C420" s="6" t="s">
        <v>6782</v>
      </c>
      <c r="D420" s="6" t="s">
        <v>2359</v>
      </c>
      <c r="E420" s="6" t="s">
        <v>2360</v>
      </c>
      <c r="F420" s="6" t="s">
        <v>13</v>
      </c>
      <c r="G420" s="6" t="s">
        <v>6143</v>
      </c>
      <c r="H420" s="6"/>
      <c r="I420" s="6" t="s">
        <v>575</v>
      </c>
      <c r="J420" s="6"/>
      <c r="K420" s="6"/>
      <c r="L420" s="6" t="s">
        <v>2361</v>
      </c>
      <c r="M420" s="6"/>
      <c r="N420" s="6" t="s">
        <v>2362</v>
      </c>
      <c r="O420" s="6" t="str">
        <f>HYPERLINK("https://ceds.ed.gov/cedselementdetails.aspx?termid=6189")</f>
        <v>https://ceds.ed.gov/cedselementdetails.aspx?termid=6189</v>
      </c>
      <c r="P420" s="6" t="str">
        <f>HYPERLINK("https://ceds.ed.gov/elementComment.aspx?elementName=Early Learning Oldest Age Authorized to Serve &amp;elementID=6189", "Click here to submit comment")</f>
        <v>Click here to submit comment</v>
      </c>
    </row>
    <row r="421" spans="1:16" ht="45">
      <c r="A421" s="6" t="s">
        <v>6715</v>
      </c>
      <c r="B421" s="6" t="s">
        <v>6779</v>
      </c>
      <c r="C421" s="6" t="s">
        <v>6782</v>
      </c>
      <c r="D421" s="6" t="s">
        <v>5293</v>
      </c>
      <c r="E421" s="6" t="s">
        <v>5294</v>
      </c>
      <c r="F421" s="6" t="s">
        <v>5963</v>
      </c>
      <c r="G421" s="6" t="s">
        <v>6097</v>
      </c>
      <c r="H421" s="6"/>
      <c r="I421" s="6"/>
      <c r="J421" s="6"/>
      <c r="K421" s="6"/>
      <c r="L421" s="6" t="s">
        <v>5295</v>
      </c>
      <c r="M421" s="6"/>
      <c r="N421" s="6" t="s">
        <v>5296</v>
      </c>
      <c r="O421" s="6" t="str">
        <f>HYPERLINK("https://ceds.ed.gov/cedselementdetails.aspx?termid=5821")</f>
        <v>https://ceds.ed.gov/cedselementdetails.aspx?termid=5821</v>
      </c>
      <c r="P421" s="6" t="str">
        <f>HYPERLINK("https://ceds.ed.gov/elementComment.aspx?elementName=Serves Children with Special Needs &amp;elementID=5821", "Click here to submit comment")</f>
        <v>Click here to submit comment</v>
      </c>
    </row>
    <row r="422" spans="1:16" ht="195">
      <c r="A422" s="6" t="s">
        <v>6715</v>
      </c>
      <c r="B422" s="6" t="s">
        <v>6779</v>
      </c>
      <c r="C422" s="6" t="s">
        <v>6782</v>
      </c>
      <c r="D422" s="6" t="s">
        <v>2354</v>
      </c>
      <c r="E422" s="6" t="s">
        <v>2355</v>
      </c>
      <c r="F422" s="7" t="s">
        <v>6479</v>
      </c>
      <c r="G422" s="6" t="s">
        <v>65</v>
      </c>
      <c r="H422" s="6"/>
      <c r="I422" s="6"/>
      <c r="J422" s="6"/>
      <c r="K422" s="6"/>
      <c r="L422" s="6" t="s">
        <v>2357</v>
      </c>
      <c r="M422" s="6"/>
      <c r="N422" s="6" t="s">
        <v>2358</v>
      </c>
      <c r="O422" s="6" t="str">
        <f>HYPERLINK("https://ceds.ed.gov/cedselementdetails.aspx?termid=5823")</f>
        <v>https://ceds.ed.gov/cedselementdetails.aspx?termid=5823</v>
      </c>
      <c r="P422" s="6" t="str">
        <f>HYPERLINK("https://ceds.ed.gov/elementComment.aspx?elementName=Early Learning Group Size Standards Met &amp;elementID=5823", "Click here to submit comment")</f>
        <v>Click here to submit comment</v>
      </c>
    </row>
    <row r="423" spans="1:16" ht="255">
      <c r="A423" s="6" t="s">
        <v>6715</v>
      </c>
      <c r="B423" s="6" t="s">
        <v>6779</v>
      </c>
      <c r="C423" s="6" t="s">
        <v>6783</v>
      </c>
      <c r="D423" s="6" t="s">
        <v>2326</v>
      </c>
      <c r="E423" s="6" t="s">
        <v>2327</v>
      </c>
      <c r="F423" s="7" t="s">
        <v>6476</v>
      </c>
      <c r="G423" s="6" t="s">
        <v>65</v>
      </c>
      <c r="H423" s="6"/>
      <c r="I423" s="6"/>
      <c r="J423" s="6"/>
      <c r="K423" s="6"/>
      <c r="L423" s="6" t="s">
        <v>2329</v>
      </c>
      <c r="M423" s="6"/>
      <c r="N423" s="6" t="s">
        <v>2330</v>
      </c>
      <c r="O423" s="6" t="str">
        <f>HYPERLINK("https://ceds.ed.gov/cedselementdetails.aspx?termid=5822")</f>
        <v>https://ceds.ed.gov/cedselementdetails.aspx?termid=5822</v>
      </c>
      <c r="P423" s="6" t="str">
        <f>HYPERLINK("https://ceds.ed.gov/elementComment.aspx?elementName=Early Learning Class Group Curriculum Type &amp;elementID=5822", "Click here to submit comment")</f>
        <v>Click here to submit comment</v>
      </c>
    </row>
    <row r="424" spans="1:16" ht="165">
      <c r="A424" s="6" t="s">
        <v>6715</v>
      </c>
      <c r="B424" s="6" t="s">
        <v>6784</v>
      </c>
      <c r="C424" s="6" t="s">
        <v>6785</v>
      </c>
      <c r="D424" s="6" t="s">
        <v>590</v>
      </c>
      <c r="E424" s="6" t="s">
        <v>591</v>
      </c>
      <c r="F424" s="6" t="s">
        <v>13</v>
      </c>
      <c r="G424" s="6" t="s">
        <v>6015</v>
      </c>
      <c r="H424" s="6"/>
      <c r="I424" s="6" t="s">
        <v>100</v>
      </c>
      <c r="J424" s="6"/>
      <c r="K424" s="6"/>
      <c r="L424" s="6" t="s">
        <v>592</v>
      </c>
      <c r="M424" s="6"/>
      <c r="N424" s="6" t="s">
        <v>593</v>
      </c>
      <c r="O424" s="6" t="str">
        <f>HYPERLINK("https://ceds.ed.gov/cedselementdetails.aspx?termid=5152")</f>
        <v>https://ceds.ed.gov/cedselementdetails.aspx?termid=5152</v>
      </c>
      <c r="P424" s="6" t="str">
        <f>HYPERLINK("https://ceds.ed.gov/elementComment.aspx?elementName=Assessment Identifier &amp;elementID=5152", "Click here to submit comment")</f>
        <v>Click here to submit comment</v>
      </c>
    </row>
    <row r="425" spans="1:16" ht="75">
      <c r="A425" s="6" t="s">
        <v>6715</v>
      </c>
      <c r="B425" s="6" t="s">
        <v>6784</v>
      </c>
      <c r="C425" s="6" t="s">
        <v>6785</v>
      </c>
      <c r="D425" s="6" t="s">
        <v>3080</v>
      </c>
      <c r="E425" s="6" t="s">
        <v>3081</v>
      </c>
      <c r="F425" s="6" t="s">
        <v>6065</v>
      </c>
      <c r="G425" s="6"/>
      <c r="H425" s="6"/>
      <c r="I425" s="6"/>
      <c r="J425" s="6"/>
      <c r="K425" s="6"/>
      <c r="L425" s="6" t="s">
        <v>3082</v>
      </c>
      <c r="M425" s="6"/>
      <c r="N425" s="6" t="s">
        <v>3083</v>
      </c>
      <c r="O425" s="6" t="str">
        <f>HYPERLINK("https://ceds.ed.gov/cedselementdetails.aspx?termid=6141")</f>
        <v>https://ceds.ed.gov/cedselementdetails.aspx?termid=6141</v>
      </c>
      <c r="P425" s="6" t="str">
        <f>HYPERLINK("https://ceds.ed.gov/elementComment.aspx?elementName=Identification System for Assessment Form Section &amp;elementID=6141", "Click here to submit comment")</f>
        <v>Click here to submit comment</v>
      </c>
    </row>
    <row r="426" spans="1:16" ht="165">
      <c r="A426" s="6" t="s">
        <v>6715</v>
      </c>
      <c r="B426" s="6" t="s">
        <v>6784</v>
      </c>
      <c r="C426" s="6" t="s">
        <v>6785</v>
      </c>
      <c r="D426" s="6" t="s">
        <v>1387</v>
      </c>
      <c r="E426" s="6" t="s">
        <v>1388</v>
      </c>
      <c r="F426" s="6" t="s">
        <v>13</v>
      </c>
      <c r="G426" s="6" t="s">
        <v>6073</v>
      </c>
      <c r="H426" s="6"/>
      <c r="I426" s="6" t="s">
        <v>106</v>
      </c>
      <c r="J426" s="6"/>
      <c r="K426" s="6"/>
      <c r="L426" s="6" t="s">
        <v>1389</v>
      </c>
      <c r="M426" s="6"/>
      <c r="N426" s="6" t="s">
        <v>1390</v>
      </c>
      <c r="O426" s="6" t="str">
        <f>HYPERLINK("https://ceds.ed.gov/cedselementdetails.aspx?termid=5028")</f>
        <v>https://ceds.ed.gov/cedselementdetails.aspx?termid=5028</v>
      </c>
      <c r="P426" s="6" t="str">
        <f>HYPERLINK("https://ceds.ed.gov/elementComment.aspx?elementName=Assessment Title &amp;elementID=5028", "Click here to submit comment")</f>
        <v>Click here to submit comment</v>
      </c>
    </row>
    <row r="427" spans="1:16" ht="409.5">
      <c r="A427" s="6" t="s">
        <v>6715</v>
      </c>
      <c r="B427" s="6" t="s">
        <v>6784</v>
      </c>
      <c r="C427" s="6" t="s">
        <v>6785</v>
      </c>
      <c r="D427" s="6" t="s">
        <v>1391</v>
      </c>
      <c r="E427" s="6" t="s">
        <v>1392</v>
      </c>
      <c r="F427" s="7" t="s">
        <v>6405</v>
      </c>
      <c r="G427" s="6" t="s">
        <v>6000</v>
      </c>
      <c r="H427" s="6"/>
      <c r="I427" s="6"/>
      <c r="J427" s="6"/>
      <c r="K427" s="6"/>
      <c r="L427" s="6" t="s">
        <v>1393</v>
      </c>
      <c r="M427" s="6"/>
      <c r="N427" s="6" t="s">
        <v>1394</v>
      </c>
      <c r="O427" s="6" t="str">
        <f>HYPERLINK("https://ceds.ed.gov/cedselementdetails.aspx?termid=5029")</f>
        <v>https://ceds.ed.gov/cedselementdetails.aspx?termid=5029</v>
      </c>
      <c r="P427" s="6" t="str">
        <f>HYPERLINK("https://ceds.ed.gov/elementComment.aspx?elementName=Assessment Type &amp;elementID=5029", "Click here to submit comment")</f>
        <v>Click here to submit comment</v>
      </c>
    </row>
    <row r="428" spans="1:16" ht="405">
      <c r="A428" s="6" t="s">
        <v>6715</v>
      </c>
      <c r="B428" s="6" t="s">
        <v>6784</v>
      </c>
      <c r="C428" s="6" t="s">
        <v>6785</v>
      </c>
      <c r="D428" s="6" t="s">
        <v>395</v>
      </c>
      <c r="E428" s="6" t="s">
        <v>396</v>
      </c>
      <c r="F428" s="7" t="s">
        <v>6375</v>
      </c>
      <c r="G428" s="6" t="s">
        <v>5990</v>
      </c>
      <c r="H428" s="6"/>
      <c r="I428" s="6"/>
      <c r="J428" s="6"/>
      <c r="K428" s="6"/>
      <c r="L428" s="6" t="s">
        <v>397</v>
      </c>
      <c r="M428" s="6"/>
      <c r="N428" s="6" t="s">
        <v>398</v>
      </c>
      <c r="O428" s="6" t="str">
        <f>HYPERLINK("https://ceds.ed.gov/cedselementdetails.aspx?termid=5021")</f>
        <v>https://ceds.ed.gov/cedselementdetails.aspx?termid=5021</v>
      </c>
      <c r="P428" s="6" t="str">
        <f>HYPERLINK("https://ceds.ed.gov/elementComment.aspx?elementName=Assessment Academic Subject &amp;elementID=5021", "Click here to submit comment")</f>
        <v>Click here to submit comment</v>
      </c>
    </row>
    <row r="429" spans="1:16" ht="225">
      <c r="A429" s="6" t="s">
        <v>6715</v>
      </c>
      <c r="B429" s="6" t="s">
        <v>6784</v>
      </c>
      <c r="C429" s="6" t="s">
        <v>6785</v>
      </c>
      <c r="D429" s="6" t="s">
        <v>491</v>
      </c>
      <c r="E429" s="6" t="s">
        <v>492</v>
      </c>
      <c r="F429" s="7" t="s">
        <v>6381</v>
      </c>
      <c r="G429" s="6" t="s">
        <v>493</v>
      </c>
      <c r="H429" s="6"/>
      <c r="I429" s="6"/>
      <c r="J429" s="6"/>
      <c r="K429" s="6"/>
      <c r="L429" s="6" t="s">
        <v>494</v>
      </c>
      <c r="M429" s="6"/>
      <c r="N429" s="6" t="s">
        <v>495</v>
      </c>
      <c r="O429" s="6" t="str">
        <f>HYPERLINK("https://ceds.ed.gov/cedselementdetails.aspx?termid=6003")</f>
        <v>https://ceds.ed.gov/cedselementdetails.aspx?termid=6003</v>
      </c>
      <c r="P429" s="6" t="str">
        <f>HYPERLINK("https://ceds.ed.gov/elementComment.aspx?elementName=Assessment Early Learning Developmental Domain &amp;elementID=6003", "Click here to submit comment")</f>
        <v>Click here to submit comment</v>
      </c>
    </row>
    <row r="430" spans="1:16" ht="409.5">
      <c r="A430" s="6" t="s">
        <v>6715</v>
      </c>
      <c r="B430" s="6" t="s">
        <v>6784</v>
      </c>
      <c r="C430" s="6" t="s">
        <v>6785</v>
      </c>
      <c r="D430" s="6" t="s">
        <v>1156</v>
      </c>
      <c r="E430" s="6" t="s">
        <v>1157</v>
      </c>
      <c r="F430" s="7" t="s">
        <v>6399</v>
      </c>
      <c r="G430" s="6" t="s">
        <v>6000</v>
      </c>
      <c r="H430" s="6"/>
      <c r="I430" s="6"/>
      <c r="J430" s="6"/>
      <c r="K430" s="6" t="s">
        <v>1158</v>
      </c>
      <c r="L430" s="6" t="s">
        <v>1159</v>
      </c>
      <c r="M430" s="6"/>
      <c r="N430" s="6" t="s">
        <v>1160</v>
      </c>
      <c r="O430" s="6" t="str">
        <f>HYPERLINK("https://ceds.ed.gov/cedselementdetails.aspx?termid=5026")</f>
        <v>https://ceds.ed.gov/cedselementdetails.aspx?termid=5026</v>
      </c>
      <c r="P430" s="6" t="str">
        <f>HYPERLINK("https://ceds.ed.gov/elementComment.aspx?elementName=Assessment Purpose &amp;elementID=5026", "Click here to submit comment")</f>
        <v>Click here to submit comment</v>
      </c>
    </row>
    <row r="431" spans="1:16" ht="375">
      <c r="A431" s="6" t="s">
        <v>6715</v>
      </c>
      <c r="B431" s="6" t="s">
        <v>6784</v>
      </c>
      <c r="C431" s="6" t="s">
        <v>6785</v>
      </c>
      <c r="D431" s="6" t="s">
        <v>942</v>
      </c>
      <c r="E431" s="6" t="s">
        <v>943</v>
      </c>
      <c r="F431" s="7" t="s">
        <v>6390</v>
      </c>
      <c r="G431" s="6" t="s">
        <v>6030</v>
      </c>
      <c r="H431" s="6"/>
      <c r="I431" s="6"/>
      <c r="J431" s="6"/>
      <c r="K431" s="6"/>
      <c r="L431" s="6" t="s">
        <v>944</v>
      </c>
      <c r="M431" s="6"/>
      <c r="N431" s="6" t="s">
        <v>945</v>
      </c>
      <c r="O431" s="6" t="str">
        <f>HYPERLINK("https://ceds.ed.gov/cedselementdetails.aspx?termid=5177")</f>
        <v>https://ceds.ed.gov/cedselementdetails.aspx?termid=5177</v>
      </c>
      <c r="P431" s="6" t="str">
        <f>HYPERLINK("https://ceds.ed.gov/elementComment.aspx?elementName=Assessment Level for Which Designed &amp;elementID=5177", "Click here to submit comment")</f>
        <v>Click here to submit comment</v>
      </c>
    </row>
    <row r="432" spans="1:16" ht="30">
      <c r="A432" s="6" t="s">
        <v>6715</v>
      </c>
      <c r="B432" s="6" t="s">
        <v>6784</v>
      </c>
      <c r="C432" s="6" t="s">
        <v>6785</v>
      </c>
      <c r="D432" s="6" t="s">
        <v>1086</v>
      </c>
      <c r="E432" s="6" t="s">
        <v>1087</v>
      </c>
      <c r="F432" s="6" t="s">
        <v>13</v>
      </c>
      <c r="G432" s="6" t="s">
        <v>6018</v>
      </c>
      <c r="H432" s="6"/>
      <c r="I432" s="6" t="s">
        <v>745</v>
      </c>
      <c r="J432" s="6"/>
      <c r="K432" s="6"/>
      <c r="L432" s="6" t="s">
        <v>1088</v>
      </c>
      <c r="M432" s="6"/>
      <c r="N432" s="6" t="s">
        <v>1089</v>
      </c>
      <c r="O432" s="6" t="str">
        <f>HYPERLINK("https://ceds.ed.gov/cedselementdetails.aspx?termid=5373")</f>
        <v>https://ceds.ed.gov/cedselementdetails.aspx?termid=5373</v>
      </c>
      <c r="P432" s="6" t="str">
        <f>HYPERLINK("https://ceds.ed.gov/elementComment.aspx?elementName=Assessment Objective &amp;elementID=5373", "Click here to submit comment")</f>
        <v>Click here to submit comment</v>
      </c>
    </row>
    <row r="433" spans="1:16" ht="409.5">
      <c r="A433" s="6" t="s">
        <v>6715</v>
      </c>
      <c r="B433" s="6" t="s">
        <v>6784</v>
      </c>
      <c r="C433" s="6" t="s">
        <v>6785</v>
      </c>
      <c r="D433" s="6" t="s">
        <v>1395</v>
      </c>
      <c r="E433" s="6" t="s">
        <v>1396</v>
      </c>
      <c r="F433" s="7" t="s">
        <v>6406</v>
      </c>
      <c r="G433" s="6" t="s">
        <v>6052</v>
      </c>
      <c r="H433" s="6"/>
      <c r="I433" s="6"/>
      <c r="J433" s="6"/>
      <c r="K433" s="6"/>
      <c r="L433" s="6" t="s">
        <v>1397</v>
      </c>
      <c r="M433" s="6"/>
      <c r="N433" s="6" t="s">
        <v>1398</v>
      </c>
      <c r="O433" s="6" t="str">
        <f>HYPERLINK("https://ceds.ed.gov/cedselementdetails.aspx?termid=5405")</f>
        <v>https://ceds.ed.gov/cedselementdetails.aspx?termid=5405</v>
      </c>
      <c r="P433" s="6" t="str">
        <f>HYPERLINK("https://ceds.ed.gov/elementComment.aspx?elementName=Assessment Type Administered to Children With Disabilities &amp;elementID=5405", "Click here to submit comment")</f>
        <v>Click here to submit comment</v>
      </c>
    </row>
    <row r="434" spans="1:16" ht="225">
      <c r="A434" s="6" t="s">
        <v>6715</v>
      </c>
      <c r="B434" s="6" t="s">
        <v>6784</v>
      </c>
      <c r="C434" s="6" t="s">
        <v>6785</v>
      </c>
      <c r="D434" s="6" t="s">
        <v>487</v>
      </c>
      <c r="E434" s="6" t="s">
        <v>488</v>
      </c>
      <c r="F434" s="7" t="s">
        <v>6380</v>
      </c>
      <c r="G434" s="6" t="s">
        <v>6000</v>
      </c>
      <c r="H434" s="6"/>
      <c r="I434" s="6"/>
      <c r="J434" s="6"/>
      <c r="K434" s="6"/>
      <c r="L434" s="6" t="s">
        <v>489</v>
      </c>
      <c r="M434" s="6"/>
      <c r="N434" s="6" t="s">
        <v>490</v>
      </c>
      <c r="O434" s="6" t="str">
        <f>HYPERLINK("https://ceds.ed.gov/cedselementdetails.aspx?termid=5598")</f>
        <v>https://ceds.ed.gov/cedselementdetails.aspx?termid=5598</v>
      </c>
      <c r="P434" s="6" t="str">
        <f>HYPERLINK("https://ceds.ed.gov/elementComment.aspx?elementName=Assessment Content Standard Type &amp;elementID=5598", "Click here to submit comment")</f>
        <v>Click here to submit comment</v>
      </c>
    </row>
    <row r="435" spans="1:16" ht="150">
      <c r="A435" s="6" t="s">
        <v>6715</v>
      </c>
      <c r="B435" s="6" t="s">
        <v>6784</v>
      </c>
      <c r="C435" s="6" t="s">
        <v>6785</v>
      </c>
      <c r="D435" s="6" t="s">
        <v>514</v>
      </c>
      <c r="E435" s="6" t="s">
        <v>515</v>
      </c>
      <c r="F435" s="6" t="s">
        <v>13</v>
      </c>
      <c r="G435" s="6" t="s">
        <v>6006</v>
      </c>
      <c r="H435" s="6"/>
      <c r="I435" s="6" t="s">
        <v>149</v>
      </c>
      <c r="J435" s="6"/>
      <c r="K435" s="6"/>
      <c r="L435" s="6" t="s">
        <v>516</v>
      </c>
      <c r="M435" s="6"/>
      <c r="N435" s="6" t="s">
        <v>517</v>
      </c>
      <c r="O435" s="6" t="str">
        <f>HYPERLINK("https://ceds.ed.gov/cedselementdetails.aspx?termid=5024")</f>
        <v>https://ceds.ed.gov/cedselementdetails.aspx?termid=5024</v>
      </c>
      <c r="P435" s="6" t="str">
        <f>HYPERLINK("https://ceds.ed.gov/elementComment.aspx?elementName=Assessment Form Name &amp;elementID=5024", "Click here to submit comment")</f>
        <v>Click here to submit comment</v>
      </c>
    </row>
    <row r="436" spans="1:16" ht="45">
      <c r="A436" s="6" t="s">
        <v>6715</v>
      </c>
      <c r="B436" s="6" t="s">
        <v>6784</v>
      </c>
      <c r="C436" s="6" t="s">
        <v>6785</v>
      </c>
      <c r="D436" s="6" t="s">
        <v>518</v>
      </c>
      <c r="E436" s="6" t="s">
        <v>519</v>
      </c>
      <c r="F436" s="6" t="s">
        <v>13</v>
      </c>
      <c r="G436" s="6" t="s">
        <v>5992</v>
      </c>
      <c r="H436" s="6"/>
      <c r="I436" s="6" t="s">
        <v>100</v>
      </c>
      <c r="J436" s="6"/>
      <c r="K436" s="6"/>
      <c r="L436" s="6" t="s">
        <v>520</v>
      </c>
      <c r="M436" s="6"/>
      <c r="N436" s="6" t="s">
        <v>521</v>
      </c>
      <c r="O436" s="6" t="str">
        <f>HYPERLINK("https://ceds.ed.gov/cedselementdetails.aspx?termid=5365")</f>
        <v>https://ceds.ed.gov/cedselementdetails.aspx?termid=5365</v>
      </c>
      <c r="P436" s="6" t="str">
        <f>HYPERLINK("https://ceds.ed.gov/elementComment.aspx?elementName=Assessment Form Number &amp;elementID=5365", "Click here to submit comment")</f>
        <v>Click here to submit comment</v>
      </c>
    </row>
    <row r="437" spans="1:16" ht="45">
      <c r="A437" s="6" t="s">
        <v>6715</v>
      </c>
      <c r="B437" s="6" t="s">
        <v>6784</v>
      </c>
      <c r="C437" s="6" t="s">
        <v>6785</v>
      </c>
      <c r="D437" s="6" t="s">
        <v>1224</v>
      </c>
      <c r="E437" s="6" t="s">
        <v>1225</v>
      </c>
      <c r="F437" s="6" t="s">
        <v>5963</v>
      </c>
      <c r="G437" s="6" t="s">
        <v>5992</v>
      </c>
      <c r="H437" s="6" t="s">
        <v>3</v>
      </c>
      <c r="I437" s="6"/>
      <c r="J437" s="6"/>
      <c r="K437" s="6"/>
      <c r="L437" s="6" t="s">
        <v>1226</v>
      </c>
      <c r="M437" s="6"/>
      <c r="N437" s="6" t="s">
        <v>1227</v>
      </c>
      <c r="O437" s="6" t="str">
        <f>HYPERLINK("https://ceds.ed.gov/cedselementdetails.aspx?termid=5375")</f>
        <v>https://ceds.ed.gov/cedselementdetails.aspx?termid=5375</v>
      </c>
      <c r="P437" s="6" t="str">
        <f>HYPERLINK("https://ceds.ed.gov/elementComment.aspx?elementName=Assessment Secure Indicator &amp;elementID=5375", "Click here to submit comment")</f>
        <v>Click here to submit comment</v>
      </c>
    </row>
    <row r="438" spans="1:16" ht="30">
      <c r="A438" s="6" t="s">
        <v>6715</v>
      </c>
      <c r="B438" s="6" t="s">
        <v>6784</v>
      </c>
      <c r="C438" s="6" t="s">
        <v>6785</v>
      </c>
      <c r="D438" s="6" t="s">
        <v>748</v>
      </c>
      <c r="E438" s="6" t="s">
        <v>749</v>
      </c>
      <c r="F438" s="6" t="s">
        <v>13</v>
      </c>
      <c r="G438" s="6" t="s">
        <v>6018</v>
      </c>
      <c r="H438" s="6"/>
      <c r="I438" s="6" t="s">
        <v>100</v>
      </c>
      <c r="J438" s="6"/>
      <c r="K438" s="6"/>
      <c r="L438" s="6" t="s">
        <v>750</v>
      </c>
      <c r="M438" s="6"/>
      <c r="N438" s="6" t="s">
        <v>751</v>
      </c>
      <c r="O438" s="6" t="str">
        <f>HYPERLINK("https://ceds.ed.gov/cedselementdetails.aspx?termid=5623")</f>
        <v>https://ceds.ed.gov/cedselementdetails.aspx?termid=5623</v>
      </c>
      <c r="P438" s="6" t="str">
        <f>HYPERLINK("https://ceds.ed.gov/elementComment.aspx?elementName=Assessment Item Identifier &amp;elementID=5623", "Click here to submit comment")</f>
        <v>Click here to submit comment</v>
      </c>
    </row>
    <row r="439" spans="1:16" ht="409.5">
      <c r="A439" s="6" t="s">
        <v>6715</v>
      </c>
      <c r="B439" s="6" t="s">
        <v>6784</v>
      </c>
      <c r="C439" s="6" t="s">
        <v>6785</v>
      </c>
      <c r="D439" s="6" t="s">
        <v>933</v>
      </c>
      <c r="E439" s="6" t="s">
        <v>934</v>
      </c>
      <c r="F439" s="7" t="s">
        <v>6389</v>
      </c>
      <c r="G439" s="6" t="s">
        <v>6018</v>
      </c>
      <c r="H439" s="6"/>
      <c r="I439" s="6"/>
      <c r="J439" s="6"/>
      <c r="K439" s="6"/>
      <c r="L439" s="6" t="s">
        <v>935</v>
      </c>
      <c r="M439" s="6"/>
      <c r="N439" s="6" t="s">
        <v>936</v>
      </c>
      <c r="O439" s="6" t="str">
        <f>HYPERLINK("https://ceds.ed.gov/cedselementdetails.aspx?termid=5382")</f>
        <v>https://ceds.ed.gov/cedselementdetails.aspx?termid=5382</v>
      </c>
      <c r="P439" s="6" t="str">
        <f>HYPERLINK("https://ceds.ed.gov/elementComment.aspx?elementName=Assessment Item Type &amp;elementID=5382", "Click here to submit comment")</f>
        <v>Click here to submit comment</v>
      </c>
    </row>
    <row r="440" spans="1:16" ht="409.5">
      <c r="A440" s="6" t="s">
        <v>6715</v>
      </c>
      <c r="B440" s="6" t="s">
        <v>6784</v>
      </c>
      <c r="C440" s="6" t="s">
        <v>6785</v>
      </c>
      <c r="D440" s="6" t="s">
        <v>730</v>
      </c>
      <c r="E440" s="6" t="s">
        <v>731</v>
      </c>
      <c r="F440" s="7" t="s">
        <v>6383</v>
      </c>
      <c r="G440" s="6" t="s">
        <v>6018</v>
      </c>
      <c r="H440" s="6"/>
      <c r="I440" s="6"/>
      <c r="J440" s="6"/>
      <c r="K440" s="6"/>
      <c r="L440" s="6" t="s">
        <v>732</v>
      </c>
      <c r="M440" s="6"/>
      <c r="N440" s="6" t="s">
        <v>733</v>
      </c>
      <c r="O440" s="6" t="str">
        <f>HYPERLINK("https://ceds.ed.gov/cedselementdetails.aspx?termid=5384")</f>
        <v>https://ceds.ed.gov/cedselementdetails.aspx?termid=5384</v>
      </c>
      <c r="P440" s="6" t="str">
        <f>HYPERLINK("https://ceds.ed.gov/elementComment.aspx?elementName=Assessment Item Characteristic Type &amp;elementID=5384", "Click here to submit comment")</f>
        <v>Click here to submit comment</v>
      </c>
    </row>
    <row r="441" spans="1:16" ht="45">
      <c r="A441" s="6" t="s">
        <v>6715</v>
      </c>
      <c r="B441" s="6" t="s">
        <v>6784</v>
      </c>
      <c r="C441" s="6" t="s">
        <v>6785</v>
      </c>
      <c r="D441" s="6" t="s">
        <v>734</v>
      </c>
      <c r="E441" s="6" t="s">
        <v>735</v>
      </c>
      <c r="F441" s="6" t="s">
        <v>13</v>
      </c>
      <c r="G441" s="6"/>
      <c r="H441" s="6"/>
      <c r="I441" s="6" t="s">
        <v>100</v>
      </c>
      <c r="J441" s="6"/>
      <c r="K441" s="6"/>
      <c r="L441" s="6" t="s">
        <v>736</v>
      </c>
      <c r="M441" s="6"/>
      <c r="N441" s="6" t="s">
        <v>737</v>
      </c>
      <c r="O441" s="6" t="str">
        <f>HYPERLINK("https://ceds.ed.gov/cedselementdetails.aspx?termid=5685")</f>
        <v>https://ceds.ed.gov/cedselementdetails.aspx?termid=5685</v>
      </c>
      <c r="P441" s="6" t="str">
        <f>HYPERLINK("https://ceds.ed.gov/elementComment.aspx?elementName=Assessment Item Characteristic Value &amp;elementID=5685", "Click here to submit comment")</f>
        <v>Click here to submit comment</v>
      </c>
    </row>
    <row r="442" spans="1:16" ht="45">
      <c r="A442" s="6" t="s">
        <v>6715</v>
      </c>
      <c r="B442" s="6" t="s">
        <v>6784</v>
      </c>
      <c r="C442" s="6" t="s">
        <v>6785</v>
      </c>
      <c r="D442" s="6" t="s">
        <v>798</v>
      </c>
      <c r="E442" s="6" t="s">
        <v>799</v>
      </c>
      <c r="F442" s="6" t="s">
        <v>13</v>
      </c>
      <c r="G442" s="6" t="s">
        <v>6018</v>
      </c>
      <c r="H442" s="6"/>
      <c r="I442" s="6" t="s">
        <v>745</v>
      </c>
      <c r="J442" s="6"/>
      <c r="K442" s="6"/>
      <c r="L442" s="6" t="s">
        <v>800</v>
      </c>
      <c r="M442" s="6"/>
      <c r="N442" s="6" t="s">
        <v>801</v>
      </c>
      <c r="O442" s="6" t="str">
        <f>HYPERLINK("https://ceds.ed.gov/cedselementdetails.aspx?termid=5385")</f>
        <v>https://ceds.ed.gov/cedselementdetails.aspx?termid=5385</v>
      </c>
      <c r="P442" s="6" t="str">
        <f>HYPERLINK("https://ceds.ed.gov/elementComment.aspx?elementName=Assessment Item Response Choice Pattern &amp;elementID=5385", "Click here to submit comment")</f>
        <v>Click here to submit comment</v>
      </c>
    </row>
    <row r="443" spans="1:16" ht="30">
      <c r="A443" s="6" t="s">
        <v>6715</v>
      </c>
      <c r="B443" s="6" t="s">
        <v>6784</v>
      </c>
      <c r="C443" s="6" t="s">
        <v>6785</v>
      </c>
      <c r="D443" s="6" t="s">
        <v>598</v>
      </c>
      <c r="E443" s="6" t="s">
        <v>599</v>
      </c>
      <c r="F443" s="6" t="s">
        <v>13</v>
      </c>
      <c r="G443" s="6" t="s">
        <v>6018</v>
      </c>
      <c r="H443" s="6"/>
      <c r="I443" s="6" t="s">
        <v>426</v>
      </c>
      <c r="J443" s="6"/>
      <c r="K443" s="6"/>
      <c r="L443" s="6" t="s">
        <v>600</v>
      </c>
      <c r="M443" s="6"/>
      <c r="N443" s="6" t="s">
        <v>601</v>
      </c>
      <c r="O443" s="6" t="str">
        <f>HYPERLINK("https://ceds.ed.gov/cedselementdetails.aspx?termid=5395")</f>
        <v>https://ceds.ed.gov/cedselementdetails.aspx?termid=5395</v>
      </c>
      <c r="P443" s="6" t="str">
        <f>HYPERLINK("https://ceds.ed.gov/elementComment.aspx?elementName=Assessment Item Allotted Time &amp;elementID=5395", "Click here to submit comment")</f>
        <v>Click here to submit comment</v>
      </c>
    </row>
    <row r="444" spans="1:16" ht="45">
      <c r="A444" s="6" t="s">
        <v>6715</v>
      </c>
      <c r="B444" s="6" t="s">
        <v>6784</v>
      </c>
      <c r="C444" s="6" t="s">
        <v>6785</v>
      </c>
      <c r="D444" s="6" t="s">
        <v>917</v>
      </c>
      <c r="E444" s="6" t="s">
        <v>918</v>
      </c>
      <c r="F444" s="6" t="s">
        <v>13</v>
      </c>
      <c r="G444" s="6" t="s">
        <v>6018</v>
      </c>
      <c r="H444" s="6"/>
      <c r="I444" s="6" t="s">
        <v>319</v>
      </c>
      <c r="J444" s="6"/>
      <c r="K444" s="6"/>
      <c r="L444" s="6" t="s">
        <v>919</v>
      </c>
      <c r="M444" s="6"/>
      <c r="N444" s="6" t="s">
        <v>920</v>
      </c>
      <c r="O444" s="6" t="str">
        <f>HYPERLINK("https://ceds.ed.gov/cedselementdetails.aspx?termid=5392")</f>
        <v>https://ceds.ed.gov/cedselementdetails.aspx?termid=5392</v>
      </c>
      <c r="P444" s="6" t="str">
        <f>HYPERLINK("https://ceds.ed.gov/elementComment.aspx?elementName=Assessment Item Stem &amp;elementID=5392", "Click here to submit comment")</f>
        <v>Click here to submit comment</v>
      </c>
    </row>
    <row r="445" spans="1:16" ht="30">
      <c r="A445" s="6" t="s">
        <v>6715</v>
      </c>
      <c r="B445" s="6" t="s">
        <v>6784</v>
      </c>
      <c r="C445" s="6" t="s">
        <v>6785</v>
      </c>
      <c r="D445" s="6" t="s">
        <v>764</v>
      </c>
      <c r="E445" s="6" t="s">
        <v>765</v>
      </c>
      <c r="F445" s="6" t="s">
        <v>13</v>
      </c>
      <c r="G445" s="6"/>
      <c r="H445" s="6"/>
      <c r="I445" s="6" t="s">
        <v>93</v>
      </c>
      <c r="J445" s="6"/>
      <c r="K445" s="6"/>
      <c r="L445" s="6" t="s">
        <v>766</v>
      </c>
      <c r="M445" s="6"/>
      <c r="N445" s="6" t="s">
        <v>767</v>
      </c>
      <c r="O445" s="6" t="str">
        <f>HYPERLINK("https://ceds.ed.gov/cedselementdetails.aspx?termid=5684")</f>
        <v>https://ceds.ed.gov/cedselementdetails.aspx?termid=5684</v>
      </c>
      <c r="P445" s="6" t="str">
        <f>HYPERLINK("https://ceds.ed.gov/elementComment.aspx?elementName=Assessment Item Minimum Score &amp;elementID=5684", "Click here to submit comment")</f>
        <v>Click here to submit comment</v>
      </c>
    </row>
    <row r="446" spans="1:16" ht="30">
      <c r="A446" s="6" t="s">
        <v>6715</v>
      </c>
      <c r="B446" s="6" t="s">
        <v>6784</v>
      </c>
      <c r="C446" s="6" t="s">
        <v>6785</v>
      </c>
      <c r="D446" s="6" t="s">
        <v>760</v>
      </c>
      <c r="E446" s="6" t="s">
        <v>761</v>
      </c>
      <c r="F446" s="6" t="s">
        <v>13</v>
      </c>
      <c r="G446" s="6"/>
      <c r="H446" s="6"/>
      <c r="I446" s="6" t="s">
        <v>93</v>
      </c>
      <c r="J446" s="6"/>
      <c r="K446" s="6"/>
      <c r="L446" s="6" t="s">
        <v>762</v>
      </c>
      <c r="M446" s="6"/>
      <c r="N446" s="6" t="s">
        <v>763</v>
      </c>
      <c r="O446" s="6" t="str">
        <f>HYPERLINK("https://ceds.ed.gov/cedselementdetails.aspx?termid=5683")</f>
        <v>https://ceds.ed.gov/cedselementdetails.aspx?termid=5683</v>
      </c>
      <c r="P446" s="6" t="str">
        <f>HYPERLINK("https://ceds.ed.gov/elementComment.aspx?elementName=Assessment Item Maximum Score &amp;elementID=5683", "Click here to submit comment")</f>
        <v>Click here to submit comment</v>
      </c>
    </row>
    <row r="447" spans="1:16" ht="45">
      <c r="A447" s="6" t="s">
        <v>6715</v>
      </c>
      <c r="B447" s="6" t="s">
        <v>6784</v>
      </c>
      <c r="C447" s="6" t="s">
        <v>6785</v>
      </c>
      <c r="D447" s="6" t="s">
        <v>738</v>
      </c>
      <c r="E447" s="6" t="s">
        <v>739</v>
      </c>
      <c r="F447" s="6" t="s">
        <v>13</v>
      </c>
      <c r="G447" s="6" t="s">
        <v>6018</v>
      </c>
      <c r="H447" s="6"/>
      <c r="I447" s="6" t="s">
        <v>740</v>
      </c>
      <c r="J447" s="6"/>
      <c r="K447" s="6"/>
      <c r="L447" s="6" t="s">
        <v>741</v>
      </c>
      <c r="M447" s="6"/>
      <c r="N447" s="6" t="s">
        <v>742</v>
      </c>
      <c r="O447" s="6" t="str">
        <f>HYPERLINK("https://ceds.ed.gov/cedselementdetails.aspx?termid=5383")</f>
        <v>https://ceds.ed.gov/cedselementdetails.aspx?termid=5383</v>
      </c>
      <c r="P447" s="6" t="str">
        <f>HYPERLINK("https://ceds.ed.gov/elementComment.aspx?elementName=Assessment Item Difficulty &amp;elementID=5383", "Click here to submit comment")</f>
        <v>Click here to submit comment</v>
      </c>
    </row>
    <row r="448" spans="1:16" ht="30">
      <c r="A448" s="6" t="s">
        <v>6715</v>
      </c>
      <c r="B448" s="6" t="s">
        <v>6784</v>
      </c>
      <c r="C448" s="6" t="s">
        <v>6785</v>
      </c>
      <c r="D448" s="6" t="s">
        <v>743</v>
      </c>
      <c r="E448" s="6" t="s">
        <v>744</v>
      </c>
      <c r="F448" s="6" t="s">
        <v>13</v>
      </c>
      <c r="G448" s="6" t="s">
        <v>6018</v>
      </c>
      <c r="H448" s="6"/>
      <c r="I448" s="6" t="s">
        <v>745</v>
      </c>
      <c r="J448" s="6"/>
      <c r="K448" s="6"/>
      <c r="L448" s="6" t="s">
        <v>746</v>
      </c>
      <c r="M448" s="6"/>
      <c r="N448" s="6" t="s">
        <v>747</v>
      </c>
      <c r="O448" s="6" t="str">
        <f>HYPERLINK("https://ceds.ed.gov/cedselementdetails.aspx?termid=5390")</f>
        <v>https://ceds.ed.gov/cedselementdetails.aspx?termid=5390</v>
      </c>
      <c r="P448" s="6" t="str">
        <f>HYPERLINK("https://ceds.ed.gov/elementComment.aspx?elementName=Assessment Item Distractor Analysis &amp;elementID=5390", "Click here to submit comment")</f>
        <v>Click here to submit comment</v>
      </c>
    </row>
    <row r="449" spans="1:16" ht="60">
      <c r="A449" s="6" t="s">
        <v>6715</v>
      </c>
      <c r="B449" s="6" t="s">
        <v>6784</v>
      </c>
      <c r="C449" s="6" t="s">
        <v>6785</v>
      </c>
      <c r="D449" s="6" t="s">
        <v>793</v>
      </c>
      <c r="E449" s="6" t="s">
        <v>794</v>
      </c>
      <c r="F449" s="6" t="s">
        <v>13</v>
      </c>
      <c r="G449" s="6" t="s">
        <v>6018</v>
      </c>
      <c r="H449" s="6"/>
      <c r="I449" s="6" t="s">
        <v>100</v>
      </c>
      <c r="J449" s="6"/>
      <c r="K449" s="6" t="s">
        <v>795</v>
      </c>
      <c r="L449" s="6" t="s">
        <v>796</v>
      </c>
      <c r="M449" s="6"/>
      <c r="N449" s="6" t="s">
        <v>797</v>
      </c>
      <c r="O449" s="6" t="str">
        <f>HYPERLINK("https://ceds.ed.gov/cedselementdetails.aspx?termid=5397")</f>
        <v>https://ceds.ed.gov/cedselementdetails.aspx?termid=5397</v>
      </c>
      <c r="P449" s="6" t="str">
        <f>HYPERLINK("https://ceds.ed.gov/elementComment.aspx?elementName=Assessment Item Response Aid Set Used &amp;elementID=5397", "Click here to submit comment")</f>
        <v>Click here to submit comment</v>
      </c>
    </row>
    <row r="450" spans="1:16" ht="45">
      <c r="A450" s="6" t="s">
        <v>6715</v>
      </c>
      <c r="B450" s="6" t="s">
        <v>6784</v>
      </c>
      <c r="C450" s="6" t="s">
        <v>6785</v>
      </c>
      <c r="D450" s="6" t="s">
        <v>1318</v>
      </c>
      <c r="E450" s="6" t="s">
        <v>1319</v>
      </c>
      <c r="F450" s="6" t="s">
        <v>13</v>
      </c>
      <c r="G450" s="6" t="s">
        <v>6018</v>
      </c>
      <c r="H450" s="6"/>
      <c r="I450" s="6" t="s">
        <v>100</v>
      </c>
      <c r="J450" s="6"/>
      <c r="K450" s="6" t="s">
        <v>1320</v>
      </c>
      <c r="L450" s="6" t="s">
        <v>1321</v>
      </c>
      <c r="M450" s="6"/>
      <c r="N450" s="6" t="s">
        <v>1322</v>
      </c>
      <c r="O450" s="6" t="str">
        <f>HYPERLINK("https://ceds.ed.gov/cedselementdetails.aspx?termid=5389")</f>
        <v>https://ceds.ed.gov/cedselementdetails.aspx?termid=5389</v>
      </c>
      <c r="P450" s="6" t="str">
        <f>HYPERLINK("https://ceds.ed.gov/elementComment.aspx?elementName=Assessment Subtest Optimal Value &amp;elementID=5389", "Click here to submit comment")</f>
        <v>Click here to submit comment</v>
      </c>
    </row>
    <row r="451" spans="1:16" ht="45">
      <c r="A451" s="6" t="s">
        <v>6715</v>
      </c>
      <c r="B451" s="6" t="s">
        <v>6784</v>
      </c>
      <c r="C451" s="6" t="s">
        <v>6785</v>
      </c>
      <c r="D451" s="6" t="s">
        <v>1302</v>
      </c>
      <c r="E451" s="6" t="s">
        <v>1303</v>
      </c>
      <c r="F451" s="6" t="s">
        <v>13</v>
      </c>
      <c r="G451" s="6" t="s">
        <v>6064</v>
      </c>
      <c r="H451" s="6"/>
      <c r="I451" s="6" t="s">
        <v>100</v>
      </c>
      <c r="J451" s="6"/>
      <c r="K451" s="6"/>
      <c r="L451" s="6" t="s">
        <v>1304</v>
      </c>
      <c r="M451" s="6"/>
      <c r="N451" s="6" t="s">
        <v>1305</v>
      </c>
      <c r="O451" s="6" t="str">
        <f>HYPERLINK("https://ceds.ed.gov/cedselementdetails.aspx?termid=5366")</f>
        <v>https://ceds.ed.gov/cedselementdetails.aspx?termid=5366</v>
      </c>
      <c r="P451" s="6" t="str">
        <f>HYPERLINK("https://ceds.ed.gov/elementComment.aspx?elementName=Assessment Subtest Identifier &amp;elementID=5366", "Click here to submit comment")</f>
        <v>Click here to submit comment</v>
      </c>
    </row>
    <row r="452" spans="1:16" ht="165">
      <c r="A452" s="6" t="s">
        <v>6715</v>
      </c>
      <c r="B452" s="6" t="s">
        <v>6784</v>
      </c>
      <c r="C452" s="6" t="s">
        <v>6785</v>
      </c>
      <c r="D452" s="6" t="s">
        <v>1379</v>
      </c>
      <c r="E452" s="6" t="s">
        <v>1380</v>
      </c>
      <c r="F452" s="6" t="s">
        <v>13</v>
      </c>
      <c r="G452" s="6" t="s">
        <v>6073</v>
      </c>
      <c r="H452" s="6"/>
      <c r="I452" s="6" t="s">
        <v>106</v>
      </c>
      <c r="J452" s="6"/>
      <c r="K452" s="6"/>
      <c r="L452" s="6" t="s">
        <v>1381</v>
      </c>
      <c r="M452" s="6"/>
      <c r="N452" s="6" t="s">
        <v>1382</v>
      </c>
      <c r="O452" s="6" t="str">
        <f>HYPERLINK("https://ceds.ed.gov/cedselementdetails.aspx?termid=5275")</f>
        <v>https://ceds.ed.gov/cedselementdetails.aspx?termid=5275</v>
      </c>
      <c r="P452" s="6" t="str">
        <f>HYPERLINK("https://ceds.ed.gov/elementComment.aspx?elementName=Assessment Subtest Title &amp;elementID=5275", "Click here to submit comment")</f>
        <v>Click here to submit comment</v>
      </c>
    </row>
    <row r="453" spans="1:16" ht="45">
      <c r="A453" s="6" t="s">
        <v>6715</v>
      </c>
      <c r="B453" s="6" t="s">
        <v>6784</v>
      </c>
      <c r="C453" s="6" t="s">
        <v>6785</v>
      </c>
      <c r="D453" s="6" t="s">
        <v>1294</v>
      </c>
      <c r="E453" s="6" t="s">
        <v>1295</v>
      </c>
      <c r="F453" s="6" t="s">
        <v>13</v>
      </c>
      <c r="G453" s="6" t="s">
        <v>6063</v>
      </c>
      <c r="H453" s="6"/>
      <c r="I453" s="6" t="s">
        <v>100</v>
      </c>
      <c r="J453" s="6"/>
      <c r="K453" s="6"/>
      <c r="L453" s="6" t="s">
        <v>1296</v>
      </c>
      <c r="M453" s="6"/>
      <c r="N453" s="6" t="s">
        <v>1297</v>
      </c>
      <c r="O453" s="6" t="str">
        <f>HYPERLINK("https://ceds.ed.gov/cedselementdetails.aspx?termid=5367")</f>
        <v>https://ceds.ed.gov/cedselementdetails.aspx?termid=5367</v>
      </c>
      <c r="P453" s="6" t="str">
        <f>HYPERLINK("https://ceds.ed.gov/elementComment.aspx?elementName=Assessment Subtest Abbreviation &amp;elementID=5367", "Click here to submit comment")</f>
        <v>Click here to submit comment</v>
      </c>
    </row>
    <row r="454" spans="1:16" ht="45">
      <c r="A454" s="6" t="s">
        <v>6715</v>
      </c>
      <c r="B454" s="6" t="s">
        <v>6784</v>
      </c>
      <c r="C454" s="6" t="s">
        <v>6785</v>
      </c>
      <c r="D454" s="6" t="s">
        <v>1383</v>
      </c>
      <c r="E454" s="6" t="s">
        <v>1384</v>
      </c>
      <c r="F454" s="6" t="s">
        <v>13</v>
      </c>
      <c r="G454" s="6" t="s">
        <v>6064</v>
      </c>
      <c r="H454" s="6"/>
      <c r="I454" s="6" t="s">
        <v>100</v>
      </c>
      <c r="J454" s="6"/>
      <c r="K454" s="6"/>
      <c r="L454" s="6" t="s">
        <v>1385</v>
      </c>
      <c r="M454" s="6"/>
      <c r="N454" s="6" t="s">
        <v>1386</v>
      </c>
      <c r="O454" s="6" t="str">
        <f>HYPERLINK("https://ceds.ed.gov/cedselementdetails.aspx?termid=5379")</f>
        <v>https://ceds.ed.gov/cedselementdetails.aspx?termid=5379</v>
      </c>
      <c r="P454" s="6" t="str">
        <f>HYPERLINK("https://ceds.ed.gov/elementComment.aspx?elementName=Assessment Subtest Version &amp;elementID=5379", "Click here to submit comment")</f>
        <v>Click here to submit comment</v>
      </c>
    </row>
    <row r="455" spans="1:16" ht="409.5">
      <c r="A455" s="6" t="s">
        <v>6715</v>
      </c>
      <c r="B455" s="6" t="s">
        <v>6784</v>
      </c>
      <c r="C455" s="6" t="s">
        <v>6785</v>
      </c>
      <c r="D455" s="6" t="s">
        <v>1375</v>
      </c>
      <c r="E455" s="6" t="s">
        <v>1376</v>
      </c>
      <c r="F455" s="7" t="s">
        <v>6398</v>
      </c>
      <c r="G455" s="6" t="s">
        <v>6064</v>
      </c>
      <c r="H455" s="6"/>
      <c r="I455" s="6"/>
      <c r="J455" s="6"/>
      <c r="K455" s="6"/>
      <c r="L455" s="6" t="s">
        <v>1377</v>
      </c>
      <c r="M455" s="6"/>
      <c r="N455" s="6" t="s">
        <v>1378</v>
      </c>
      <c r="O455" s="6" t="str">
        <f>HYPERLINK("https://ceds.ed.gov/cedselementdetails.aspx?termid=5368")</f>
        <v>https://ceds.ed.gov/cedselementdetails.aspx?termid=5368</v>
      </c>
      <c r="P455" s="6" t="str">
        <f>HYPERLINK("https://ceds.ed.gov/elementComment.aspx?elementName=Assessment Subtest Score Metric Type &amp;elementID=5368", "Click here to submit comment")</f>
        <v>Click here to submit comment</v>
      </c>
    </row>
    <row r="456" spans="1:16" ht="45">
      <c r="A456" s="6" t="s">
        <v>6715</v>
      </c>
      <c r="B456" s="6" t="s">
        <v>6784</v>
      </c>
      <c r="C456" s="6" t="s">
        <v>6785</v>
      </c>
      <c r="D456" s="6" t="s">
        <v>1371</v>
      </c>
      <c r="E456" s="6" t="s">
        <v>1372</v>
      </c>
      <c r="F456" s="6" t="s">
        <v>13</v>
      </c>
      <c r="G456" s="6"/>
      <c r="H456" s="6"/>
      <c r="I456" s="6" t="s">
        <v>319</v>
      </c>
      <c r="J456" s="6"/>
      <c r="K456" s="6"/>
      <c r="L456" s="6" t="s">
        <v>1373</v>
      </c>
      <c r="M456" s="6"/>
      <c r="N456" s="6" t="s">
        <v>1374</v>
      </c>
      <c r="O456" s="6" t="str">
        <f>HYPERLINK("https://ceds.ed.gov/cedselementdetails.aspx?termid=5695")</f>
        <v>https://ceds.ed.gov/cedselementdetails.aspx?termid=5695</v>
      </c>
      <c r="P456" s="6" t="str">
        <f>HYPERLINK("https://ceds.ed.gov/elementComment.aspx?elementName=Assessment Subtest Rules &amp;elementID=5695", "Click here to submit comment")</f>
        <v>Click here to submit comment</v>
      </c>
    </row>
    <row r="457" spans="1:16" ht="150">
      <c r="A457" s="6" t="s">
        <v>6715</v>
      </c>
      <c r="B457" s="6" t="s">
        <v>6784</v>
      </c>
      <c r="C457" s="6" t="s">
        <v>6785</v>
      </c>
      <c r="D457" s="6" t="s">
        <v>1298</v>
      </c>
      <c r="E457" s="6" t="s">
        <v>1299</v>
      </c>
      <c r="F457" s="6" t="s">
        <v>13</v>
      </c>
      <c r="G457" s="6" t="s">
        <v>6006</v>
      </c>
      <c r="H457" s="6"/>
      <c r="I457" s="6" t="s">
        <v>106</v>
      </c>
      <c r="J457" s="6"/>
      <c r="K457" s="6"/>
      <c r="L457" s="6" t="s">
        <v>1300</v>
      </c>
      <c r="M457" s="6"/>
      <c r="N457" s="6" t="s">
        <v>1301</v>
      </c>
      <c r="O457" s="6" t="str">
        <f>HYPERLINK("https://ceds.ed.gov/cedselementdetails.aspx?termid=5274")</f>
        <v>https://ceds.ed.gov/cedselementdetails.aspx?termid=5274</v>
      </c>
      <c r="P457" s="6" t="str">
        <f>HYPERLINK("https://ceds.ed.gov/elementComment.aspx?elementName=Assessment Subtest Description &amp;elementID=5274", "Click here to submit comment")</f>
        <v>Click here to submit comment</v>
      </c>
    </row>
    <row r="458" spans="1:16" ht="45">
      <c r="A458" s="6" t="s">
        <v>6715</v>
      </c>
      <c r="B458" s="6" t="s">
        <v>6784</v>
      </c>
      <c r="C458" s="6" t="s">
        <v>6785</v>
      </c>
      <c r="D458" s="6" t="s">
        <v>1121</v>
      </c>
      <c r="E458" s="6" t="s">
        <v>1122</v>
      </c>
      <c r="F458" s="6" t="s">
        <v>13</v>
      </c>
      <c r="G458" s="6" t="s">
        <v>493</v>
      </c>
      <c r="H458" s="6"/>
      <c r="I458" s="6" t="s">
        <v>100</v>
      </c>
      <c r="J458" s="6"/>
      <c r="K458" s="6"/>
      <c r="L458" s="6" t="s">
        <v>1123</v>
      </c>
      <c r="M458" s="6"/>
      <c r="N458" s="6" t="s">
        <v>1124</v>
      </c>
      <c r="O458" s="6" t="str">
        <f>HYPERLINK("https://ceds.ed.gov/cedselementdetails.aspx?termid=5693")</f>
        <v>https://ceds.ed.gov/cedselementdetails.aspx?termid=5693</v>
      </c>
      <c r="P458" s="6" t="str">
        <f>HYPERLINK("https://ceds.ed.gov/elementComment.aspx?elementName=Assessment Performance Level Identifier &amp;elementID=5693", "Click here to submit comment")</f>
        <v>Click here to submit comment</v>
      </c>
    </row>
    <row r="459" spans="1:16" ht="45">
      <c r="A459" s="6" t="s">
        <v>6715</v>
      </c>
      <c r="B459" s="6" t="s">
        <v>6784</v>
      </c>
      <c r="C459" s="6" t="s">
        <v>6785</v>
      </c>
      <c r="D459" s="6" t="s">
        <v>1125</v>
      </c>
      <c r="E459" s="6" t="s">
        <v>1126</v>
      </c>
      <c r="F459" s="6" t="s">
        <v>13</v>
      </c>
      <c r="G459" s="6" t="s">
        <v>493</v>
      </c>
      <c r="H459" s="6"/>
      <c r="I459" s="6" t="s">
        <v>1127</v>
      </c>
      <c r="J459" s="6"/>
      <c r="K459" s="6"/>
      <c r="L459" s="6" t="s">
        <v>1128</v>
      </c>
      <c r="M459" s="6"/>
      <c r="N459" s="6" t="s">
        <v>1129</v>
      </c>
      <c r="O459" s="6" t="str">
        <f>HYPERLINK("https://ceds.ed.gov/cedselementdetails.aspx?termid=5694")</f>
        <v>https://ceds.ed.gov/cedselementdetails.aspx?termid=5694</v>
      </c>
      <c r="P459" s="6" t="str">
        <f>HYPERLINK("https://ceds.ed.gov/elementComment.aspx?elementName=Assessment Performance Level Label &amp;elementID=5694", "Click here to submit comment")</f>
        <v>Click here to submit comment</v>
      </c>
    </row>
    <row r="460" spans="1:16" ht="409.5">
      <c r="A460" s="6" t="s">
        <v>6715</v>
      </c>
      <c r="B460" s="6" t="s">
        <v>6784</v>
      </c>
      <c r="C460" s="6" t="s">
        <v>6785</v>
      </c>
      <c r="D460" s="6" t="s">
        <v>1134</v>
      </c>
      <c r="E460" s="6" t="s">
        <v>1135</v>
      </c>
      <c r="F460" s="7" t="s">
        <v>6398</v>
      </c>
      <c r="G460" s="6" t="s">
        <v>5992</v>
      </c>
      <c r="H460" s="6"/>
      <c r="I460" s="6" t="s">
        <v>100</v>
      </c>
      <c r="J460" s="6"/>
      <c r="K460" s="6"/>
      <c r="L460" s="6" t="s">
        <v>1136</v>
      </c>
      <c r="M460" s="6"/>
      <c r="N460" s="6" t="s">
        <v>1137</v>
      </c>
      <c r="O460" s="6" t="str">
        <f>HYPERLINK("https://ceds.ed.gov/cedselementdetails.aspx?termid=5407")</f>
        <v>https://ceds.ed.gov/cedselementdetails.aspx?termid=5407</v>
      </c>
      <c r="P460" s="6" t="str">
        <f>HYPERLINK("https://ceds.ed.gov/elementComment.aspx?elementName=Assessment Performance Level Score Metric &amp;elementID=5407", "Click here to submit comment")</f>
        <v>Click here to submit comment</v>
      </c>
    </row>
    <row r="461" spans="1:16" ht="45">
      <c r="A461" s="6" t="s">
        <v>6715</v>
      </c>
      <c r="B461" s="6" t="s">
        <v>6784</v>
      </c>
      <c r="C461" s="6" t="s">
        <v>6785</v>
      </c>
      <c r="D461" s="6" t="s">
        <v>1130</v>
      </c>
      <c r="E461" s="6" t="s">
        <v>1131</v>
      </c>
      <c r="F461" s="6" t="s">
        <v>13</v>
      </c>
      <c r="G461" s="6" t="s">
        <v>5992</v>
      </c>
      <c r="H461" s="6"/>
      <c r="I461" s="6" t="s">
        <v>100</v>
      </c>
      <c r="J461" s="6"/>
      <c r="K461" s="6"/>
      <c r="L461" s="6" t="s">
        <v>1132</v>
      </c>
      <c r="M461" s="6"/>
      <c r="N461" s="6" t="s">
        <v>1133</v>
      </c>
      <c r="O461" s="6" t="str">
        <f>HYPERLINK("https://ceds.ed.gov/cedselementdetails.aspx?termid=5408")</f>
        <v>https://ceds.ed.gov/cedselementdetails.aspx?termid=5408</v>
      </c>
      <c r="P461" s="6" t="str">
        <f>HYPERLINK("https://ceds.ed.gov/elementComment.aspx?elementName=Assessment Performance Level Lower Cut Score &amp;elementID=5408", "Click here to submit comment")</f>
        <v>Click here to submit comment</v>
      </c>
    </row>
    <row r="462" spans="1:16" ht="45">
      <c r="A462" s="6" t="s">
        <v>6715</v>
      </c>
      <c r="B462" s="6" t="s">
        <v>6784</v>
      </c>
      <c r="C462" s="6" t="s">
        <v>6785</v>
      </c>
      <c r="D462" s="6" t="s">
        <v>1138</v>
      </c>
      <c r="E462" s="6" t="s">
        <v>1139</v>
      </c>
      <c r="F462" s="6" t="s">
        <v>13</v>
      </c>
      <c r="G462" s="6" t="s">
        <v>5992</v>
      </c>
      <c r="H462" s="6"/>
      <c r="I462" s="6" t="s">
        <v>100</v>
      </c>
      <c r="J462" s="6"/>
      <c r="K462" s="6"/>
      <c r="L462" s="6" t="s">
        <v>1140</v>
      </c>
      <c r="M462" s="6"/>
      <c r="N462" s="6" t="s">
        <v>1141</v>
      </c>
      <c r="O462" s="6" t="str">
        <f>HYPERLINK("https://ceds.ed.gov/cedselementdetails.aspx?termid=5409")</f>
        <v>https://ceds.ed.gov/cedselementdetails.aspx?termid=5409</v>
      </c>
      <c r="P462" s="6" t="str">
        <f>HYPERLINK("https://ceds.ed.gov/elementComment.aspx?elementName=Assessment Performance Level Upper Cut Score &amp;elementID=5409", "Click here to submit comment")</f>
        <v>Click here to submit comment</v>
      </c>
    </row>
    <row r="463" spans="1:16" ht="315">
      <c r="A463" s="6" t="s">
        <v>6715</v>
      </c>
      <c r="B463" s="6" t="s">
        <v>6784</v>
      </c>
      <c r="C463" s="6" t="s">
        <v>6785</v>
      </c>
      <c r="D463" s="6" t="s">
        <v>1186</v>
      </c>
      <c r="E463" s="6" t="s">
        <v>1187</v>
      </c>
      <c r="F463" s="7" t="s">
        <v>6402</v>
      </c>
      <c r="G463" s="6" t="s">
        <v>6052</v>
      </c>
      <c r="H463" s="6"/>
      <c r="I463" s="6"/>
      <c r="J463" s="6"/>
      <c r="K463" s="6" t="s">
        <v>1188</v>
      </c>
      <c r="L463" s="6" t="s">
        <v>1189</v>
      </c>
      <c r="M463" s="6"/>
      <c r="N463" s="6" t="s">
        <v>1190</v>
      </c>
      <c r="O463" s="6" t="str">
        <f>HYPERLINK("https://ceds.ed.gov/cedselementdetails.aspx?termid=5531")</f>
        <v>https://ceds.ed.gov/cedselementdetails.aspx?termid=5531</v>
      </c>
      <c r="P463" s="6" t="str">
        <f>HYPERLINK("https://ceds.ed.gov/elementComment.aspx?elementName=Assessment Registration Reason Not Completing &amp;elementID=5531", "Click here to submit comment")</f>
        <v>Click here to submit comment</v>
      </c>
    </row>
    <row r="464" spans="1:16" ht="375">
      <c r="A464" s="6" t="s">
        <v>6715</v>
      </c>
      <c r="B464" s="6" t="s">
        <v>6784</v>
      </c>
      <c r="C464" s="6" t="s">
        <v>6785</v>
      </c>
      <c r="D464" s="6" t="s">
        <v>2847</v>
      </c>
      <c r="E464" s="6" t="s">
        <v>2848</v>
      </c>
      <c r="F464" s="7" t="s">
        <v>6520</v>
      </c>
      <c r="G464" s="6" t="s">
        <v>6182</v>
      </c>
      <c r="H464" s="6"/>
      <c r="I464" s="6"/>
      <c r="J464" s="6"/>
      <c r="K464" s="6"/>
      <c r="L464" s="6" t="s">
        <v>2849</v>
      </c>
      <c r="M464" s="6"/>
      <c r="N464" s="6" t="s">
        <v>2850</v>
      </c>
      <c r="O464" s="6" t="str">
        <f>HYPERLINK("https://ceds.ed.gov/cedselementdetails.aspx?termid=5126")</f>
        <v>https://ceds.ed.gov/cedselementdetails.aspx?termid=5126</v>
      </c>
      <c r="P464" s="6" t="str">
        <f>HYPERLINK("https://ceds.ed.gov/elementComment.aspx?elementName=Grade Level When Assessed &amp;elementID=5126", "Click here to submit comment")</f>
        <v>Click here to submit comment</v>
      </c>
    </row>
    <row r="465" spans="1:16" ht="285">
      <c r="A465" s="6" t="s">
        <v>6715</v>
      </c>
      <c r="B465" s="6" t="s">
        <v>6784</v>
      </c>
      <c r="C465" s="6" t="s">
        <v>6785</v>
      </c>
      <c r="D465" s="6" t="s">
        <v>399</v>
      </c>
      <c r="E465" s="6" t="s">
        <v>400</v>
      </c>
      <c r="F465" s="7" t="s">
        <v>6376</v>
      </c>
      <c r="G465" s="6" t="s">
        <v>5992</v>
      </c>
      <c r="H465" s="6" t="s">
        <v>3</v>
      </c>
      <c r="I465" s="6"/>
      <c r="J465" s="6"/>
      <c r="K465" s="6"/>
      <c r="L465" s="6" t="s">
        <v>401</v>
      </c>
      <c r="M465" s="6"/>
      <c r="N465" s="6" t="s">
        <v>402</v>
      </c>
      <c r="O465" s="6" t="str">
        <f>HYPERLINK("https://ceds.ed.gov/cedselementdetails.aspx?termid=5374")</f>
        <v>https://ceds.ed.gov/cedselementdetails.aspx?termid=5374</v>
      </c>
      <c r="P465" s="6" t="str">
        <f>HYPERLINK("https://ceds.ed.gov/elementComment.aspx?elementName=Assessment Accommodation Category &amp;elementID=5374", "Click here to submit comment")</f>
        <v>Click here to submit comment</v>
      </c>
    </row>
    <row r="466" spans="1:16" ht="75">
      <c r="A466" s="6" t="s">
        <v>6715</v>
      </c>
      <c r="B466" s="6" t="s">
        <v>6784</v>
      </c>
      <c r="C466" s="6" t="s">
        <v>6785</v>
      </c>
      <c r="D466" s="6" t="s">
        <v>505</v>
      </c>
      <c r="E466" s="6" t="s">
        <v>506</v>
      </c>
      <c r="F466" s="6" t="s">
        <v>13</v>
      </c>
      <c r="G466" s="6"/>
      <c r="H466" s="6"/>
      <c r="I466" s="6" t="s">
        <v>319</v>
      </c>
      <c r="J466" s="6"/>
      <c r="K466" s="6"/>
      <c r="L466" s="6" t="s">
        <v>507</v>
      </c>
      <c r="M466" s="6"/>
      <c r="N466" s="6" t="s">
        <v>508</v>
      </c>
      <c r="O466" s="6" t="str">
        <f>HYPERLINK("https://ceds.ed.gov/cedselementdetails.aspx?termid=6136")</f>
        <v>https://ceds.ed.gov/cedselementdetails.aspx?termid=6136</v>
      </c>
      <c r="P466" s="6" t="str">
        <f>HYPERLINK("https://ceds.ed.gov/elementComment.aspx?elementName=Assessment Form Accommodation List &amp;elementID=6136", "Click here to submit comment")</f>
        <v>Click here to submit comment</v>
      </c>
    </row>
    <row r="467" spans="1:16" ht="45">
      <c r="A467" s="6" t="s">
        <v>6715</v>
      </c>
      <c r="B467" s="6" t="s">
        <v>6784</v>
      </c>
      <c r="C467" s="6" t="s">
        <v>6785</v>
      </c>
      <c r="D467" s="6" t="s">
        <v>3739</v>
      </c>
      <c r="E467" s="6" t="s">
        <v>3740</v>
      </c>
      <c r="F467" s="6" t="s">
        <v>13</v>
      </c>
      <c r="G467" s="6" t="s">
        <v>493</v>
      </c>
      <c r="H467" s="6"/>
      <c r="I467" s="6" t="s">
        <v>93</v>
      </c>
      <c r="J467" s="6"/>
      <c r="K467" s="6"/>
      <c r="L467" s="6" t="s">
        <v>3741</v>
      </c>
      <c r="M467" s="6"/>
      <c r="N467" s="6" t="s">
        <v>3742</v>
      </c>
      <c r="O467" s="6" t="str">
        <f>HYPERLINK("https://ceds.ed.gov/cedselementdetails.aspx?termid=5670")</f>
        <v>https://ceds.ed.gov/cedselementdetails.aspx?termid=5670</v>
      </c>
      <c r="P467" s="6" t="str">
        <f>HYPERLINK("https://ceds.ed.gov/elementComment.aspx?elementName=Learning Standard Document Identifier URI &amp;elementID=5670", "Click here to submit comment")</f>
        <v>Click here to submit comment</v>
      </c>
    </row>
    <row r="468" spans="1:16" ht="30">
      <c r="A468" s="6" t="s">
        <v>6715</v>
      </c>
      <c r="B468" s="6" t="s">
        <v>6784</v>
      </c>
      <c r="C468" s="6" t="s">
        <v>6785</v>
      </c>
      <c r="D468" s="6" t="s">
        <v>3775</v>
      </c>
      <c r="E468" s="6" t="s">
        <v>3776</v>
      </c>
      <c r="F468" s="6" t="s">
        <v>13</v>
      </c>
      <c r="G468" s="6" t="s">
        <v>493</v>
      </c>
      <c r="H468" s="6"/>
      <c r="I468" s="6" t="s">
        <v>1440</v>
      </c>
      <c r="J468" s="6"/>
      <c r="K468" s="6"/>
      <c r="L468" s="6" t="s">
        <v>3777</v>
      </c>
      <c r="M468" s="6"/>
      <c r="N468" s="6" t="s">
        <v>3778</v>
      </c>
      <c r="O468" s="6" t="str">
        <f>HYPERLINK("https://ceds.ed.gov/cedselementdetails.aspx?termid=5671")</f>
        <v>https://ceds.ed.gov/cedselementdetails.aspx?termid=5671</v>
      </c>
      <c r="P468" s="6" t="str">
        <f>HYPERLINK("https://ceds.ed.gov/elementComment.aspx?elementName=Learning Standard Document Title &amp;elementID=5671", "Click here to submit comment")</f>
        <v>Click here to submit comment</v>
      </c>
    </row>
    <row r="469" spans="1:16" ht="30">
      <c r="A469" s="6" t="s">
        <v>6715</v>
      </c>
      <c r="B469" s="6" t="s">
        <v>6784</v>
      </c>
      <c r="C469" s="6" t="s">
        <v>6785</v>
      </c>
      <c r="D469" s="6" t="s">
        <v>3787</v>
      </c>
      <c r="E469" s="6" t="s">
        <v>3788</v>
      </c>
      <c r="F469" s="6" t="s">
        <v>13</v>
      </c>
      <c r="G469" s="6" t="s">
        <v>493</v>
      </c>
      <c r="H469" s="6"/>
      <c r="I469" s="6" t="s">
        <v>100</v>
      </c>
      <c r="J469" s="6"/>
      <c r="K469" s="6"/>
      <c r="L469" s="6" t="s">
        <v>3789</v>
      </c>
      <c r="M469" s="6"/>
      <c r="N469" s="6" t="s">
        <v>3790</v>
      </c>
      <c r="O469" s="6" t="str">
        <f>HYPERLINK("https://ceds.ed.gov/cedselementdetails.aspx?termid=5672")</f>
        <v>https://ceds.ed.gov/cedselementdetails.aspx?termid=5672</v>
      </c>
      <c r="P469" s="6" t="str">
        <f>HYPERLINK("https://ceds.ed.gov/elementComment.aspx?elementName=Learning Standard Document Version &amp;elementID=5672", "Click here to submit comment")</f>
        <v>Click here to submit comment</v>
      </c>
    </row>
    <row r="470" spans="1:16" ht="45">
      <c r="A470" s="6" t="s">
        <v>6715</v>
      </c>
      <c r="B470" s="6" t="s">
        <v>6784</v>
      </c>
      <c r="C470" s="6" t="s">
        <v>6785</v>
      </c>
      <c r="D470" s="6" t="s">
        <v>3731</v>
      </c>
      <c r="E470" s="6" t="s">
        <v>3732</v>
      </c>
      <c r="F470" s="6" t="s">
        <v>13</v>
      </c>
      <c r="G470" s="6"/>
      <c r="H470" s="6"/>
      <c r="I470" s="6" t="s">
        <v>1440</v>
      </c>
      <c r="J470" s="6"/>
      <c r="K470" s="6"/>
      <c r="L470" s="6" t="s">
        <v>3733</v>
      </c>
      <c r="M470" s="6"/>
      <c r="N470" s="6" t="s">
        <v>3734</v>
      </c>
      <c r="O470" s="6" t="str">
        <f>HYPERLINK("https://ceds.ed.gov/cedselementdetails.aspx?termid=5673")</f>
        <v>https://ceds.ed.gov/cedselementdetails.aspx?termid=5673</v>
      </c>
      <c r="P470" s="6" t="str">
        <f>HYPERLINK("https://ceds.ed.gov/elementComment.aspx?elementName=Learning Standard Document Creator &amp;elementID=5673", "Click here to submit comment")</f>
        <v>Click here to submit comment</v>
      </c>
    </row>
    <row r="471" spans="1:16" ht="45">
      <c r="A471" s="6" t="s">
        <v>6715</v>
      </c>
      <c r="B471" s="6" t="s">
        <v>6784</v>
      </c>
      <c r="C471" s="6" t="s">
        <v>6785</v>
      </c>
      <c r="D471" s="6" t="s">
        <v>3735</v>
      </c>
      <c r="E471" s="6" t="s">
        <v>3736</v>
      </c>
      <c r="F471" s="6" t="s">
        <v>13</v>
      </c>
      <c r="G471" s="6"/>
      <c r="H471" s="6"/>
      <c r="I471" s="6" t="s">
        <v>93</v>
      </c>
      <c r="J471" s="6"/>
      <c r="K471" s="6"/>
      <c r="L471" s="6" t="s">
        <v>3737</v>
      </c>
      <c r="M471" s="6"/>
      <c r="N471" s="6" t="s">
        <v>3738</v>
      </c>
      <c r="O471" s="6" t="str">
        <f>HYPERLINK("https://ceds.ed.gov/cedselementdetails.aspx?termid=5674")</f>
        <v>https://ceds.ed.gov/cedselementdetails.aspx?termid=5674</v>
      </c>
      <c r="P471" s="6" t="str">
        <f>HYPERLINK("https://ceds.ed.gov/elementComment.aspx?elementName=Learning Standard Document Description &amp;elementID=5674", "Click here to submit comment")</f>
        <v>Click here to submit comment</v>
      </c>
    </row>
    <row r="472" spans="1:16" ht="90">
      <c r="A472" s="6" t="s">
        <v>6715</v>
      </c>
      <c r="B472" s="6" t="s">
        <v>6784</v>
      </c>
      <c r="C472" s="6" t="s">
        <v>6785</v>
      </c>
      <c r="D472" s="6" t="s">
        <v>3755</v>
      </c>
      <c r="E472" s="6" t="s">
        <v>3756</v>
      </c>
      <c r="F472" s="6" t="s">
        <v>6242</v>
      </c>
      <c r="G472" s="6"/>
      <c r="H472" s="6"/>
      <c r="I472" s="6"/>
      <c r="J472" s="6"/>
      <c r="K472" s="6"/>
      <c r="L472" s="6" t="s">
        <v>3757</v>
      </c>
      <c r="M472" s="6"/>
      <c r="N472" s="6" t="s">
        <v>3758</v>
      </c>
      <c r="O472" s="6" t="str">
        <f>HYPERLINK("https://ceds.ed.gov/cedselementdetails.aspx?termid=5675")</f>
        <v>https://ceds.ed.gov/cedselementdetails.aspx?termid=5675</v>
      </c>
      <c r="P472" s="6" t="str">
        <f>HYPERLINK("https://ceds.ed.gov/elementComment.aspx?elementName=Learning Standard Document Publication Status &amp;elementID=5675", "Click here to submit comment")</f>
        <v>Click here to submit comment</v>
      </c>
    </row>
    <row r="473" spans="1:16" ht="60">
      <c r="A473" s="6" t="s">
        <v>6715</v>
      </c>
      <c r="B473" s="6" t="s">
        <v>6784</v>
      </c>
      <c r="C473" s="6" t="s">
        <v>6785</v>
      </c>
      <c r="D473" s="6" t="s">
        <v>3743</v>
      </c>
      <c r="E473" s="6" t="s">
        <v>3744</v>
      </c>
      <c r="F473" s="6" t="s">
        <v>13</v>
      </c>
      <c r="G473" s="6"/>
      <c r="H473" s="6"/>
      <c r="I473" s="6" t="s">
        <v>1440</v>
      </c>
      <c r="J473" s="6"/>
      <c r="K473" s="6"/>
      <c r="L473" s="6" t="s">
        <v>3745</v>
      </c>
      <c r="M473" s="6"/>
      <c r="N473" s="6" t="s">
        <v>3746</v>
      </c>
      <c r="O473" s="6" t="str">
        <f>HYPERLINK("https://ceds.ed.gov/cedselementdetails.aspx?termid=5676")</f>
        <v>https://ceds.ed.gov/cedselementdetails.aspx?termid=5676</v>
      </c>
      <c r="P473" s="6" t="str">
        <f>HYPERLINK("https://ceds.ed.gov/elementComment.aspx?elementName=Learning Standard Document Jurisdiction &amp;elementID=5676", "Click here to submit comment")</f>
        <v>Click here to submit comment</v>
      </c>
    </row>
    <row r="474" spans="1:16" ht="60">
      <c r="A474" s="6" t="s">
        <v>6715</v>
      </c>
      <c r="B474" s="6" t="s">
        <v>6784</v>
      </c>
      <c r="C474" s="6" t="s">
        <v>6785</v>
      </c>
      <c r="D474" s="6" t="s">
        <v>3783</v>
      </c>
      <c r="E474" s="6" t="s">
        <v>3784</v>
      </c>
      <c r="F474" s="6" t="s">
        <v>13</v>
      </c>
      <c r="G474" s="6"/>
      <c r="H474" s="6"/>
      <c r="I474" s="6" t="s">
        <v>73</v>
      </c>
      <c r="J474" s="6"/>
      <c r="K474" s="6"/>
      <c r="L474" s="6" t="s">
        <v>3785</v>
      </c>
      <c r="M474" s="6"/>
      <c r="N474" s="6" t="s">
        <v>3786</v>
      </c>
      <c r="O474" s="6" t="str">
        <f>HYPERLINK("https://ceds.ed.gov/cedselementdetails.aspx?termid=5677")</f>
        <v>https://ceds.ed.gov/cedselementdetails.aspx?termid=5677</v>
      </c>
      <c r="P474" s="6" t="str">
        <f>HYPERLINK("https://ceds.ed.gov/elementComment.aspx?elementName=Learning Standard Document Valid Start Date &amp;elementID=5677", "Click here to submit comment")</f>
        <v>Click here to submit comment</v>
      </c>
    </row>
    <row r="475" spans="1:16" ht="60">
      <c r="A475" s="6" t="s">
        <v>6715</v>
      </c>
      <c r="B475" s="6" t="s">
        <v>6784</v>
      </c>
      <c r="C475" s="6" t="s">
        <v>6785</v>
      </c>
      <c r="D475" s="6" t="s">
        <v>3779</v>
      </c>
      <c r="E475" s="6" t="s">
        <v>3780</v>
      </c>
      <c r="F475" s="6" t="s">
        <v>13</v>
      </c>
      <c r="G475" s="6"/>
      <c r="H475" s="6"/>
      <c r="I475" s="6" t="s">
        <v>73</v>
      </c>
      <c r="J475" s="6"/>
      <c r="K475" s="6"/>
      <c r="L475" s="6" t="s">
        <v>3781</v>
      </c>
      <c r="M475" s="6"/>
      <c r="N475" s="6" t="s">
        <v>3782</v>
      </c>
      <c r="O475" s="6" t="str">
        <f>HYPERLINK("https://ceds.ed.gov/cedselementdetails.aspx?termid=5678")</f>
        <v>https://ceds.ed.gov/cedselementdetails.aspx?termid=5678</v>
      </c>
      <c r="P475" s="6" t="str">
        <f>HYPERLINK("https://ceds.ed.gov/elementComment.aspx?elementName=Learning Standard Document Valid End Date &amp;elementID=5678", "Click here to submit comment")</f>
        <v>Click here to submit comment</v>
      </c>
    </row>
    <row r="476" spans="1:16" ht="30">
      <c r="A476" s="6" t="s">
        <v>6715</v>
      </c>
      <c r="B476" s="6" t="s">
        <v>6784</v>
      </c>
      <c r="C476" s="6" t="s">
        <v>6785</v>
      </c>
      <c r="D476" s="6" t="s">
        <v>3771</v>
      </c>
      <c r="E476" s="6" t="s">
        <v>3772</v>
      </c>
      <c r="F476" s="6" t="s">
        <v>13</v>
      </c>
      <c r="G476" s="6" t="s">
        <v>493</v>
      </c>
      <c r="H476" s="6"/>
      <c r="I476" s="6" t="s">
        <v>100</v>
      </c>
      <c r="J476" s="6"/>
      <c r="K476" s="6"/>
      <c r="L476" s="6" t="s">
        <v>3773</v>
      </c>
      <c r="M476" s="6"/>
      <c r="N476" s="6" t="s">
        <v>3774</v>
      </c>
      <c r="O476" s="6" t="str">
        <f>HYPERLINK("https://ceds.ed.gov/cedselementdetails.aspx?termid=5679")</f>
        <v>https://ceds.ed.gov/cedselementdetails.aspx?termid=5679</v>
      </c>
      <c r="P476" s="6" t="str">
        <f>HYPERLINK("https://ceds.ed.gov/elementComment.aspx?elementName=Learning Standard Document Subject &amp;elementID=5679", "Click here to submit comment")</f>
        <v>Click here to submit comment</v>
      </c>
    </row>
    <row r="477" spans="1:16" ht="120">
      <c r="A477" s="6" t="s">
        <v>6715</v>
      </c>
      <c r="B477" s="6" t="s">
        <v>6784</v>
      </c>
      <c r="C477" s="6" t="s">
        <v>6785</v>
      </c>
      <c r="D477" s="6" t="s">
        <v>3856</v>
      </c>
      <c r="E477" s="6" t="s">
        <v>3857</v>
      </c>
      <c r="F477" s="6" t="s">
        <v>13</v>
      </c>
      <c r="G477" s="6" t="s">
        <v>493</v>
      </c>
      <c r="H477" s="6"/>
      <c r="I477" s="6" t="s">
        <v>3858</v>
      </c>
      <c r="J477" s="6"/>
      <c r="K477" s="6"/>
      <c r="L477" s="6" t="s">
        <v>3859</v>
      </c>
      <c r="M477" s="6" t="s">
        <v>3860</v>
      </c>
      <c r="N477" s="6" t="s">
        <v>3861</v>
      </c>
      <c r="O477" s="6" t="str">
        <f>HYPERLINK("https://ceds.ed.gov/cedselementdetails.aspx?termid=5666")</f>
        <v>https://ceds.ed.gov/cedselementdetails.aspx?termid=5666</v>
      </c>
      <c r="P477" s="6" t="str">
        <f>HYPERLINK("https://ceds.ed.gov/elementComment.aspx?elementName=Learning Standard Item Identifier &amp;elementID=5666", "Click here to submit comment")</f>
        <v>Click here to submit comment</v>
      </c>
    </row>
    <row r="478" spans="1:16" ht="240">
      <c r="A478" s="6" t="s">
        <v>6715</v>
      </c>
      <c r="B478" s="6" t="s">
        <v>6784</v>
      </c>
      <c r="C478" s="6" t="s">
        <v>6785</v>
      </c>
      <c r="D478" s="6" t="s">
        <v>3904</v>
      </c>
      <c r="E478" s="6" t="s">
        <v>3905</v>
      </c>
      <c r="F478" s="6" t="s">
        <v>13</v>
      </c>
      <c r="G478" s="6"/>
      <c r="H478" s="6" t="s">
        <v>54</v>
      </c>
      <c r="I478" s="6" t="s">
        <v>3906</v>
      </c>
      <c r="J478" s="6"/>
      <c r="K478" s="6" t="s">
        <v>3848</v>
      </c>
      <c r="L478" s="6" t="s">
        <v>3907</v>
      </c>
      <c r="M478" s="6"/>
      <c r="N478" s="6" t="s">
        <v>3908</v>
      </c>
      <c r="O478" s="6" t="str">
        <f>HYPERLINK("https://ceds.ed.gov/cedselementdetails.aspx?termid=6498")</f>
        <v>https://ceds.ed.gov/cedselementdetails.aspx?termid=6498</v>
      </c>
      <c r="P478" s="6" t="str">
        <f>HYPERLINK("https://ceds.ed.gov/elementComment.aspx?elementName=Learning Standard Item Previous Version Identifier &amp;elementID=6498", "Click here to submit comment")</f>
        <v>Click here to submit comment</v>
      </c>
    </row>
    <row r="479" spans="1:16" ht="90">
      <c r="A479" s="6" t="s">
        <v>6715</v>
      </c>
      <c r="B479" s="6" t="s">
        <v>6784</v>
      </c>
      <c r="C479" s="6" t="s">
        <v>6785</v>
      </c>
      <c r="D479" s="6" t="s">
        <v>3832</v>
      </c>
      <c r="E479" s="6" t="s">
        <v>3833</v>
      </c>
      <c r="F479" s="6" t="s">
        <v>13</v>
      </c>
      <c r="G479" s="6"/>
      <c r="H479" s="6"/>
      <c r="I479" s="6" t="s">
        <v>100</v>
      </c>
      <c r="J479" s="6"/>
      <c r="K479" s="6" t="s">
        <v>3834</v>
      </c>
      <c r="L479" s="6" t="s">
        <v>3835</v>
      </c>
      <c r="M479" s="6" t="s">
        <v>3836</v>
      </c>
      <c r="N479" s="6" t="s">
        <v>3837</v>
      </c>
      <c r="O479" s="6" t="str">
        <f>HYPERLINK("https://ceds.ed.gov/cedselementdetails.aspx?termid=5669")</f>
        <v>https://ceds.ed.gov/cedselementdetails.aspx?termid=5669</v>
      </c>
      <c r="P479" s="6" t="str">
        <f>HYPERLINK("https://ceds.ed.gov/elementComment.aspx?elementName=Learning Standard Item Code &amp;elementID=5669", "Click here to submit comment")</f>
        <v>Click here to submit comment</v>
      </c>
    </row>
    <row r="480" spans="1:16" ht="150">
      <c r="A480" s="6" t="s">
        <v>6715</v>
      </c>
      <c r="B480" s="6" t="s">
        <v>6784</v>
      </c>
      <c r="C480" s="6" t="s">
        <v>6785</v>
      </c>
      <c r="D480" s="6" t="s">
        <v>3899</v>
      </c>
      <c r="E480" s="6" t="s">
        <v>3900</v>
      </c>
      <c r="F480" s="6" t="s">
        <v>13</v>
      </c>
      <c r="G480" s="6" t="s">
        <v>493</v>
      </c>
      <c r="H480" s="6"/>
      <c r="I480" s="6" t="s">
        <v>3858</v>
      </c>
      <c r="J480" s="6"/>
      <c r="K480" s="6" t="s">
        <v>3901</v>
      </c>
      <c r="L480" s="6" t="s">
        <v>3902</v>
      </c>
      <c r="M480" s="6"/>
      <c r="N480" s="6" t="s">
        <v>3903</v>
      </c>
      <c r="O480" s="6" t="str">
        <f>HYPERLINK("https://ceds.ed.gov/cedselementdetails.aspx?termid=5691")</f>
        <v>https://ceds.ed.gov/cedselementdetails.aspx?termid=5691</v>
      </c>
      <c r="P480" s="6" t="str">
        <f>HYPERLINK("https://ceds.ed.gov/elementComment.aspx?elementName=Learning Standard Item Prerequisite Identifier &amp;elementID=5691", "Click here to submit comment")</f>
        <v>Click here to submit comment</v>
      </c>
    </row>
    <row r="481" spans="1:16" ht="225">
      <c r="A481" s="6" t="s">
        <v>6715</v>
      </c>
      <c r="B481" s="6" t="s">
        <v>6784</v>
      </c>
      <c r="C481" s="6" t="s">
        <v>6785</v>
      </c>
      <c r="D481" s="6" t="s">
        <v>3909</v>
      </c>
      <c r="E481" s="6" t="s">
        <v>3910</v>
      </c>
      <c r="F481" s="6" t="s">
        <v>13</v>
      </c>
      <c r="G481" s="6" t="s">
        <v>493</v>
      </c>
      <c r="H481" s="6"/>
      <c r="I481" s="6" t="s">
        <v>319</v>
      </c>
      <c r="J481" s="6"/>
      <c r="K481" s="6" t="s">
        <v>3911</v>
      </c>
      <c r="L481" s="6" t="s">
        <v>3912</v>
      </c>
      <c r="M481" s="6" t="s">
        <v>3913</v>
      </c>
      <c r="N481" s="6" t="s">
        <v>3914</v>
      </c>
      <c r="O481" s="6" t="str">
        <f>HYPERLINK("https://ceds.ed.gov/cedselementdetails.aspx?termid=5667")</f>
        <v>https://ceds.ed.gov/cedselementdetails.aspx?termid=5667</v>
      </c>
      <c r="P481" s="6" t="str">
        <f>HYPERLINK("https://ceds.ed.gov/elementComment.aspx?elementName=Learning Standard Item Statement &amp;elementID=5667", "Click here to submit comment")</f>
        <v>Click here to submit comment</v>
      </c>
    </row>
    <row r="482" spans="1:16" ht="75">
      <c r="A482" s="6" t="s">
        <v>6715</v>
      </c>
      <c r="B482" s="6" t="s">
        <v>6784</v>
      </c>
      <c r="C482" s="6" t="s">
        <v>6785</v>
      </c>
      <c r="D482" s="6" t="s">
        <v>3931</v>
      </c>
      <c r="E482" s="6" t="s">
        <v>3932</v>
      </c>
      <c r="F482" s="6" t="s">
        <v>13</v>
      </c>
      <c r="G482" s="6" t="s">
        <v>493</v>
      </c>
      <c r="H482" s="6"/>
      <c r="I482" s="6" t="s">
        <v>106</v>
      </c>
      <c r="J482" s="6"/>
      <c r="K482" s="6"/>
      <c r="L482" s="6" t="s">
        <v>3933</v>
      </c>
      <c r="M482" s="6" t="s">
        <v>3934</v>
      </c>
      <c r="N482" s="6" t="s">
        <v>3935</v>
      </c>
      <c r="O482" s="6" t="str">
        <f>HYPERLINK("https://ceds.ed.gov/cedselementdetails.aspx?termid=5668")</f>
        <v>https://ceds.ed.gov/cedselementdetails.aspx?termid=5668</v>
      </c>
      <c r="P482" s="6" t="str">
        <f>HYPERLINK("https://ceds.ed.gov/elementComment.aspx?elementName=Learning Standard Item Type &amp;elementID=5668", "Click here to submit comment")</f>
        <v>Click here to submit comment</v>
      </c>
    </row>
    <row r="483" spans="1:16" ht="75">
      <c r="A483" s="6" t="s">
        <v>6715</v>
      </c>
      <c r="B483" s="6" t="s">
        <v>6784</v>
      </c>
      <c r="C483" s="6" t="s">
        <v>6785</v>
      </c>
      <c r="D483" s="6" t="s">
        <v>1238</v>
      </c>
      <c r="E483" s="6" t="s">
        <v>1239</v>
      </c>
      <c r="F483" s="6" t="s">
        <v>13</v>
      </c>
      <c r="G483" s="6" t="s">
        <v>5992</v>
      </c>
      <c r="H483" s="6"/>
      <c r="I483" s="6" t="s">
        <v>1240</v>
      </c>
      <c r="J483" s="6"/>
      <c r="K483" s="6"/>
      <c r="L483" s="6" t="s">
        <v>1241</v>
      </c>
      <c r="M483" s="6"/>
      <c r="N483" s="6" t="s">
        <v>1242</v>
      </c>
      <c r="O483" s="6" t="str">
        <f>HYPERLINK("https://ceds.ed.gov/cedselementdetails.aspx?termid=5400")</f>
        <v>https://ceds.ed.gov/cedselementdetails.aspx?termid=5400</v>
      </c>
      <c r="P483" s="6" t="str">
        <f>HYPERLINK("https://ceds.ed.gov/elementComment.aspx?elementName=Assessment Session Administrator Identifier &amp;elementID=5400", "Click here to submit comment")</f>
        <v>Click here to submit comment</v>
      </c>
    </row>
    <row r="484" spans="1:16" ht="45">
      <c r="A484" s="6" t="s">
        <v>6715</v>
      </c>
      <c r="B484" s="6" t="s">
        <v>6784</v>
      </c>
      <c r="C484" s="6" t="s">
        <v>6785</v>
      </c>
      <c r="D484" s="6" t="s">
        <v>1252</v>
      </c>
      <c r="E484" s="6" t="s">
        <v>1253</v>
      </c>
      <c r="F484" s="6" t="s">
        <v>13</v>
      </c>
      <c r="G484" s="6" t="s">
        <v>5992</v>
      </c>
      <c r="H484" s="6"/>
      <c r="I484" s="6" t="s">
        <v>1240</v>
      </c>
      <c r="J484" s="6"/>
      <c r="K484" s="6" t="s">
        <v>1254</v>
      </c>
      <c r="L484" s="6" t="s">
        <v>1255</v>
      </c>
      <c r="M484" s="6"/>
      <c r="N484" s="6" t="s">
        <v>1256</v>
      </c>
      <c r="O484" s="6" t="str">
        <f>HYPERLINK("https://ceds.ed.gov/cedselementdetails.aspx?termid=5401")</f>
        <v>https://ceds.ed.gov/cedselementdetails.aspx?termid=5401</v>
      </c>
      <c r="P484" s="6" t="str">
        <f>HYPERLINK("https://ceds.ed.gov/elementComment.aspx?elementName=Assessment Session Proctor Identifier &amp;elementID=5401", "Click here to submit comment")</f>
        <v>Click here to submit comment</v>
      </c>
    </row>
    <row r="485" spans="1:16" ht="45">
      <c r="A485" s="6" t="s">
        <v>6715</v>
      </c>
      <c r="B485" s="6" t="s">
        <v>6784</v>
      </c>
      <c r="C485" s="6" t="s">
        <v>6785</v>
      </c>
      <c r="D485" s="6" t="s">
        <v>937</v>
      </c>
      <c r="E485" s="6" t="s">
        <v>938</v>
      </c>
      <c r="F485" s="5" t="s">
        <v>939</v>
      </c>
      <c r="G485" s="6"/>
      <c r="H485" s="6"/>
      <c r="I485" s="6"/>
      <c r="J485" s="6"/>
      <c r="K485" s="6"/>
      <c r="L485" s="6" t="s">
        <v>940</v>
      </c>
      <c r="M485" s="6"/>
      <c r="N485" s="6" t="s">
        <v>941</v>
      </c>
      <c r="O485" s="6" t="str">
        <f>HYPERLINK("https://ceds.ed.gov/cedselementdetails.aspx?termid=6073")</f>
        <v>https://ceds.ed.gov/cedselementdetails.aspx?termid=6073</v>
      </c>
      <c r="P485" s="6" t="str">
        <f>HYPERLINK("https://ceds.ed.gov/elementComment.aspx?elementName=Assessment Language &amp;elementID=6073", "Click here to submit comment")</f>
        <v>Click here to submit comment</v>
      </c>
    </row>
    <row r="486" spans="1:16" ht="45">
      <c r="A486" s="6" t="s">
        <v>6715</v>
      </c>
      <c r="B486" s="6" t="s">
        <v>6784</v>
      </c>
      <c r="C486" s="6" t="s">
        <v>6785</v>
      </c>
      <c r="D486" s="6" t="s">
        <v>1247</v>
      </c>
      <c r="E486" s="6" t="s">
        <v>1248</v>
      </c>
      <c r="F486" s="6" t="s">
        <v>13</v>
      </c>
      <c r="G486" s="6" t="s">
        <v>5992</v>
      </c>
      <c r="H486" s="6"/>
      <c r="I486" s="6" t="s">
        <v>1249</v>
      </c>
      <c r="J486" s="6"/>
      <c r="K486" s="6"/>
      <c r="L486" s="6" t="s">
        <v>1250</v>
      </c>
      <c r="M486" s="6"/>
      <c r="N486" s="6" t="s">
        <v>1251</v>
      </c>
      <c r="O486" s="6" t="str">
        <f>HYPERLINK("https://ceds.ed.gov/cedselementdetails.aspx?termid=5590")</f>
        <v>https://ceds.ed.gov/cedselementdetails.aspx?termid=5590</v>
      </c>
      <c r="P486" s="6" t="str">
        <f>HYPERLINK("https://ceds.ed.gov/elementComment.aspx?elementName=Assessment Session Location &amp;elementID=5590", "Click here to submit comment")</f>
        <v>Click here to submit comment</v>
      </c>
    </row>
    <row r="487" spans="1:16" ht="45">
      <c r="A487" s="6" t="s">
        <v>6715</v>
      </c>
      <c r="B487" s="6" t="s">
        <v>6784</v>
      </c>
      <c r="C487" s="6" t="s">
        <v>6785</v>
      </c>
      <c r="D487" s="6" t="s">
        <v>522</v>
      </c>
      <c r="E487" s="6" t="s">
        <v>523</v>
      </c>
      <c r="F487" s="6" t="s">
        <v>13</v>
      </c>
      <c r="G487" s="6"/>
      <c r="H487" s="6"/>
      <c r="I487" s="6" t="s">
        <v>319</v>
      </c>
      <c r="J487" s="6"/>
      <c r="K487" s="6"/>
      <c r="L487" s="6" t="s">
        <v>524</v>
      </c>
      <c r="M487" s="6"/>
      <c r="N487" s="6" t="s">
        <v>525</v>
      </c>
      <c r="O487" s="6" t="str">
        <f>HYPERLINK("https://ceds.ed.gov/cedselementdetails.aspx?termid=6139")</f>
        <v>https://ceds.ed.gov/cedselementdetails.aspx?termid=6139</v>
      </c>
      <c r="P487" s="6" t="str">
        <f>HYPERLINK("https://ceds.ed.gov/elementComment.aspx?elementName=Assessment Form Platforms Supported &amp;elementID=6139", "Click here to submit comment")</f>
        <v>Click here to submit comment</v>
      </c>
    </row>
    <row r="488" spans="1:16" ht="45">
      <c r="A488" s="6" t="s">
        <v>6715</v>
      </c>
      <c r="B488" s="6" t="s">
        <v>6784</v>
      </c>
      <c r="C488" s="6" t="s">
        <v>6785</v>
      </c>
      <c r="D488" s="6" t="s">
        <v>441</v>
      </c>
      <c r="E488" s="6" t="s">
        <v>442</v>
      </c>
      <c r="F488" s="6" t="s">
        <v>13</v>
      </c>
      <c r="G488" s="6"/>
      <c r="H488" s="6"/>
      <c r="I488" s="6" t="s">
        <v>426</v>
      </c>
      <c r="J488" s="6"/>
      <c r="K488" s="6"/>
      <c r="L488" s="6" t="s">
        <v>443</v>
      </c>
      <c r="M488" s="6"/>
      <c r="N488" s="6" t="s">
        <v>444</v>
      </c>
      <c r="O488" s="6" t="str">
        <f>HYPERLINK("https://ceds.ed.gov/cedselementdetails.aspx?termid=5964")</f>
        <v>https://ceds.ed.gov/cedselementdetails.aspx?termid=5964</v>
      </c>
      <c r="P488" s="6" t="str">
        <f>HYPERLINK("https://ceds.ed.gov/elementComment.aspx?elementName=Assessment Administration Start Time &amp;elementID=5964", "Click here to submit comment")</f>
        <v>Click here to submit comment</v>
      </c>
    </row>
    <row r="489" spans="1:16" ht="45">
      <c r="A489" s="6" t="s">
        <v>6715</v>
      </c>
      <c r="B489" s="6" t="s">
        <v>6784</v>
      </c>
      <c r="C489" s="6" t="s">
        <v>6785</v>
      </c>
      <c r="D489" s="6" t="s">
        <v>424</v>
      </c>
      <c r="E489" s="6" t="s">
        <v>425</v>
      </c>
      <c r="F489" s="6" t="s">
        <v>13</v>
      </c>
      <c r="G489" s="6"/>
      <c r="H489" s="6"/>
      <c r="I489" s="6" t="s">
        <v>426</v>
      </c>
      <c r="J489" s="6"/>
      <c r="K489" s="6"/>
      <c r="L489" s="6" t="s">
        <v>427</v>
      </c>
      <c r="M489" s="6"/>
      <c r="N489" s="6" t="s">
        <v>428</v>
      </c>
      <c r="O489" s="6" t="str">
        <f>HYPERLINK("https://ceds.ed.gov/cedselementdetails.aspx?termid=5966")</f>
        <v>https://ceds.ed.gov/cedselementdetails.aspx?termid=5966</v>
      </c>
      <c r="P489" s="6" t="str">
        <f>HYPERLINK("https://ceds.ed.gov/elementComment.aspx?elementName=Assessment Administration Finish Time &amp;elementID=5966", "Click here to submit comment")</f>
        <v>Click here to submit comment</v>
      </c>
    </row>
    <row r="490" spans="1:16" ht="45">
      <c r="A490" s="6" t="s">
        <v>6715</v>
      </c>
      <c r="B490" s="6" t="s">
        <v>6784</v>
      </c>
      <c r="C490" s="6" t="s">
        <v>6785</v>
      </c>
      <c r="D490" s="6" t="s">
        <v>1261</v>
      </c>
      <c r="E490" s="6" t="s">
        <v>1262</v>
      </c>
      <c r="F490" s="6" t="s">
        <v>13</v>
      </c>
      <c r="G490" s="6"/>
      <c r="H490" s="6"/>
      <c r="I490" s="6" t="s">
        <v>1168</v>
      </c>
      <c r="J490" s="6"/>
      <c r="K490" s="6"/>
      <c r="L490" s="6" t="s">
        <v>1263</v>
      </c>
      <c r="M490" s="6"/>
      <c r="N490" s="6" t="s">
        <v>1264</v>
      </c>
      <c r="O490" s="6" t="str">
        <f>HYPERLINK("https://ceds.ed.gov/cedselementdetails.aspx?termid=6021")</f>
        <v>https://ceds.ed.gov/cedselementdetails.aspx?termid=6021</v>
      </c>
      <c r="P490" s="6" t="str">
        <f>HYPERLINK("https://ceds.ed.gov/elementComment.aspx?elementName=Assessment Session Scheduled Start Date Time &amp;elementID=6021", "Click here to submit comment")</f>
        <v>Click here to submit comment</v>
      </c>
    </row>
    <row r="491" spans="1:16" ht="45">
      <c r="A491" s="6" t="s">
        <v>6715</v>
      </c>
      <c r="B491" s="6" t="s">
        <v>6784</v>
      </c>
      <c r="C491" s="6" t="s">
        <v>6785</v>
      </c>
      <c r="D491" s="6" t="s">
        <v>1257</v>
      </c>
      <c r="E491" s="6" t="s">
        <v>1258</v>
      </c>
      <c r="F491" s="6" t="s">
        <v>13</v>
      </c>
      <c r="G491" s="6"/>
      <c r="H491" s="6"/>
      <c r="I491" s="6" t="s">
        <v>1168</v>
      </c>
      <c r="J491" s="6"/>
      <c r="K491" s="6"/>
      <c r="L491" s="6" t="s">
        <v>1259</v>
      </c>
      <c r="M491" s="6"/>
      <c r="N491" s="6" t="s">
        <v>1260</v>
      </c>
      <c r="O491" s="6" t="str">
        <f>HYPERLINK("https://ceds.ed.gov/cedselementdetails.aspx?termid=6022")</f>
        <v>https://ceds.ed.gov/cedselementdetails.aspx?termid=6022</v>
      </c>
      <c r="P491" s="6" t="str">
        <f>HYPERLINK("https://ceds.ed.gov/elementComment.aspx?elementName=Assessment Session Scheduled End Date Time &amp;elementID=6022", "Click here to submit comment")</f>
        <v>Click here to submit comment</v>
      </c>
    </row>
    <row r="492" spans="1:16" ht="90">
      <c r="A492" s="6" t="s">
        <v>6715</v>
      </c>
      <c r="B492" s="6" t="s">
        <v>6784</v>
      </c>
      <c r="C492" s="6" t="s">
        <v>6785</v>
      </c>
      <c r="D492" s="6" t="s">
        <v>1233</v>
      </c>
      <c r="E492" s="6" t="s">
        <v>1234</v>
      </c>
      <c r="F492" s="6" t="s">
        <v>13</v>
      </c>
      <c r="G492" s="6"/>
      <c r="H492" s="6"/>
      <c r="I492" s="6" t="s">
        <v>1168</v>
      </c>
      <c r="J492" s="6"/>
      <c r="K492" s="6" t="s">
        <v>1235</v>
      </c>
      <c r="L492" s="6" t="s">
        <v>1236</v>
      </c>
      <c r="M492" s="6"/>
      <c r="N492" s="6" t="s">
        <v>1237</v>
      </c>
      <c r="O492" s="6" t="str">
        <f>HYPERLINK("https://ceds.ed.gov/cedselementdetails.aspx?termid=6023")</f>
        <v>https://ceds.ed.gov/cedselementdetails.aspx?termid=6023</v>
      </c>
      <c r="P492" s="6" t="str">
        <f>HYPERLINK("https://ceds.ed.gov/elementComment.aspx?elementName=Assessment Session Actual Start Date Time &amp;elementID=6023", "Click here to submit comment")</f>
        <v>Click here to submit comment</v>
      </c>
    </row>
    <row r="493" spans="1:16" ht="90">
      <c r="A493" s="6" t="s">
        <v>6715</v>
      </c>
      <c r="B493" s="6" t="s">
        <v>6784</v>
      </c>
      <c r="C493" s="6" t="s">
        <v>6785</v>
      </c>
      <c r="D493" s="6" t="s">
        <v>1228</v>
      </c>
      <c r="E493" s="6" t="s">
        <v>1229</v>
      </c>
      <c r="F493" s="6" t="s">
        <v>13</v>
      </c>
      <c r="G493" s="6"/>
      <c r="H493" s="6"/>
      <c r="I493" s="6" t="s">
        <v>1168</v>
      </c>
      <c r="J493" s="6"/>
      <c r="K493" s="6" t="s">
        <v>1230</v>
      </c>
      <c r="L493" s="6" t="s">
        <v>1231</v>
      </c>
      <c r="M493" s="6"/>
      <c r="N493" s="6" t="s">
        <v>1232</v>
      </c>
      <c r="O493" s="6" t="str">
        <f>HYPERLINK("https://ceds.ed.gov/cedselementdetails.aspx?termid=6024")</f>
        <v>https://ceds.ed.gov/cedselementdetails.aspx?termid=6024</v>
      </c>
      <c r="P493" s="6" t="str">
        <f>HYPERLINK("https://ceds.ed.gov/elementComment.aspx?elementName=Assessment Session Actual End Date Time &amp;elementID=6024", "Click here to submit comment")</f>
        <v>Click here to submit comment</v>
      </c>
    </row>
    <row r="494" spans="1:16" ht="409.5">
      <c r="A494" s="6" t="s">
        <v>6715</v>
      </c>
      <c r="B494" s="6" t="s">
        <v>6784</v>
      </c>
      <c r="C494" s="6" t="s">
        <v>6785</v>
      </c>
      <c r="D494" s="6" t="s">
        <v>1966</v>
      </c>
      <c r="E494" s="6" t="s">
        <v>1967</v>
      </c>
      <c r="F494" s="7" t="s">
        <v>6398</v>
      </c>
      <c r="G494" s="6" t="s">
        <v>6121</v>
      </c>
      <c r="H494" s="6" t="s">
        <v>66</v>
      </c>
      <c r="I494" s="6"/>
      <c r="J494" s="6" t="s">
        <v>1968</v>
      </c>
      <c r="K494" s="6"/>
      <c r="L494" s="6" t="s">
        <v>1969</v>
      </c>
      <c r="M494" s="6"/>
      <c r="N494" s="6" t="s">
        <v>1970</v>
      </c>
      <c r="O494" s="6" t="str">
        <f>HYPERLINK("https://ceds.ed.gov/cedselementdetails.aspx?termid=5027")</f>
        <v>https://ceds.ed.gov/cedselementdetails.aspx?termid=5027</v>
      </c>
      <c r="P494" s="6" t="str">
        <f>HYPERLINK("https://ceds.ed.gov/elementComment.aspx?elementName=Course Section Assessment Reporting Method &amp;elementID=5027", "Click here to submit comment")</f>
        <v>Click here to submit comment</v>
      </c>
    </row>
    <row r="495" spans="1:16" ht="409.5">
      <c r="A495" s="6" t="s">
        <v>6715</v>
      </c>
      <c r="B495" s="6" t="s">
        <v>6784</v>
      </c>
      <c r="C495" s="6" t="s">
        <v>6785</v>
      </c>
      <c r="D495" s="6" t="s">
        <v>1269</v>
      </c>
      <c r="E495" s="6" t="s">
        <v>1270</v>
      </c>
      <c r="F495" s="7" t="s">
        <v>6403</v>
      </c>
      <c r="G495" s="6" t="s">
        <v>5992</v>
      </c>
      <c r="H495" s="6"/>
      <c r="I495" s="6"/>
      <c r="J495" s="6"/>
      <c r="K495" s="6"/>
      <c r="L495" s="6" t="s">
        <v>1271</v>
      </c>
      <c r="M495" s="6"/>
      <c r="N495" s="6" t="s">
        <v>1272</v>
      </c>
      <c r="O495" s="6" t="str">
        <f>HYPERLINK("https://ceds.ed.gov/cedselementdetails.aspx?termid=5380")</f>
        <v>https://ceds.ed.gov/cedselementdetails.aspx?termid=5380</v>
      </c>
      <c r="P495" s="6" t="str">
        <f>HYPERLINK("https://ceds.ed.gov/elementComment.aspx?elementName=Assessment Session Special Circumstance Type &amp;elementID=5380", "Click here to submit comment")</f>
        <v>Click here to submit comment</v>
      </c>
    </row>
    <row r="496" spans="1:16" ht="75">
      <c r="A496" s="6" t="s">
        <v>6715</v>
      </c>
      <c r="B496" s="6" t="s">
        <v>6784</v>
      </c>
      <c r="C496" s="6" t="s">
        <v>6785</v>
      </c>
      <c r="D496" s="6" t="s">
        <v>1182</v>
      </c>
      <c r="E496" s="6" t="s">
        <v>1183</v>
      </c>
      <c r="F496" s="7" t="s">
        <v>6401</v>
      </c>
      <c r="G496" s="6" t="s">
        <v>6051</v>
      </c>
      <c r="H496" s="6"/>
      <c r="I496" s="6"/>
      <c r="J496" s="6"/>
      <c r="K496" s="6"/>
      <c r="L496" s="6" t="s">
        <v>1184</v>
      </c>
      <c r="M496" s="6"/>
      <c r="N496" s="6" t="s">
        <v>1185</v>
      </c>
      <c r="O496" s="6" t="str">
        <f>HYPERLINK("https://ceds.ed.gov/cedselementdetails.aspx?termid=5025")</f>
        <v>https://ceds.ed.gov/cedselementdetails.aspx?termid=5025</v>
      </c>
      <c r="P496" s="6" t="str">
        <f>HYPERLINK("https://ceds.ed.gov/elementComment.aspx?elementName=Assessment Registration Participation Indicator &amp;elementID=5025", "Click here to submit comment")</f>
        <v>Click here to submit comment</v>
      </c>
    </row>
    <row r="497" spans="1:16" ht="240">
      <c r="A497" s="6" t="s">
        <v>6715</v>
      </c>
      <c r="B497" s="6" t="s">
        <v>6784</v>
      </c>
      <c r="C497" s="6" t="s">
        <v>6785</v>
      </c>
      <c r="D497" s="6" t="s">
        <v>3846</v>
      </c>
      <c r="E497" s="6" t="s">
        <v>3847</v>
      </c>
      <c r="F497" s="6" t="s">
        <v>5963</v>
      </c>
      <c r="G497" s="6"/>
      <c r="H497" s="6" t="s">
        <v>54</v>
      </c>
      <c r="I497" s="6"/>
      <c r="J497" s="6"/>
      <c r="K497" s="6" t="s">
        <v>3848</v>
      </c>
      <c r="L497" s="6" t="s">
        <v>3849</v>
      </c>
      <c r="M497" s="6"/>
      <c r="N497" s="6" t="s">
        <v>3850</v>
      </c>
      <c r="O497" s="6" t="str">
        <f>HYPERLINK("https://ceds.ed.gov/cedselementdetails.aspx?termid=6499")</f>
        <v>https://ceds.ed.gov/cedselementdetails.aspx?termid=6499</v>
      </c>
      <c r="P497" s="6" t="str">
        <f>HYPERLINK("https://ceds.ed.gov/elementComment.aspx?elementName=Learning Standard Item Current Version Indicator &amp;elementID=6499", "Click here to submit comment")</f>
        <v>Click here to submit comment</v>
      </c>
    </row>
    <row r="498" spans="1:16" ht="60">
      <c r="A498" s="6" t="s">
        <v>6715</v>
      </c>
      <c r="B498" s="6" t="s">
        <v>6784</v>
      </c>
      <c r="C498" s="6" t="s">
        <v>6785</v>
      </c>
      <c r="D498" s="6" t="s">
        <v>3945</v>
      </c>
      <c r="E498" s="6" t="s">
        <v>3946</v>
      </c>
      <c r="F498" s="6" t="s">
        <v>13</v>
      </c>
      <c r="G498" s="6"/>
      <c r="H498" s="6" t="s">
        <v>54</v>
      </c>
      <c r="I498" s="6" t="s">
        <v>73</v>
      </c>
      <c r="J498" s="6"/>
      <c r="K498" s="6" t="s">
        <v>3947</v>
      </c>
      <c r="L498" s="6" t="s">
        <v>3948</v>
      </c>
      <c r="M498" s="6"/>
      <c r="N498" s="6" t="s">
        <v>3949</v>
      </c>
      <c r="O498" s="6" t="str">
        <f>HYPERLINK("https://ceds.ed.gov/cedselementdetails.aspx?termid=6483")</f>
        <v>https://ceds.ed.gov/cedselementdetails.aspx?termid=6483</v>
      </c>
      <c r="P498" s="6" t="str">
        <f>HYPERLINK("https://ceds.ed.gov/elementComment.aspx?elementName=Learning Standard Item Valid End Date &amp;elementID=6483", "Click here to submit comment")</f>
        <v>Click here to submit comment</v>
      </c>
    </row>
    <row r="499" spans="1:16" ht="45">
      <c r="A499" s="6" t="s">
        <v>6715</v>
      </c>
      <c r="B499" s="6" t="s">
        <v>6784</v>
      </c>
      <c r="C499" s="6" t="s">
        <v>6785</v>
      </c>
      <c r="D499" s="6" t="s">
        <v>3950</v>
      </c>
      <c r="E499" s="6" t="s">
        <v>3951</v>
      </c>
      <c r="F499" s="6" t="s">
        <v>13</v>
      </c>
      <c r="G499" s="6"/>
      <c r="H499" s="6" t="s">
        <v>54</v>
      </c>
      <c r="I499" s="6" t="s">
        <v>73</v>
      </c>
      <c r="J499" s="6"/>
      <c r="K499" s="6"/>
      <c r="L499" s="6" t="s">
        <v>3952</v>
      </c>
      <c r="M499" s="6"/>
      <c r="N499" s="6" t="s">
        <v>3953</v>
      </c>
      <c r="O499" s="6" t="str">
        <f>HYPERLINK("https://ceds.ed.gov/cedselementdetails.aspx?termid=6484")</f>
        <v>https://ceds.ed.gov/cedselementdetails.aspx?termid=6484</v>
      </c>
      <c r="P499" s="6" t="str">
        <f>HYPERLINK("https://ceds.ed.gov/elementComment.aspx?elementName=Learning Standard Item Valid Start Date &amp;elementID=6484", "Click here to submit comment")</f>
        <v>Click here to submit comment</v>
      </c>
    </row>
    <row r="500" spans="1:16" ht="45">
      <c r="A500" s="6" t="s">
        <v>6715</v>
      </c>
      <c r="B500" s="6" t="s">
        <v>6784</v>
      </c>
      <c r="C500" s="6" t="s">
        <v>6786</v>
      </c>
      <c r="D500" s="6" t="s">
        <v>437</v>
      </c>
      <c r="E500" s="6" t="s">
        <v>438</v>
      </c>
      <c r="F500" s="6" t="s">
        <v>13</v>
      </c>
      <c r="G500" s="6"/>
      <c r="H500" s="6"/>
      <c r="I500" s="6" t="s">
        <v>73</v>
      </c>
      <c r="J500" s="6"/>
      <c r="K500" s="6"/>
      <c r="L500" s="6" t="s">
        <v>439</v>
      </c>
      <c r="M500" s="6"/>
      <c r="N500" s="6" t="s">
        <v>440</v>
      </c>
      <c r="O500" s="6" t="str">
        <f>HYPERLINK("https://ceds.ed.gov/cedselementdetails.aspx?termid=5963")</f>
        <v>https://ceds.ed.gov/cedselementdetails.aspx?termid=5963</v>
      </c>
      <c r="P500" s="6" t="str">
        <f>HYPERLINK("https://ceds.ed.gov/elementComment.aspx?elementName=Assessment Administration Start Date &amp;elementID=5963", "Click here to submit comment")</f>
        <v>Click here to submit comment</v>
      </c>
    </row>
    <row r="501" spans="1:16" ht="45">
      <c r="A501" s="6" t="s">
        <v>6715</v>
      </c>
      <c r="B501" s="6" t="s">
        <v>6784</v>
      </c>
      <c r="C501" s="6" t="s">
        <v>6786</v>
      </c>
      <c r="D501" s="6" t="s">
        <v>441</v>
      </c>
      <c r="E501" s="6" t="s">
        <v>442</v>
      </c>
      <c r="F501" s="6" t="s">
        <v>13</v>
      </c>
      <c r="G501" s="6"/>
      <c r="H501" s="6"/>
      <c r="I501" s="6" t="s">
        <v>426</v>
      </c>
      <c r="J501" s="6"/>
      <c r="K501" s="6"/>
      <c r="L501" s="6" t="s">
        <v>443</v>
      </c>
      <c r="M501" s="6"/>
      <c r="N501" s="6" t="s">
        <v>444</v>
      </c>
      <c r="O501" s="6" t="str">
        <f>HYPERLINK("https://ceds.ed.gov/cedselementdetails.aspx?termid=5964")</f>
        <v>https://ceds.ed.gov/cedselementdetails.aspx?termid=5964</v>
      </c>
      <c r="P501" s="6" t="str">
        <f>HYPERLINK("https://ceds.ed.gov/elementComment.aspx?elementName=Assessment Administration Start Time &amp;elementID=5964", "Click here to submit comment")</f>
        <v>Click here to submit comment</v>
      </c>
    </row>
    <row r="502" spans="1:16" ht="45">
      <c r="A502" s="6" t="s">
        <v>6715</v>
      </c>
      <c r="B502" s="6" t="s">
        <v>6784</v>
      </c>
      <c r="C502" s="6" t="s">
        <v>6786</v>
      </c>
      <c r="D502" s="6" t="s">
        <v>420</v>
      </c>
      <c r="E502" s="6" t="s">
        <v>421</v>
      </c>
      <c r="F502" s="6" t="s">
        <v>13</v>
      </c>
      <c r="G502" s="6"/>
      <c r="H502" s="6"/>
      <c r="I502" s="6" t="s">
        <v>73</v>
      </c>
      <c r="J502" s="6"/>
      <c r="K502" s="6"/>
      <c r="L502" s="6" t="s">
        <v>422</v>
      </c>
      <c r="M502" s="6"/>
      <c r="N502" s="6" t="s">
        <v>423</v>
      </c>
      <c r="O502" s="6" t="str">
        <f>HYPERLINK("https://ceds.ed.gov/cedselementdetails.aspx?termid=5965")</f>
        <v>https://ceds.ed.gov/cedselementdetails.aspx?termid=5965</v>
      </c>
      <c r="P502" s="6" t="str">
        <f>HYPERLINK("https://ceds.ed.gov/elementComment.aspx?elementName=Assessment Administration Finish Date &amp;elementID=5965", "Click here to submit comment")</f>
        <v>Click here to submit comment</v>
      </c>
    </row>
    <row r="503" spans="1:16" ht="45">
      <c r="A503" s="6" t="s">
        <v>6715</v>
      </c>
      <c r="B503" s="6" t="s">
        <v>6784</v>
      </c>
      <c r="C503" s="6" t="s">
        <v>6786</v>
      </c>
      <c r="D503" s="6" t="s">
        <v>424</v>
      </c>
      <c r="E503" s="6" t="s">
        <v>425</v>
      </c>
      <c r="F503" s="6" t="s">
        <v>13</v>
      </c>
      <c r="G503" s="6"/>
      <c r="H503" s="6"/>
      <c r="I503" s="6" t="s">
        <v>426</v>
      </c>
      <c r="J503" s="6"/>
      <c r="K503" s="6"/>
      <c r="L503" s="6" t="s">
        <v>427</v>
      </c>
      <c r="M503" s="6"/>
      <c r="N503" s="6" t="s">
        <v>428</v>
      </c>
      <c r="O503" s="6" t="str">
        <f>HYPERLINK("https://ceds.ed.gov/cedselementdetails.aspx?termid=5966")</f>
        <v>https://ceds.ed.gov/cedselementdetails.aspx?termid=5966</v>
      </c>
      <c r="P503" s="6" t="str">
        <f>HYPERLINK("https://ceds.ed.gov/elementComment.aspx?elementName=Assessment Administration Finish Time &amp;elementID=5966", "Click here to submit comment")</f>
        <v>Click here to submit comment</v>
      </c>
    </row>
    <row r="504" spans="1:16" ht="45">
      <c r="A504" s="6" t="s">
        <v>6715</v>
      </c>
      <c r="B504" s="6" t="s">
        <v>6784</v>
      </c>
      <c r="C504" s="6" t="s">
        <v>6786</v>
      </c>
      <c r="D504" s="6" t="s">
        <v>937</v>
      </c>
      <c r="E504" s="6" t="s">
        <v>938</v>
      </c>
      <c r="F504" s="5" t="s">
        <v>939</v>
      </c>
      <c r="G504" s="6"/>
      <c r="H504" s="6"/>
      <c r="I504" s="6"/>
      <c r="J504" s="6"/>
      <c r="K504" s="6"/>
      <c r="L504" s="6" t="s">
        <v>940</v>
      </c>
      <c r="M504" s="6"/>
      <c r="N504" s="6" t="s">
        <v>941</v>
      </c>
      <c r="O504" s="6" t="str">
        <f>HYPERLINK("https://ceds.ed.gov/cedselementdetails.aspx?termid=6073")</f>
        <v>https://ceds.ed.gov/cedselementdetails.aspx?termid=6073</v>
      </c>
      <c r="P504" s="6" t="str">
        <f>HYPERLINK("https://ceds.ed.gov/elementComment.aspx?elementName=Assessment Language &amp;elementID=6073", "Click here to submit comment")</f>
        <v>Click here to submit comment</v>
      </c>
    </row>
    <row r="505" spans="1:16" ht="45">
      <c r="A505" s="6" t="s">
        <v>6715</v>
      </c>
      <c r="B505" s="6" t="s">
        <v>6784</v>
      </c>
      <c r="C505" s="6" t="s">
        <v>6786</v>
      </c>
      <c r="D505" s="6" t="s">
        <v>522</v>
      </c>
      <c r="E505" s="6" t="s">
        <v>523</v>
      </c>
      <c r="F505" s="6" t="s">
        <v>13</v>
      </c>
      <c r="G505" s="6"/>
      <c r="H505" s="6"/>
      <c r="I505" s="6" t="s">
        <v>319</v>
      </c>
      <c r="J505" s="6"/>
      <c r="K505" s="6"/>
      <c r="L505" s="6" t="s">
        <v>524</v>
      </c>
      <c r="M505" s="6"/>
      <c r="N505" s="6" t="s">
        <v>525</v>
      </c>
      <c r="O505" s="6" t="str">
        <f>HYPERLINK("https://ceds.ed.gov/cedselementdetails.aspx?termid=6139")</f>
        <v>https://ceds.ed.gov/cedselementdetails.aspx?termid=6139</v>
      </c>
      <c r="P505" s="6" t="str">
        <f>HYPERLINK("https://ceds.ed.gov/elementComment.aspx?elementName=Assessment Form Platforms Supported &amp;elementID=6139", "Click here to submit comment")</f>
        <v>Click here to submit comment</v>
      </c>
    </row>
    <row r="506" spans="1:16" ht="120">
      <c r="A506" s="6" t="s">
        <v>6715</v>
      </c>
      <c r="B506" s="6" t="s">
        <v>6784</v>
      </c>
      <c r="C506" s="6" t="s">
        <v>6786</v>
      </c>
      <c r="D506" s="6" t="s">
        <v>1099</v>
      </c>
      <c r="E506" s="6" t="s">
        <v>1100</v>
      </c>
      <c r="F506" s="6" t="s">
        <v>6044</v>
      </c>
      <c r="G506" s="6" t="s">
        <v>6018</v>
      </c>
      <c r="H506" s="6"/>
      <c r="I506" s="6"/>
      <c r="J506" s="6"/>
      <c r="K506" s="6"/>
      <c r="L506" s="6" t="s">
        <v>1101</v>
      </c>
      <c r="M506" s="6"/>
      <c r="N506" s="6" t="s">
        <v>1102</v>
      </c>
      <c r="O506" s="6" t="str">
        <f>HYPERLINK("https://ceds.ed.gov/cedselementdetails.aspx?termid=5377")</f>
        <v>https://ceds.ed.gov/cedselementdetails.aspx?termid=5377</v>
      </c>
      <c r="P506" s="6" t="str">
        <f>HYPERLINK("https://ceds.ed.gov/elementComment.aspx?elementName=Assessment Participant Session Platform Type &amp;elementID=5377", "Click here to submit comment")</f>
        <v>Click here to submit comment</v>
      </c>
    </row>
    <row r="507" spans="1:16" ht="135">
      <c r="A507" s="6" t="s">
        <v>6715</v>
      </c>
      <c r="B507" s="6" t="s">
        <v>6784</v>
      </c>
      <c r="C507" s="6" t="s">
        <v>6786</v>
      </c>
      <c r="D507" s="6" t="s">
        <v>1103</v>
      </c>
      <c r="E507" s="6" t="s">
        <v>1104</v>
      </c>
      <c r="F507" s="6" t="s">
        <v>13</v>
      </c>
      <c r="G507" s="6"/>
      <c r="H507" s="6"/>
      <c r="I507" s="6" t="s">
        <v>1105</v>
      </c>
      <c r="J507" s="6"/>
      <c r="K507" s="6" t="s">
        <v>1106</v>
      </c>
      <c r="L507" s="6" t="s">
        <v>1107</v>
      </c>
      <c r="M507" s="6"/>
      <c r="N507" s="6" t="s">
        <v>1108</v>
      </c>
      <c r="O507" s="6" t="str">
        <f>HYPERLINK("https://ceds.ed.gov/cedselementdetails.aspx?termid=6112")</f>
        <v>https://ceds.ed.gov/cedselementdetails.aspx?termid=6112</v>
      </c>
      <c r="P507" s="6" t="str">
        <f>HYPERLINK("https://ceds.ed.gov/elementComment.aspx?elementName=Assessment Participant Session Platform User Agent &amp;elementID=6112", "Click here to submit comment")</f>
        <v>Click here to submit comment</v>
      </c>
    </row>
    <row r="508" spans="1:16" ht="409.5">
      <c r="A508" s="6" t="s">
        <v>6715</v>
      </c>
      <c r="B508" s="6" t="s">
        <v>6784</v>
      </c>
      <c r="C508" s="6" t="s">
        <v>6786</v>
      </c>
      <c r="D508" s="6" t="s">
        <v>1269</v>
      </c>
      <c r="E508" s="6" t="s">
        <v>1270</v>
      </c>
      <c r="F508" s="7" t="s">
        <v>6403</v>
      </c>
      <c r="G508" s="6" t="s">
        <v>5992</v>
      </c>
      <c r="H508" s="6"/>
      <c r="I508" s="6"/>
      <c r="J508" s="6"/>
      <c r="K508" s="6"/>
      <c r="L508" s="6" t="s">
        <v>1271</v>
      </c>
      <c r="M508" s="6"/>
      <c r="N508" s="6" t="s">
        <v>1272</v>
      </c>
      <c r="O508" s="6" t="str">
        <f>HYPERLINK("https://ceds.ed.gov/cedselementdetails.aspx?termid=5380")</f>
        <v>https://ceds.ed.gov/cedselementdetails.aspx?termid=5380</v>
      </c>
      <c r="P508" s="6" t="str">
        <f>HYPERLINK("https://ceds.ed.gov/elementComment.aspx?elementName=Assessment Session Special Circumstance Type &amp;elementID=5380", "Click here to submit comment")</f>
        <v>Click here to submit comment</v>
      </c>
    </row>
    <row r="509" spans="1:16" ht="75">
      <c r="A509" s="6" t="s">
        <v>6715</v>
      </c>
      <c r="B509" s="6" t="s">
        <v>6784</v>
      </c>
      <c r="C509" s="6" t="s">
        <v>6786</v>
      </c>
      <c r="D509" s="6" t="s">
        <v>1238</v>
      </c>
      <c r="E509" s="6" t="s">
        <v>1239</v>
      </c>
      <c r="F509" s="6" t="s">
        <v>13</v>
      </c>
      <c r="G509" s="6" t="s">
        <v>5992</v>
      </c>
      <c r="H509" s="6"/>
      <c r="I509" s="6" t="s">
        <v>1240</v>
      </c>
      <c r="J509" s="6"/>
      <c r="K509" s="6"/>
      <c r="L509" s="6" t="s">
        <v>1241</v>
      </c>
      <c r="M509" s="6"/>
      <c r="N509" s="6" t="s">
        <v>1242</v>
      </c>
      <c r="O509" s="6" t="str">
        <f>HYPERLINK("https://ceds.ed.gov/cedselementdetails.aspx?termid=5400")</f>
        <v>https://ceds.ed.gov/cedselementdetails.aspx?termid=5400</v>
      </c>
      <c r="P509" s="6" t="str">
        <f>HYPERLINK("https://ceds.ed.gov/elementComment.aspx?elementName=Assessment Session Administrator Identifier &amp;elementID=5400", "Click here to submit comment")</f>
        <v>Click here to submit comment</v>
      </c>
    </row>
    <row r="510" spans="1:16" ht="45">
      <c r="A510" s="6" t="s">
        <v>6715</v>
      </c>
      <c r="B510" s="6" t="s">
        <v>6784</v>
      </c>
      <c r="C510" s="6" t="s">
        <v>6786</v>
      </c>
      <c r="D510" s="6" t="s">
        <v>1252</v>
      </c>
      <c r="E510" s="6" t="s">
        <v>1253</v>
      </c>
      <c r="F510" s="6" t="s">
        <v>13</v>
      </c>
      <c r="G510" s="6" t="s">
        <v>5992</v>
      </c>
      <c r="H510" s="6"/>
      <c r="I510" s="6" t="s">
        <v>1240</v>
      </c>
      <c r="J510" s="6"/>
      <c r="K510" s="6" t="s">
        <v>1254</v>
      </c>
      <c r="L510" s="6" t="s">
        <v>1255</v>
      </c>
      <c r="M510" s="6"/>
      <c r="N510" s="6" t="s">
        <v>1256</v>
      </c>
      <c r="O510" s="6" t="str">
        <f>HYPERLINK("https://ceds.ed.gov/cedselementdetails.aspx?termid=5401")</f>
        <v>https://ceds.ed.gov/cedselementdetails.aspx?termid=5401</v>
      </c>
      <c r="P510" s="6" t="str">
        <f>HYPERLINK("https://ceds.ed.gov/elementComment.aspx?elementName=Assessment Session Proctor Identifier &amp;elementID=5401", "Click here to submit comment")</f>
        <v>Click here to submit comment</v>
      </c>
    </row>
    <row r="511" spans="1:16" ht="45">
      <c r="A511" s="6" t="s">
        <v>6715</v>
      </c>
      <c r="B511" s="6" t="s">
        <v>6784</v>
      </c>
      <c r="C511" s="6" t="s">
        <v>6786</v>
      </c>
      <c r="D511" s="6" t="s">
        <v>1247</v>
      </c>
      <c r="E511" s="6" t="s">
        <v>1248</v>
      </c>
      <c r="F511" s="6" t="s">
        <v>13</v>
      </c>
      <c r="G511" s="6" t="s">
        <v>5992</v>
      </c>
      <c r="H511" s="6"/>
      <c r="I511" s="6" t="s">
        <v>1249</v>
      </c>
      <c r="J511" s="6"/>
      <c r="K511" s="6"/>
      <c r="L511" s="6" t="s">
        <v>1250</v>
      </c>
      <c r="M511" s="6"/>
      <c r="N511" s="6" t="s">
        <v>1251</v>
      </c>
      <c r="O511" s="6" t="str">
        <f>HYPERLINK("https://ceds.ed.gov/cedselementdetails.aspx?termid=5590")</f>
        <v>https://ceds.ed.gov/cedselementdetails.aspx?termid=5590</v>
      </c>
      <c r="P511" s="6" t="str">
        <f>HYPERLINK("https://ceds.ed.gov/elementComment.aspx?elementName=Assessment Session Location &amp;elementID=5590", "Click here to submit comment")</f>
        <v>Click here to submit comment</v>
      </c>
    </row>
    <row r="512" spans="1:16" ht="285">
      <c r="A512" s="6" t="s">
        <v>6715</v>
      </c>
      <c r="B512" s="6" t="s">
        <v>6784</v>
      </c>
      <c r="C512" s="6" t="s">
        <v>6786</v>
      </c>
      <c r="D512" s="6" t="s">
        <v>399</v>
      </c>
      <c r="E512" s="6" t="s">
        <v>400</v>
      </c>
      <c r="F512" s="7" t="s">
        <v>6376</v>
      </c>
      <c r="G512" s="6" t="s">
        <v>5992</v>
      </c>
      <c r="H512" s="6" t="s">
        <v>3</v>
      </c>
      <c r="I512" s="6"/>
      <c r="J512" s="6"/>
      <c r="K512" s="6"/>
      <c r="L512" s="6" t="s">
        <v>401</v>
      </c>
      <c r="M512" s="6"/>
      <c r="N512" s="6" t="s">
        <v>402</v>
      </c>
      <c r="O512" s="6" t="str">
        <f>HYPERLINK("https://ceds.ed.gov/cedselementdetails.aspx?termid=5374")</f>
        <v>https://ceds.ed.gov/cedselementdetails.aspx?termid=5374</v>
      </c>
      <c r="P512" s="6" t="str">
        <f>HYPERLINK("https://ceds.ed.gov/elementComment.aspx?elementName=Assessment Accommodation Category &amp;elementID=5374", "Click here to submit comment")</f>
        <v>Click here to submit comment</v>
      </c>
    </row>
    <row r="513" spans="1:16" ht="45">
      <c r="A513" s="6" t="s">
        <v>6715</v>
      </c>
      <c r="B513" s="6" t="s">
        <v>6784</v>
      </c>
      <c r="C513" s="6" t="s">
        <v>6786</v>
      </c>
      <c r="D513" s="6" t="s">
        <v>838</v>
      </c>
      <c r="E513" s="6" t="s">
        <v>839</v>
      </c>
      <c r="F513" s="6" t="s">
        <v>13</v>
      </c>
      <c r="G513" s="6"/>
      <c r="H513" s="6"/>
      <c r="I513" s="6" t="s">
        <v>73</v>
      </c>
      <c r="J513" s="6"/>
      <c r="K513" s="6"/>
      <c r="L513" s="6" t="s">
        <v>840</v>
      </c>
      <c r="M513" s="6"/>
      <c r="N513" s="6" t="s">
        <v>841</v>
      </c>
      <c r="O513" s="6" t="str">
        <f>HYPERLINK("https://ceds.ed.gov/cedselementdetails.aspx?termid=5960")</f>
        <v>https://ceds.ed.gov/cedselementdetails.aspx?termid=5960</v>
      </c>
      <c r="P513" s="6" t="str">
        <f>HYPERLINK("https://ceds.ed.gov/elementComment.aspx?elementName=Assessment Item Response Start Date &amp;elementID=5960", "Click here to submit comment")</f>
        <v>Click here to submit comment</v>
      </c>
    </row>
    <row r="514" spans="1:16" ht="45">
      <c r="A514" s="6" t="s">
        <v>6715</v>
      </c>
      <c r="B514" s="6" t="s">
        <v>6784</v>
      </c>
      <c r="C514" s="6" t="s">
        <v>6786</v>
      </c>
      <c r="D514" s="6" t="s">
        <v>842</v>
      </c>
      <c r="E514" s="6" t="s">
        <v>843</v>
      </c>
      <c r="F514" s="6" t="s">
        <v>13</v>
      </c>
      <c r="G514" s="6"/>
      <c r="H514" s="6"/>
      <c r="I514" s="6" t="s">
        <v>808</v>
      </c>
      <c r="J514" s="6"/>
      <c r="K514" s="6"/>
      <c r="L514" s="6" t="s">
        <v>844</v>
      </c>
      <c r="M514" s="6"/>
      <c r="N514" s="6" t="s">
        <v>845</v>
      </c>
      <c r="O514" s="6" t="str">
        <f>HYPERLINK("https://ceds.ed.gov/cedselementdetails.aspx?termid=5959")</f>
        <v>https://ceds.ed.gov/cedselementdetails.aspx?termid=5959</v>
      </c>
      <c r="P514" s="6" t="str">
        <f>HYPERLINK("https://ceds.ed.gov/elementComment.aspx?elementName=Assessment Item Response Start Time &amp;elementID=5959", "Click here to submit comment")</f>
        <v>Click here to submit comment</v>
      </c>
    </row>
    <row r="515" spans="1:16" ht="60">
      <c r="A515" s="6" t="s">
        <v>6715</v>
      </c>
      <c r="B515" s="6" t="s">
        <v>6784</v>
      </c>
      <c r="C515" s="6" t="s">
        <v>6786</v>
      </c>
      <c r="D515" s="6" t="s">
        <v>806</v>
      </c>
      <c r="E515" s="6" t="s">
        <v>807</v>
      </c>
      <c r="F515" s="6" t="s">
        <v>13</v>
      </c>
      <c r="G515" s="6" t="s">
        <v>6018</v>
      </c>
      <c r="H515" s="6"/>
      <c r="I515" s="6" t="s">
        <v>808</v>
      </c>
      <c r="J515" s="6"/>
      <c r="K515" s="6"/>
      <c r="L515" s="6" t="s">
        <v>809</v>
      </c>
      <c r="M515" s="6"/>
      <c r="N515" s="6" t="s">
        <v>810</v>
      </c>
      <c r="O515" s="6" t="str">
        <f>HYPERLINK("https://ceds.ed.gov/cedselementdetails.aspx?termid=5394")</f>
        <v>https://ceds.ed.gov/cedselementdetails.aspx?termid=5394</v>
      </c>
      <c r="P515" s="6" t="str">
        <f>HYPERLINK("https://ceds.ed.gov/elementComment.aspx?elementName=Assessment Item Response Duration &amp;elementID=5394", "Click here to submit comment")</f>
        <v>Click here to submit comment</v>
      </c>
    </row>
    <row r="516" spans="1:16" ht="60">
      <c r="A516" s="6" t="s">
        <v>6715</v>
      </c>
      <c r="B516" s="6" t="s">
        <v>6784</v>
      </c>
      <c r="C516" s="6" t="s">
        <v>6786</v>
      </c>
      <c r="D516" s="6" t="s">
        <v>793</v>
      </c>
      <c r="E516" s="6" t="s">
        <v>794</v>
      </c>
      <c r="F516" s="6" t="s">
        <v>13</v>
      </c>
      <c r="G516" s="6" t="s">
        <v>6018</v>
      </c>
      <c r="H516" s="6"/>
      <c r="I516" s="6" t="s">
        <v>100</v>
      </c>
      <c r="J516" s="6"/>
      <c r="K516" s="6" t="s">
        <v>795</v>
      </c>
      <c r="L516" s="6" t="s">
        <v>796</v>
      </c>
      <c r="M516" s="6"/>
      <c r="N516" s="6" t="s">
        <v>797</v>
      </c>
      <c r="O516" s="6" t="str">
        <f>HYPERLINK("https://ceds.ed.gov/cedselementdetails.aspx?termid=5397")</f>
        <v>https://ceds.ed.gov/cedselementdetails.aspx?termid=5397</v>
      </c>
      <c r="P516" s="6" t="str">
        <f>HYPERLINK("https://ceds.ed.gov/elementComment.aspx?elementName=Assessment Item Response Aid Set Used &amp;elementID=5397", "Click here to submit comment")</f>
        <v>Click here to submit comment</v>
      </c>
    </row>
    <row r="517" spans="1:16" ht="90">
      <c r="A517" s="6" t="s">
        <v>6715</v>
      </c>
      <c r="B517" s="6" t="s">
        <v>6784</v>
      </c>
      <c r="C517" s="6" t="s">
        <v>6786</v>
      </c>
      <c r="D517" s="6" t="s">
        <v>1757</v>
      </c>
      <c r="E517" s="6" t="s">
        <v>1758</v>
      </c>
      <c r="F517" s="6" t="s">
        <v>5963</v>
      </c>
      <c r="G517" s="6"/>
      <c r="H517" s="6" t="s">
        <v>54</v>
      </c>
      <c r="I517" s="6"/>
      <c r="J517" s="6"/>
      <c r="K517" s="6"/>
      <c r="L517" s="6" t="s">
        <v>1760</v>
      </c>
      <c r="M517" s="6"/>
      <c r="N517" s="6" t="s">
        <v>1761</v>
      </c>
      <c r="O517" s="6" t="str">
        <f>HYPERLINK("https://ceds.ed.gov/cedselementdetails.aspx?termid=6261")</f>
        <v>https://ceds.ed.gov/cedselementdetails.aspx?termid=6261</v>
      </c>
      <c r="P517" s="6" t="str">
        <f>HYPERLINK("https://ceds.ed.gov/elementComment.aspx?elementName=Consent to Share Data &amp;elementID=6261", "Click here to submit comment")</f>
        <v>Click here to submit comment</v>
      </c>
    </row>
    <row r="518" spans="1:16" ht="210">
      <c r="A518" s="6" t="s">
        <v>6715</v>
      </c>
      <c r="B518" s="6" t="s">
        <v>6784</v>
      </c>
      <c r="C518" s="6" t="s">
        <v>6787</v>
      </c>
      <c r="D518" s="6" t="s">
        <v>846</v>
      </c>
      <c r="E518" s="6" t="s">
        <v>847</v>
      </c>
      <c r="F518" s="7" t="s">
        <v>6385</v>
      </c>
      <c r="G518" s="6" t="s">
        <v>6018</v>
      </c>
      <c r="H518" s="6" t="s">
        <v>66</v>
      </c>
      <c r="I518" s="6"/>
      <c r="J518" s="6" t="s">
        <v>848</v>
      </c>
      <c r="K518" s="6"/>
      <c r="L518" s="6" t="s">
        <v>849</v>
      </c>
      <c r="M518" s="6"/>
      <c r="N518" s="6" t="s">
        <v>850</v>
      </c>
      <c r="O518" s="6" t="str">
        <f>HYPERLINK("https://ceds.ed.gov/cedselementdetails.aspx?termid=5396")</f>
        <v>https://ceds.ed.gov/cedselementdetails.aspx?termid=5396</v>
      </c>
      <c r="P518" s="6" t="str">
        <f>HYPERLINK("https://ceds.ed.gov/elementComment.aspx?elementName=Assessment Item Response Status &amp;elementID=5396", "Click here to submit comment")</f>
        <v>Click here to submit comment</v>
      </c>
    </row>
    <row r="519" spans="1:16" ht="90">
      <c r="A519" s="6" t="s">
        <v>6715</v>
      </c>
      <c r="B519" s="6" t="s">
        <v>6784</v>
      </c>
      <c r="C519" s="6" t="s">
        <v>6787</v>
      </c>
      <c r="D519" s="6" t="s">
        <v>1362</v>
      </c>
      <c r="E519" s="6" t="s">
        <v>1363</v>
      </c>
      <c r="F519" s="7" t="s">
        <v>6404</v>
      </c>
      <c r="G519" s="6" t="s">
        <v>6069</v>
      </c>
      <c r="H519" s="6"/>
      <c r="I519" s="6"/>
      <c r="J519" s="6"/>
      <c r="K519" s="6"/>
      <c r="L519" s="6" t="s">
        <v>1364</v>
      </c>
      <c r="M519" s="6"/>
      <c r="N519" s="6" t="s">
        <v>1365</v>
      </c>
      <c r="O519" s="6" t="str">
        <f>HYPERLINK("https://ceds.ed.gov/cedselementdetails.aspx?termid=5564")</f>
        <v>https://ceds.ed.gov/cedselementdetails.aspx?termid=5564</v>
      </c>
      <c r="P519" s="6" t="str">
        <f>HYPERLINK("https://ceds.ed.gov/elementComment.aspx?elementName=Assessment Subtest Result Pretest Outcome &amp;elementID=5564", "Click here to submit comment")</f>
        <v>Click here to submit comment</v>
      </c>
    </row>
    <row r="520" spans="1:16" ht="60">
      <c r="A520" s="6" t="s">
        <v>6715</v>
      </c>
      <c r="B520" s="6" t="s">
        <v>6784</v>
      </c>
      <c r="C520" s="6" t="s">
        <v>6787</v>
      </c>
      <c r="D520" s="6" t="s">
        <v>4767</v>
      </c>
      <c r="E520" s="6" t="s">
        <v>4768</v>
      </c>
      <c r="F520" s="7" t="s">
        <v>6621</v>
      </c>
      <c r="G520" s="6" t="s">
        <v>218</v>
      </c>
      <c r="H520" s="6"/>
      <c r="I520" s="6"/>
      <c r="J520" s="6"/>
      <c r="K520" s="6"/>
      <c r="L520" s="6" t="s">
        <v>4769</v>
      </c>
      <c r="M520" s="6"/>
      <c r="N520" s="6" t="s">
        <v>4770</v>
      </c>
      <c r="O520" s="6" t="str">
        <f>HYPERLINK("https://ceds.ed.gov/cedselementdetails.aspx?termid=5565")</f>
        <v>https://ceds.ed.gov/cedselementdetails.aspx?termid=5565</v>
      </c>
      <c r="P520" s="6" t="str">
        <f>HYPERLINK("https://ceds.ed.gov/elementComment.aspx?elementName=Proficiency Status &amp;elementID=5565", "Click here to submit comment")</f>
        <v>Click here to submit comment</v>
      </c>
    </row>
    <row r="521" spans="1:16" ht="60">
      <c r="A521" s="6" t="s">
        <v>6715</v>
      </c>
      <c r="B521" s="6" t="s">
        <v>6784</v>
      </c>
      <c r="C521" s="6" t="s">
        <v>6787</v>
      </c>
      <c r="D521" s="6" t="s">
        <v>802</v>
      </c>
      <c r="E521" s="6" t="s">
        <v>803</v>
      </c>
      <c r="F521" s="6" t="s">
        <v>13</v>
      </c>
      <c r="G521" s="6" t="s">
        <v>493</v>
      </c>
      <c r="H521" s="6"/>
      <c r="I521" s="6" t="s">
        <v>93</v>
      </c>
      <c r="J521" s="6"/>
      <c r="K521" s="6"/>
      <c r="L521" s="6" t="s">
        <v>804</v>
      </c>
      <c r="M521" s="6"/>
      <c r="N521" s="6" t="s">
        <v>805</v>
      </c>
      <c r="O521" s="6" t="str">
        <f>HYPERLINK("https://ceds.ed.gov/cedselementdetails.aspx?termid=5891")</f>
        <v>https://ceds.ed.gov/cedselementdetails.aspx?termid=5891</v>
      </c>
      <c r="P521" s="6" t="str">
        <f>HYPERLINK("https://ceds.ed.gov/elementComment.aspx?elementName=Assessment Item Response Descriptive Feedback &amp;elementID=5891", "Click here to submit comment")</f>
        <v>Click here to submit comment</v>
      </c>
    </row>
    <row r="522" spans="1:16" ht="75">
      <c r="A522" s="6" t="s">
        <v>6715</v>
      </c>
      <c r="B522" s="6" t="s">
        <v>6784</v>
      </c>
      <c r="C522" s="6" t="s">
        <v>6787</v>
      </c>
      <c r="D522" s="6" t="s">
        <v>1336</v>
      </c>
      <c r="E522" s="6" t="s">
        <v>1337</v>
      </c>
      <c r="F522" s="6" t="s">
        <v>13</v>
      </c>
      <c r="G522" s="6" t="s">
        <v>493</v>
      </c>
      <c r="H522" s="6"/>
      <c r="I522" s="6" t="s">
        <v>93</v>
      </c>
      <c r="J522" s="6"/>
      <c r="K522" s="6"/>
      <c r="L522" s="6" t="s">
        <v>1338</v>
      </c>
      <c r="M522" s="6"/>
      <c r="N522" s="6" t="s">
        <v>1339</v>
      </c>
      <c r="O522" s="6" t="str">
        <f>HYPERLINK("https://ceds.ed.gov/cedselementdetails.aspx?termid=5890")</f>
        <v>https://ceds.ed.gov/cedselementdetails.aspx?termid=5890</v>
      </c>
      <c r="P522" s="6" t="str">
        <f>HYPERLINK("https://ceds.ed.gov/elementComment.aspx?elementName=Assessment Subtest Result Descriptive Feedback &amp;elementID=5890", "Click here to submit comment")</f>
        <v>Click here to submit comment</v>
      </c>
    </row>
    <row r="523" spans="1:16" ht="195">
      <c r="A523" s="6" t="s">
        <v>6715</v>
      </c>
      <c r="B523" s="6" t="s">
        <v>6784</v>
      </c>
      <c r="C523" s="6" t="s">
        <v>6787</v>
      </c>
      <c r="D523" s="6" t="s">
        <v>1366</v>
      </c>
      <c r="E523" s="6" t="s">
        <v>1367</v>
      </c>
      <c r="F523" s="6" t="s">
        <v>13</v>
      </c>
      <c r="G523" s="6" t="s">
        <v>6071</v>
      </c>
      <c r="H523" s="6"/>
      <c r="I523" s="6" t="s">
        <v>1368</v>
      </c>
      <c r="J523" s="6"/>
      <c r="K523" s="6"/>
      <c r="L523" s="6" t="s">
        <v>1369</v>
      </c>
      <c r="M523" s="6"/>
      <c r="N523" s="6" t="s">
        <v>1370</v>
      </c>
      <c r="O523" s="6" t="str">
        <f>HYPERLINK("https://ceds.ed.gov/cedselementdetails.aspx?termid=5245")</f>
        <v>https://ceds.ed.gov/cedselementdetails.aspx?termid=5245</v>
      </c>
      <c r="P523" s="6" t="str">
        <f>HYPERLINK("https://ceds.ed.gov/elementComment.aspx?elementName=Assessment Subtest Result Score Value &amp;elementID=5245", "Click here to submit comment")</f>
        <v>Click here to submit comment</v>
      </c>
    </row>
    <row r="524" spans="1:16" ht="45">
      <c r="A524" s="6" t="s">
        <v>6715</v>
      </c>
      <c r="B524" s="6" t="s">
        <v>6784</v>
      </c>
      <c r="C524" s="6" t="s">
        <v>6787</v>
      </c>
      <c r="D524" s="6" t="s">
        <v>1125</v>
      </c>
      <c r="E524" s="6" t="s">
        <v>1126</v>
      </c>
      <c r="F524" s="6" t="s">
        <v>13</v>
      </c>
      <c r="G524" s="6" t="s">
        <v>493</v>
      </c>
      <c r="H524" s="6"/>
      <c r="I524" s="6" t="s">
        <v>1127</v>
      </c>
      <c r="J524" s="6"/>
      <c r="K524" s="6"/>
      <c r="L524" s="6" t="s">
        <v>1128</v>
      </c>
      <c r="M524" s="6"/>
      <c r="N524" s="6" t="s">
        <v>1129</v>
      </c>
      <c r="O524" s="6" t="str">
        <f>HYPERLINK("https://ceds.ed.gov/cedselementdetails.aspx?termid=5694")</f>
        <v>https://ceds.ed.gov/cedselementdetails.aspx?termid=5694</v>
      </c>
      <c r="P524" s="6" t="str">
        <f>HYPERLINK("https://ceds.ed.gov/elementComment.aspx?elementName=Assessment Performance Level Label &amp;elementID=5694", "Click here to submit comment")</f>
        <v>Click here to submit comment</v>
      </c>
    </row>
    <row r="525" spans="1:16" ht="409.5">
      <c r="A525" s="6" t="s">
        <v>6715</v>
      </c>
      <c r="B525" s="6" t="s">
        <v>6784</v>
      </c>
      <c r="C525" s="6" t="s">
        <v>6787</v>
      </c>
      <c r="D525" s="6" t="s">
        <v>1134</v>
      </c>
      <c r="E525" s="6" t="s">
        <v>1135</v>
      </c>
      <c r="F525" s="7" t="s">
        <v>6398</v>
      </c>
      <c r="G525" s="6" t="s">
        <v>5992</v>
      </c>
      <c r="H525" s="6"/>
      <c r="I525" s="6" t="s">
        <v>100</v>
      </c>
      <c r="J525" s="6"/>
      <c r="K525" s="6"/>
      <c r="L525" s="6" t="s">
        <v>1136</v>
      </c>
      <c r="M525" s="6"/>
      <c r="N525" s="6" t="s">
        <v>1137</v>
      </c>
      <c r="O525" s="6" t="str">
        <f>HYPERLINK("https://ceds.ed.gov/cedselementdetails.aspx?termid=5407")</f>
        <v>https://ceds.ed.gov/cedselementdetails.aspx?termid=5407</v>
      </c>
      <c r="P525" s="6" t="str">
        <f>HYPERLINK("https://ceds.ed.gov/elementComment.aspx?elementName=Assessment Performance Level Score Metric &amp;elementID=5407", "Click here to submit comment")</f>
        <v>Click here to submit comment</v>
      </c>
    </row>
    <row r="526" spans="1:16" ht="45">
      <c r="A526" s="6" t="s">
        <v>6715</v>
      </c>
      <c r="B526" s="6" t="s">
        <v>6784</v>
      </c>
      <c r="C526" s="6" t="s">
        <v>6787</v>
      </c>
      <c r="D526" s="6" t="s">
        <v>1130</v>
      </c>
      <c r="E526" s="6" t="s">
        <v>1131</v>
      </c>
      <c r="F526" s="6" t="s">
        <v>13</v>
      </c>
      <c r="G526" s="6" t="s">
        <v>5992</v>
      </c>
      <c r="H526" s="6"/>
      <c r="I526" s="6" t="s">
        <v>100</v>
      </c>
      <c r="J526" s="6"/>
      <c r="K526" s="6"/>
      <c r="L526" s="6" t="s">
        <v>1132</v>
      </c>
      <c r="M526" s="6"/>
      <c r="N526" s="6" t="s">
        <v>1133</v>
      </c>
      <c r="O526" s="6" t="str">
        <f>HYPERLINK("https://ceds.ed.gov/cedselementdetails.aspx?termid=5408")</f>
        <v>https://ceds.ed.gov/cedselementdetails.aspx?termid=5408</v>
      </c>
      <c r="P526" s="6" t="str">
        <f>HYPERLINK("https://ceds.ed.gov/elementComment.aspx?elementName=Assessment Performance Level Lower Cut Score &amp;elementID=5408", "Click here to submit comment")</f>
        <v>Click here to submit comment</v>
      </c>
    </row>
    <row r="527" spans="1:16" ht="45">
      <c r="A527" s="6" t="s">
        <v>6715</v>
      </c>
      <c r="B527" s="6" t="s">
        <v>6784</v>
      </c>
      <c r="C527" s="6" t="s">
        <v>6787</v>
      </c>
      <c r="D527" s="6" t="s">
        <v>1138</v>
      </c>
      <c r="E527" s="6" t="s">
        <v>1139</v>
      </c>
      <c r="F527" s="6" t="s">
        <v>13</v>
      </c>
      <c r="G527" s="6" t="s">
        <v>5992</v>
      </c>
      <c r="H527" s="6"/>
      <c r="I527" s="6" t="s">
        <v>100</v>
      </c>
      <c r="J527" s="6"/>
      <c r="K527" s="6"/>
      <c r="L527" s="6" t="s">
        <v>1140</v>
      </c>
      <c r="M527" s="6"/>
      <c r="N527" s="6" t="s">
        <v>1141</v>
      </c>
      <c r="O527" s="6" t="str">
        <f>HYPERLINK("https://ceds.ed.gov/cedselementdetails.aspx?termid=5409")</f>
        <v>https://ceds.ed.gov/cedselementdetails.aspx?termid=5409</v>
      </c>
      <c r="P527" s="6" t="str">
        <f>HYPERLINK("https://ceds.ed.gov/elementComment.aspx?elementName=Assessment Performance Level Upper Cut Score &amp;elementID=5409", "Click here to submit comment")</f>
        <v>Click here to submit comment</v>
      </c>
    </row>
    <row r="528" spans="1:16" ht="45">
      <c r="A528" s="6" t="s">
        <v>6715</v>
      </c>
      <c r="B528" s="6" t="s">
        <v>6784</v>
      </c>
      <c r="C528" s="6" t="s">
        <v>6787</v>
      </c>
      <c r="D528" s="6" t="s">
        <v>1121</v>
      </c>
      <c r="E528" s="6" t="s">
        <v>1122</v>
      </c>
      <c r="F528" s="6" t="s">
        <v>13</v>
      </c>
      <c r="G528" s="6" t="s">
        <v>493</v>
      </c>
      <c r="H528" s="6"/>
      <c r="I528" s="6" t="s">
        <v>100</v>
      </c>
      <c r="J528" s="6"/>
      <c r="K528" s="6"/>
      <c r="L528" s="6" t="s">
        <v>1123</v>
      </c>
      <c r="M528" s="6"/>
      <c r="N528" s="6" t="s">
        <v>1124</v>
      </c>
      <c r="O528" s="6" t="str">
        <f>HYPERLINK("https://ceds.ed.gov/cedselementdetails.aspx?termid=5693")</f>
        <v>https://ceds.ed.gov/cedselementdetails.aspx?termid=5693</v>
      </c>
      <c r="P528" s="6" t="str">
        <f>HYPERLINK("https://ceds.ed.gov/elementComment.aspx?elementName=Assessment Performance Level Identifier &amp;elementID=5693", "Click here to submit comment")</f>
        <v>Click here to submit comment</v>
      </c>
    </row>
    <row r="529" spans="1:16" ht="45">
      <c r="A529" s="6" t="s">
        <v>6715</v>
      </c>
      <c r="B529" s="6" t="s">
        <v>6784</v>
      </c>
      <c r="C529" s="6" t="s">
        <v>6787</v>
      </c>
      <c r="D529" s="6" t="s">
        <v>829</v>
      </c>
      <c r="E529" s="6" t="s">
        <v>830</v>
      </c>
      <c r="F529" s="6" t="s">
        <v>13</v>
      </c>
      <c r="G529" s="6" t="s">
        <v>493</v>
      </c>
      <c r="H529" s="6"/>
      <c r="I529" s="6" t="s">
        <v>106</v>
      </c>
      <c r="J529" s="6"/>
      <c r="K529" s="6"/>
      <c r="L529" s="6" t="s">
        <v>831</v>
      </c>
      <c r="M529" s="6"/>
      <c r="N529" s="6" t="s">
        <v>832</v>
      </c>
      <c r="O529" s="6" t="str">
        <f>HYPERLINK("https://ceds.ed.gov/cedselementdetails.aspx?termid=5700")</f>
        <v>https://ceds.ed.gov/cedselementdetails.aspx?termid=5700</v>
      </c>
      <c r="P529" s="6" t="str">
        <f>HYPERLINK("https://ceds.ed.gov/elementComment.aspx?elementName=Assessment Item Response Score Value &amp;elementID=5700", "Click here to submit comment")</f>
        <v>Click here to submit comment</v>
      </c>
    </row>
    <row r="530" spans="1:16" ht="195">
      <c r="A530" s="6" t="s">
        <v>6715</v>
      </c>
      <c r="B530" s="6" t="s">
        <v>6784</v>
      </c>
      <c r="C530" s="6" t="s">
        <v>6787</v>
      </c>
      <c r="D530" s="6" t="s">
        <v>1366</v>
      </c>
      <c r="E530" s="6" t="s">
        <v>1367</v>
      </c>
      <c r="F530" s="6" t="s">
        <v>13</v>
      </c>
      <c r="G530" s="6" t="s">
        <v>6071</v>
      </c>
      <c r="H530" s="6"/>
      <c r="I530" s="6" t="s">
        <v>1368</v>
      </c>
      <c r="J530" s="6"/>
      <c r="K530" s="6"/>
      <c r="L530" s="6" t="s">
        <v>1369</v>
      </c>
      <c r="M530" s="6"/>
      <c r="N530" s="6" t="s">
        <v>1370</v>
      </c>
      <c r="O530" s="6" t="str">
        <f>HYPERLINK("https://ceds.ed.gov/cedselementdetails.aspx?termid=5245")</f>
        <v>https://ceds.ed.gov/cedselementdetails.aspx?termid=5245</v>
      </c>
      <c r="P530" s="6" t="str">
        <f>HYPERLINK("https://ceds.ed.gov/elementComment.aspx?elementName=Assessment Subtest Result Score Value &amp;elementID=5245", "Click here to submit comment")</f>
        <v>Click here to submit comment</v>
      </c>
    </row>
    <row r="531" spans="1:16" ht="30">
      <c r="A531" s="6" t="s">
        <v>6715</v>
      </c>
      <c r="B531" s="6" t="s">
        <v>6784</v>
      </c>
      <c r="C531" s="6" t="s">
        <v>6787</v>
      </c>
      <c r="D531" s="6" t="s">
        <v>908</v>
      </c>
      <c r="E531" s="6" t="s">
        <v>909</v>
      </c>
      <c r="F531" s="6" t="s">
        <v>13</v>
      </c>
      <c r="G531" s="6" t="s">
        <v>493</v>
      </c>
      <c r="H531" s="6"/>
      <c r="I531" s="6" t="s">
        <v>93</v>
      </c>
      <c r="J531" s="6"/>
      <c r="K531" s="6"/>
      <c r="L531" s="6" t="s">
        <v>910</v>
      </c>
      <c r="M531" s="6"/>
      <c r="N531" s="6" t="s">
        <v>911</v>
      </c>
      <c r="O531" s="6" t="str">
        <f>HYPERLINK("https://ceds.ed.gov/cedselementdetails.aspx?termid=6069")</f>
        <v>https://ceds.ed.gov/cedselementdetails.aspx?termid=6069</v>
      </c>
      <c r="P531" s="6" t="str">
        <f>HYPERLINK("https://ceds.ed.gov/elementComment.aspx?elementName=Assessment Item Response Value &amp;elementID=6069", "Click here to submit comment")</f>
        <v>Click here to submit comment</v>
      </c>
    </row>
    <row r="532" spans="1:16" ht="90">
      <c r="A532" s="6" t="s">
        <v>6715</v>
      </c>
      <c r="B532" s="6" t="s">
        <v>6784</v>
      </c>
      <c r="C532" s="6" t="s">
        <v>6787</v>
      </c>
      <c r="D532" s="6" t="s">
        <v>2367</v>
      </c>
      <c r="E532" s="6" t="s">
        <v>2368</v>
      </c>
      <c r="F532" s="7" t="s">
        <v>6481</v>
      </c>
      <c r="G532" s="6"/>
      <c r="H532" s="6" t="s">
        <v>54</v>
      </c>
      <c r="I532" s="6"/>
      <c r="J532" s="6"/>
      <c r="K532" s="6"/>
      <c r="L532" s="6" t="s">
        <v>2370</v>
      </c>
      <c r="M532" s="6"/>
      <c r="N532" s="6" t="s">
        <v>2371</v>
      </c>
      <c r="O532" s="6" t="str">
        <f>HYPERLINK("https://ceds.ed.gov/cedselementdetails.aspx?termid=6303")</f>
        <v>https://ceds.ed.gov/cedselementdetails.aspx?termid=6303</v>
      </c>
      <c r="P532" s="6" t="str">
        <f>HYPERLINK("https://ceds.ed.gov/elementComment.aspx?elementName=Early Learning Outcome Measurement Level &amp;elementID=6303", "Click here to submit comment")</f>
        <v>Click here to submit comment</v>
      </c>
    </row>
    <row r="533" spans="1:16" ht="90">
      <c r="A533" s="6" t="s">
        <v>6715</v>
      </c>
      <c r="B533" s="6" t="s">
        <v>6784</v>
      </c>
      <c r="C533" s="6" t="s">
        <v>6787</v>
      </c>
      <c r="D533" s="6" t="s">
        <v>2372</v>
      </c>
      <c r="E533" s="6" t="s">
        <v>2373</v>
      </c>
      <c r="F533" s="7" t="s">
        <v>6482</v>
      </c>
      <c r="G533" s="6"/>
      <c r="H533" s="6" t="s">
        <v>54</v>
      </c>
      <c r="I533" s="6"/>
      <c r="J533" s="6"/>
      <c r="K533" s="6"/>
      <c r="L533" s="6" t="s">
        <v>2374</v>
      </c>
      <c r="M533" s="6"/>
      <c r="N533" s="6" t="s">
        <v>2375</v>
      </c>
      <c r="O533" s="6" t="str">
        <f>HYPERLINK("https://ceds.ed.gov/cedselementdetails.aspx?termid=6475")</f>
        <v>https://ceds.ed.gov/cedselementdetails.aspx?termid=6475</v>
      </c>
      <c r="P533" s="6" t="str">
        <f>HYPERLINK("https://ceds.ed.gov/elementComment.aspx?elementName=Early Learning Outcome Time Point &amp;elementID=6475", "Click here to submit comment")</f>
        <v>Click here to submit comment</v>
      </c>
    </row>
    <row r="534" spans="1:16" ht="165">
      <c r="A534" s="6" t="s">
        <v>6788</v>
      </c>
      <c r="B534" s="6" t="s">
        <v>6789</v>
      </c>
      <c r="C534" s="6" t="s">
        <v>6780</v>
      </c>
      <c r="D534" s="6" t="s">
        <v>5224</v>
      </c>
      <c r="E534" s="6" t="s">
        <v>269</v>
      </c>
      <c r="F534" s="6" t="s">
        <v>13</v>
      </c>
      <c r="G534" s="6" t="s">
        <v>6308</v>
      </c>
      <c r="H534" s="6"/>
      <c r="I534" s="6" t="s">
        <v>100</v>
      </c>
      <c r="J534" s="6"/>
      <c r="K534" s="6"/>
      <c r="L534" s="6" t="s">
        <v>5225</v>
      </c>
      <c r="M534" s="6"/>
      <c r="N534" s="6" t="s">
        <v>5226</v>
      </c>
      <c r="O534" s="6" t="str">
        <f>HYPERLINK("https://ceds.ed.gov/cedselementdetails.aspx?termid=5155")</f>
        <v>https://ceds.ed.gov/cedselementdetails.aspx?termid=5155</v>
      </c>
      <c r="P534" s="6" t="str">
        <f>HYPERLINK("https://ceds.ed.gov/elementComment.aspx?elementName=School Identifier &amp;elementID=5155", "Click here to submit comment")</f>
        <v>Click here to submit comment</v>
      </c>
    </row>
    <row r="535" spans="1:16" ht="360">
      <c r="A535" s="6" t="s">
        <v>6788</v>
      </c>
      <c r="B535" s="6" t="s">
        <v>6789</v>
      </c>
      <c r="C535" s="6" t="s">
        <v>6780</v>
      </c>
      <c r="D535" s="6" t="s">
        <v>5221</v>
      </c>
      <c r="E535" s="6" t="s">
        <v>265</v>
      </c>
      <c r="F535" s="7" t="s">
        <v>6645</v>
      </c>
      <c r="G535" s="6" t="s">
        <v>6308</v>
      </c>
      <c r="H535" s="6"/>
      <c r="I535" s="6"/>
      <c r="J535" s="6"/>
      <c r="K535" s="6"/>
      <c r="L535" s="6" t="s">
        <v>5222</v>
      </c>
      <c r="M535" s="6"/>
      <c r="N535" s="6" t="s">
        <v>5223</v>
      </c>
      <c r="O535" s="6" t="str">
        <f>HYPERLINK("https://ceds.ed.gov/cedselementdetails.aspx?termid=5161")</f>
        <v>https://ceds.ed.gov/cedselementdetails.aspx?termid=5161</v>
      </c>
      <c r="P535" s="6" t="str">
        <f>HYPERLINK("https://ceds.ed.gov/elementComment.aspx?elementName=School Identification System &amp;elementID=5161", "Click here to submit comment")</f>
        <v>Click here to submit comment</v>
      </c>
    </row>
    <row r="536" spans="1:16" ht="225">
      <c r="A536" s="6" t="s">
        <v>6788</v>
      </c>
      <c r="B536" s="6" t="s">
        <v>6789</v>
      </c>
      <c r="C536" s="6" t="s">
        <v>6780</v>
      </c>
      <c r="D536" s="6" t="s">
        <v>4189</v>
      </c>
      <c r="E536" s="6" t="s">
        <v>4190</v>
      </c>
      <c r="F536" s="6" t="s">
        <v>13</v>
      </c>
      <c r="G536" s="6" t="s">
        <v>6257</v>
      </c>
      <c r="H536" s="6"/>
      <c r="I536" s="6" t="s">
        <v>106</v>
      </c>
      <c r="J536" s="6"/>
      <c r="K536" s="6"/>
      <c r="L536" s="6" t="s">
        <v>4191</v>
      </c>
      <c r="M536" s="6"/>
      <c r="N536" s="6" t="s">
        <v>4192</v>
      </c>
      <c r="O536" s="6" t="str">
        <f>HYPERLINK("https://ceds.ed.gov/cedselementdetails.aspx?termid=5191")</f>
        <v>https://ceds.ed.gov/cedselementdetails.aspx?termid=5191</v>
      </c>
      <c r="P536" s="6" t="str">
        <f>HYPERLINK("https://ceds.ed.gov/elementComment.aspx?elementName=Name of Institution &amp;elementID=5191", "Click here to submit comment")</f>
        <v>Click here to submit comment</v>
      </c>
    </row>
    <row r="537" spans="1:16" ht="409.5">
      <c r="A537" s="6" t="s">
        <v>6788</v>
      </c>
      <c r="B537" s="6" t="s">
        <v>6789</v>
      </c>
      <c r="C537" s="6" t="s">
        <v>6780</v>
      </c>
      <c r="D537" s="6" t="s">
        <v>4361</v>
      </c>
      <c r="E537" s="6" t="s">
        <v>4362</v>
      </c>
      <c r="F537" s="7" t="s">
        <v>6592</v>
      </c>
      <c r="G537" s="6"/>
      <c r="H537" s="6" t="s">
        <v>66</v>
      </c>
      <c r="I537" s="6" t="s">
        <v>149</v>
      </c>
      <c r="J537" s="6" t="s">
        <v>4363</v>
      </c>
      <c r="K537" s="6" t="s">
        <v>4364</v>
      </c>
      <c r="L537" s="6" t="s">
        <v>4365</v>
      </c>
      <c r="M537" s="6"/>
      <c r="N537" s="6" t="s">
        <v>4366</v>
      </c>
      <c r="O537" s="6" t="str">
        <f>HYPERLINK("https://ceds.ed.gov/cedselementdetails.aspx?termid=6165")</f>
        <v>https://ceds.ed.gov/cedselementdetails.aspx?termid=6165</v>
      </c>
      <c r="P537" s="6" t="str">
        <f>HYPERLINK("https://ceds.ed.gov/elementComment.aspx?elementName=Organization Type &amp;elementID=6165", "Click here to submit comment")</f>
        <v>Click here to submit comment</v>
      </c>
    </row>
    <row r="538" spans="1:16" ht="90">
      <c r="A538" s="6" t="s">
        <v>6788</v>
      </c>
      <c r="B538" s="6" t="s">
        <v>6789</v>
      </c>
      <c r="C538" s="6" t="s">
        <v>6780</v>
      </c>
      <c r="D538" s="6" t="s">
        <v>5361</v>
      </c>
      <c r="E538" s="6" t="s">
        <v>5362</v>
      </c>
      <c r="F538" s="6" t="s">
        <v>13</v>
      </c>
      <c r="G538" s="6"/>
      <c r="H538" s="6" t="s">
        <v>54</v>
      </c>
      <c r="I538" s="6" t="s">
        <v>100</v>
      </c>
      <c r="J538" s="6"/>
      <c r="K538" s="6" t="s">
        <v>5363</v>
      </c>
      <c r="L538" s="6" t="s">
        <v>5364</v>
      </c>
      <c r="M538" s="6"/>
      <c r="N538" s="6" t="s">
        <v>5365</v>
      </c>
      <c r="O538" s="6" t="str">
        <f>HYPERLINK("https://ceds.ed.gov/cedselementdetails.aspx?termid=6459")</f>
        <v>https://ceds.ed.gov/cedselementdetails.aspx?termid=6459</v>
      </c>
      <c r="P538" s="6" t="str">
        <f>HYPERLINK("https://ceds.ed.gov/elementComment.aspx?elementName=Short Name of Institution &amp;elementID=6459", "Click here to submit comment")</f>
        <v>Click here to submit comment</v>
      </c>
    </row>
    <row r="539" spans="1:16" ht="90">
      <c r="A539" s="6" t="s">
        <v>6788</v>
      </c>
      <c r="B539" s="6" t="s">
        <v>6789</v>
      </c>
      <c r="C539" s="6" t="s">
        <v>6749</v>
      </c>
      <c r="D539" s="6" t="s">
        <v>196</v>
      </c>
      <c r="E539" s="6" t="s">
        <v>197</v>
      </c>
      <c r="F539" s="7" t="s">
        <v>6354</v>
      </c>
      <c r="G539" s="6" t="s">
        <v>5968</v>
      </c>
      <c r="H539" s="6" t="s">
        <v>3</v>
      </c>
      <c r="I539" s="6" t="s">
        <v>100</v>
      </c>
      <c r="J539" s="6"/>
      <c r="K539" s="6"/>
      <c r="L539" s="6" t="s">
        <v>198</v>
      </c>
      <c r="M539" s="6"/>
      <c r="N539" s="6" t="s">
        <v>199</v>
      </c>
      <c r="O539" s="6" t="str">
        <f>HYPERLINK("https://ceds.ed.gov/cedselementdetails.aspx?termid=5644")</f>
        <v>https://ceds.ed.gov/cedselementdetails.aspx?termid=5644</v>
      </c>
      <c r="P539" s="6" t="str">
        <f>HYPERLINK("https://ceds.ed.gov/elementComment.aspx?elementName=Address Type for Organization &amp;elementID=5644", "Click here to submit comment")</f>
        <v>Click here to submit comment</v>
      </c>
    </row>
    <row r="540" spans="1:16" ht="225">
      <c r="A540" s="6" t="s">
        <v>6788</v>
      </c>
      <c r="B540" s="6" t="s">
        <v>6789</v>
      </c>
      <c r="C540" s="6" t="s">
        <v>6749</v>
      </c>
      <c r="D540" s="6" t="s">
        <v>187</v>
      </c>
      <c r="E540" s="6" t="s">
        <v>188</v>
      </c>
      <c r="F540" s="6" t="s">
        <v>13</v>
      </c>
      <c r="G540" s="6" t="s">
        <v>5973</v>
      </c>
      <c r="H540" s="6" t="s">
        <v>3</v>
      </c>
      <c r="I540" s="6" t="s">
        <v>149</v>
      </c>
      <c r="J540" s="6"/>
      <c r="K540" s="6"/>
      <c r="L540" s="6" t="s">
        <v>189</v>
      </c>
      <c r="M540" s="6"/>
      <c r="N540" s="6" t="s">
        <v>190</v>
      </c>
      <c r="O540" s="6" t="str">
        <f>HYPERLINK("https://ceds.ed.gov/cedselementdetails.aspx?termid=5269")</f>
        <v>https://ceds.ed.gov/cedselementdetails.aspx?termid=5269</v>
      </c>
      <c r="P540" s="6" t="str">
        <f>HYPERLINK("https://ceds.ed.gov/elementComment.aspx?elementName=Address Street Number and Name &amp;elementID=5269", "Click here to submit comment")</f>
        <v>Click here to submit comment</v>
      </c>
    </row>
    <row r="541" spans="1:16" ht="225">
      <c r="A541" s="6" t="s">
        <v>6788</v>
      </c>
      <c r="B541" s="6" t="s">
        <v>6789</v>
      </c>
      <c r="C541" s="6" t="s">
        <v>6749</v>
      </c>
      <c r="D541" s="6" t="s">
        <v>170</v>
      </c>
      <c r="E541" s="6" t="s">
        <v>171</v>
      </c>
      <c r="F541" s="6" t="s">
        <v>13</v>
      </c>
      <c r="G541" s="6" t="s">
        <v>5973</v>
      </c>
      <c r="H541" s="6" t="s">
        <v>3</v>
      </c>
      <c r="I541" s="6" t="s">
        <v>100</v>
      </c>
      <c r="J541" s="6"/>
      <c r="K541" s="6"/>
      <c r="L541" s="6" t="s">
        <v>172</v>
      </c>
      <c r="M541" s="6"/>
      <c r="N541" s="6" t="s">
        <v>173</v>
      </c>
      <c r="O541" s="6" t="str">
        <f>HYPERLINK("https://ceds.ed.gov/cedselementdetails.aspx?termid=5019")</f>
        <v>https://ceds.ed.gov/cedselementdetails.aspx?termid=5019</v>
      </c>
      <c r="P541" s="6" t="str">
        <f>HYPERLINK("https://ceds.ed.gov/elementComment.aspx?elementName=Address Apartment Room or Suite Number &amp;elementID=5019", "Click here to submit comment")</f>
        <v>Click here to submit comment</v>
      </c>
    </row>
    <row r="542" spans="1:16" ht="45">
      <c r="A542" s="6" t="s">
        <v>6788</v>
      </c>
      <c r="B542" s="6" t="s">
        <v>6789</v>
      </c>
      <c r="C542" s="6" t="s">
        <v>6749</v>
      </c>
      <c r="D542" s="6" t="s">
        <v>1502</v>
      </c>
      <c r="E542" s="6" t="s">
        <v>1503</v>
      </c>
      <c r="F542" s="6" t="s">
        <v>13</v>
      </c>
      <c r="G542" s="6"/>
      <c r="H542" s="6"/>
      <c r="I542" s="6" t="s">
        <v>100</v>
      </c>
      <c r="J542" s="6"/>
      <c r="K542" s="6"/>
      <c r="L542" s="6" t="s">
        <v>1505</v>
      </c>
      <c r="M542" s="6"/>
      <c r="N542" s="6" t="s">
        <v>1506</v>
      </c>
      <c r="O542" s="6" t="str">
        <f>HYPERLINK("https://ceds.ed.gov/cedselementdetails.aspx?termid=5595")</f>
        <v>https://ceds.ed.gov/cedselementdetails.aspx?termid=5595</v>
      </c>
      <c r="P542" s="6" t="str">
        <f>HYPERLINK("https://ceds.ed.gov/elementComment.aspx?elementName=Building Site Number &amp;elementID=5595", "Click here to submit comment")</f>
        <v>Click here to submit comment</v>
      </c>
    </row>
    <row r="543" spans="1:16" ht="225">
      <c r="A543" s="6" t="s">
        <v>6788</v>
      </c>
      <c r="B543" s="6" t="s">
        <v>6789</v>
      </c>
      <c r="C543" s="6" t="s">
        <v>6749</v>
      </c>
      <c r="D543" s="6" t="s">
        <v>174</v>
      </c>
      <c r="E543" s="6" t="s">
        <v>175</v>
      </c>
      <c r="F543" s="6" t="s">
        <v>13</v>
      </c>
      <c r="G543" s="6" t="s">
        <v>5973</v>
      </c>
      <c r="H543" s="6" t="s">
        <v>3</v>
      </c>
      <c r="I543" s="6" t="s">
        <v>100</v>
      </c>
      <c r="J543" s="6"/>
      <c r="K543" s="6"/>
      <c r="L543" s="6" t="s">
        <v>176</v>
      </c>
      <c r="M543" s="6"/>
      <c r="N543" s="6" t="s">
        <v>177</v>
      </c>
      <c r="O543" s="6" t="str">
        <f>HYPERLINK("https://ceds.ed.gov/cedselementdetails.aspx?termid=5040")</f>
        <v>https://ceds.ed.gov/cedselementdetails.aspx?termid=5040</v>
      </c>
      <c r="P543" s="6" t="str">
        <f>HYPERLINK("https://ceds.ed.gov/elementComment.aspx?elementName=Address City &amp;elementID=5040", "Click here to submit comment")</f>
        <v>Click here to submit comment</v>
      </c>
    </row>
    <row r="544" spans="1:16" ht="409.5">
      <c r="A544" s="6" t="s">
        <v>6788</v>
      </c>
      <c r="B544" s="6" t="s">
        <v>6789</v>
      </c>
      <c r="C544" s="6" t="s">
        <v>6749</v>
      </c>
      <c r="D544" s="6" t="s">
        <v>5533</v>
      </c>
      <c r="E544" s="6" t="s">
        <v>5534</v>
      </c>
      <c r="F544" s="7" t="s">
        <v>6633</v>
      </c>
      <c r="G544" s="6" t="s">
        <v>6324</v>
      </c>
      <c r="H544" s="6" t="s">
        <v>3</v>
      </c>
      <c r="I544" s="6"/>
      <c r="J544" s="6"/>
      <c r="K544" s="6"/>
      <c r="L544" s="6" t="s">
        <v>5535</v>
      </c>
      <c r="M544" s="6"/>
      <c r="N544" s="6" t="s">
        <v>5536</v>
      </c>
      <c r="O544" s="6" t="str">
        <f>HYPERLINK("https://ceds.ed.gov/cedselementdetails.aspx?termid=5267")</f>
        <v>https://ceds.ed.gov/cedselementdetails.aspx?termid=5267</v>
      </c>
      <c r="P544" s="6" t="str">
        <f>HYPERLINK("https://ceds.ed.gov/elementComment.aspx?elementName=State Abbreviation &amp;elementID=5267", "Click here to submit comment")</f>
        <v>Click here to submit comment</v>
      </c>
    </row>
    <row r="545" spans="1:16" ht="225">
      <c r="A545" s="6" t="s">
        <v>6788</v>
      </c>
      <c r="B545" s="6" t="s">
        <v>6789</v>
      </c>
      <c r="C545" s="6" t="s">
        <v>6749</v>
      </c>
      <c r="D545" s="6" t="s">
        <v>182</v>
      </c>
      <c r="E545" s="6" t="s">
        <v>183</v>
      </c>
      <c r="F545" s="6" t="s">
        <v>13</v>
      </c>
      <c r="G545" s="6" t="s">
        <v>5973</v>
      </c>
      <c r="H545" s="6" t="s">
        <v>3</v>
      </c>
      <c r="I545" s="6" t="s">
        <v>184</v>
      </c>
      <c r="J545" s="6"/>
      <c r="K545" s="6"/>
      <c r="L545" s="6" t="s">
        <v>185</v>
      </c>
      <c r="M545" s="6"/>
      <c r="N545" s="6" t="s">
        <v>186</v>
      </c>
      <c r="O545" s="6" t="str">
        <f>HYPERLINK("https://ceds.ed.gov/cedselementdetails.aspx?termid=5214")</f>
        <v>https://ceds.ed.gov/cedselementdetails.aspx?termid=5214</v>
      </c>
      <c r="P545" s="6" t="str">
        <f>HYPERLINK("https://ceds.ed.gov/elementComment.aspx?elementName=Address Postal Code &amp;elementID=5214", "Click here to submit comment")</f>
        <v>Click here to submit comment</v>
      </c>
    </row>
    <row r="546" spans="1:16" ht="225">
      <c r="A546" s="6" t="s">
        <v>6788</v>
      </c>
      <c r="B546" s="6" t="s">
        <v>6789</v>
      </c>
      <c r="C546" s="6" t="s">
        <v>6749</v>
      </c>
      <c r="D546" s="6" t="s">
        <v>178</v>
      </c>
      <c r="E546" s="6" t="s">
        <v>179</v>
      </c>
      <c r="F546" s="6" t="s">
        <v>13</v>
      </c>
      <c r="G546" s="6" t="s">
        <v>5973</v>
      </c>
      <c r="H546" s="6" t="s">
        <v>3</v>
      </c>
      <c r="I546" s="6" t="s">
        <v>100</v>
      </c>
      <c r="J546" s="6"/>
      <c r="K546" s="6"/>
      <c r="L546" s="6" t="s">
        <v>180</v>
      </c>
      <c r="M546" s="6"/>
      <c r="N546" s="6" t="s">
        <v>181</v>
      </c>
      <c r="O546" s="6" t="str">
        <f>HYPERLINK("https://ceds.ed.gov/cedselementdetails.aspx?termid=5190")</f>
        <v>https://ceds.ed.gov/cedselementdetails.aspx?termid=5190</v>
      </c>
      <c r="P546" s="6" t="str">
        <f>HYPERLINK("https://ceds.ed.gov/elementComment.aspx?elementName=Address County Name &amp;elementID=5190", "Click here to submit comment")</f>
        <v>Click here to submit comment</v>
      </c>
    </row>
    <row r="547" spans="1:16" ht="180">
      <c r="A547" s="6" t="s">
        <v>6788</v>
      </c>
      <c r="B547" s="6" t="s">
        <v>6789</v>
      </c>
      <c r="C547" s="6" t="s">
        <v>6749</v>
      </c>
      <c r="D547" s="6" t="s">
        <v>1817</v>
      </c>
      <c r="E547" s="6" t="s">
        <v>1818</v>
      </c>
      <c r="F547" s="6" t="s">
        <v>13</v>
      </c>
      <c r="G547" s="6"/>
      <c r="H547" s="6" t="s">
        <v>66</v>
      </c>
      <c r="I547" s="6" t="s">
        <v>1819</v>
      </c>
      <c r="J547" s="6" t="s">
        <v>1820</v>
      </c>
      <c r="K547" s="6"/>
      <c r="L547" s="6" t="s">
        <v>1821</v>
      </c>
      <c r="M547" s="6"/>
      <c r="N547" s="6" t="s">
        <v>1822</v>
      </c>
      <c r="O547" s="6" t="str">
        <f>HYPERLINK("https://ceds.ed.gov/cedselementdetails.aspx?termid=6176")</f>
        <v>https://ceds.ed.gov/cedselementdetails.aspx?termid=6176</v>
      </c>
      <c r="P547" s="6" t="str">
        <f>HYPERLINK("https://ceds.ed.gov/elementComment.aspx?elementName=County ANSI Code &amp;elementID=6176", "Click here to submit comment")</f>
        <v>Click here to submit comment</v>
      </c>
    </row>
    <row r="548" spans="1:16" ht="75">
      <c r="A548" s="6" t="s">
        <v>6788</v>
      </c>
      <c r="B548" s="6" t="s">
        <v>6789</v>
      </c>
      <c r="C548" s="6" t="s">
        <v>6749</v>
      </c>
      <c r="D548" s="6" t="s">
        <v>3436</v>
      </c>
      <c r="E548" s="6" t="s">
        <v>3437</v>
      </c>
      <c r="F548" s="6" t="s">
        <v>13</v>
      </c>
      <c r="G548" s="6"/>
      <c r="H548" s="6"/>
      <c r="I548" s="6" t="s">
        <v>1127</v>
      </c>
      <c r="J548" s="6"/>
      <c r="K548" s="6"/>
      <c r="L548" s="6" t="s">
        <v>3438</v>
      </c>
      <c r="M548" s="6"/>
      <c r="N548" s="6" t="s">
        <v>3436</v>
      </c>
      <c r="O548" s="6" t="str">
        <f>HYPERLINK("https://ceds.ed.gov/cedselementdetails.aspx?termid=5599")</f>
        <v>https://ceds.ed.gov/cedselementdetails.aspx?termid=5599</v>
      </c>
      <c r="P548" s="6" t="str">
        <f>HYPERLINK("https://ceds.ed.gov/elementComment.aspx?elementName=Latitude &amp;elementID=5599", "Click here to submit comment")</f>
        <v>Click here to submit comment</v>
      </c>
    </row>
    <row r="549" spans="1:16" ht="75">
      <c r="A549" s="6" t="s">
        <v>6788</v>
      </c>
      <c r="B549" s="6" t="s">
        <v>6789</v>
      </c>
      <c r="C549" s="6" t="s">
        <v>6749</v>
      </c>
      <c r="D549" s="6" t="s">
        <v>4053</v>
      </c>
      <c r="E549" s="6" t="s">
        <v>4054</v>
      </c>
      <c r="F549" s="6" t="s">
        <v>13</v>
      </c>
      <c r="G549" s="6"/>
      <c r="H549" s="6"/>
      <c r="I549" s="6" t="s">
        <v>1127</v>
      </c>
      <c r="J549" s="6"/>
      <c r="K549" s="6"/>
      <c r="L549" s="6" t="s">
        <v>4055</v>
      </c>
      <c r="M549" s="6"/>
      <c r="N549" s="6" t="s">
        <v>4053</v>
      </c>
      <c r="O549" s="6" t="str">
        <f>HYPERLINK("https://ceds.ed.gov/cedselementdetails.aspx?termid=5600")</f>
        <v>https://ceds.ed.gov/cedselementdetails.aspx?termid=5600</v>
      </c>
      <c r="P549" s="6" t="str">
        <f>HYPERLINK("https://ceds.ed.gov/elementComment.aspx?elementName=Longitude &amp;elementID=5600", "Click here to submit comment")</f>
        <v>Click here to submit comment</v>
      </c>
    </row>
    <row r="550" spans="1:16" ht="240">
      <c r="A550" s="6" t="s">
        <v>6788</v>
      </c>
      <c r="B550" s="6" t="s">
        <v>6789</v>
      </c>
      <c r="C550" s="6" t="s">
        <v>6750</v>
      </c>
      <c r="D550" s="6" t="s">
        <v>3289</v>
      </c>
      <c r="E550" s="6" t="s">
        <v>3290</v>
      </c>
      <c r="F550" s="7" t="s">
        <v>6553</v>
      </c>
      <c r="G550" s="6"/>
      <c r="H550" s="6"/>
      <c r="I550" s="6"/>
      <c r="J550" s="6"/>
      <c r="K550" s="6"/>
      <c r="L550" s="6" t="s">
        <v>3291</v>
      </c>
      <c r="M550" s="6"/>
      <c r="N550" s="6" t="s">
        <v>3292</v>
      </c>
      <c r="O550" s="6" t="str">
        <f>HYPERLINK("https://ceds.ed.gov/cedselementdetails.aspx?termid=5167")</f>
        <v>https://ceds.ed.gov/cedselementdetails.aspx?termid=5167</v>
      </c>
      <c r="P550" s="6" t="str">
        <f>HYPERLINK("https://ceds.ed.gov/elementComment.aspx?elementName=Institution Telephone Number Type &amp;elementID=5167", "Click here to submit comment")</f>
        <v>Click here to submit comment</v>
      </c>
    </row>
    <row r="551" spans="1:16" ht="90">
      <c r="A551" s="6" t="s">
        <v>6788</v>
      </c>
      <c r="B551" s="6" t="s">
        <v>6789</v>
      </c>
      <c r="C551" s="6" t="s">
        <v>6750</v>
      </c>
      <c r="D551" s="6" t="s">
        <v>4591</v>
      </c>
      <c r="E551" s="6" t="s">
        <v>4592</v>
      </c>
      <c r="F551" s="6" t="s">
        <v>5963</v>
      </c>
      <c r="G551" s="6" t="s">
        <v>5968</v>
      </c>
      <c r="H551" s="6" t="s">
        <v>3</v>
      </c>
      <c r="I551" s="6"/>
      <c r="J551" s="6"/>
      <c r="K551" s="6"/>
      <c r="L551" s="6" t="s">
        <v>4593</v>
      </c>
      <c r="M551" s="6"/>
      <c r="N551" s="6" t="s">
        <v>4594</v>
      </c>
      <c r="O551" s="6" t="str">
        <f>HYPERLINK("https://ceds.ed.gov/cedselementdetails.aspx?termid=5219")</f>
        <v>https://ceds.ed.gov/cedselementdetails.aspx?termid=5219</v>
      </c>
      <c r="P551" s="6" t="str">
        <f>HYPERLINK("https://ceds.ed.gov/elementComment.aspx?elementName=Primary Telephone Number Indicator &amp;elementID=5219", "Click here to submit comment")</f>
        <v>Click here to submit comment</v>
      </c>
    </row>
    <row r="552" spans="1:16" ht="90">
      <c r="A552" s="6" t="s">
        <v>6788</v>
      </c>
      <c r="B552" s="6" t="s">
        <v>6789</v>
      </c>
      <c r="C552" s="6" t="s">
        <v>6750</v>
      </c>
      <c r="D552" s="6" t="s">
        <v>5727</v>
      </c>
      <c r="E552" s="6" t="s">
        <v>5728</v>
      </c>
      <c r="F552" s="6" t="s">
        <v>13</v>
      </c>
      <c r="G552" s="6" t="s">
        <v>5968</v>
      </c>
      <c r="H552" s="6" t="s">
        <v>3</v>
      </c>
      <c r="I552" s="6" t="s">
        <v>5729</v>
      </c>
      <c r="J552" s="6"/>
      <c r="K552" s="6"/>
      <c r="L552" s="6" t="s">
        <v>5730</v>
      </c>
      <c r="M552" s="6"/>
      <c r="N552" s="6" t="s">
        <v>5731</v>
      </c>
      <c r="O552" s="6" t="str">
        <f>HYPERLINK("https://ceds.ed.gov/cedselementdetails.aspx?termid=5279")</f>
        <v>https://ceds.ed.gov/cedselementdetails.aspx?termid=5279</v>
      </c>
      <c r="P552" s="6" t="str">
        <f>HYPERLINK("https://ceds.ed.gov/elementComment.aspx?elementName=Telephone Number &amp;elementID=5279", "Click here to submit comment")</f>
        <v>Click here to submit comment</v>
      </c>
    </row>
    <row r="553" spans="1:16" ht="409.5">
      <c r="A553" s="6" t="s">
        <v>6788</v>
      </c>
      <c r="B553" s="6" t="s">
        <v>6789</v>
      </c>
      <c r="C553" s="6" t="s">
        <v>6790</v>
      </c>
      <c r="D553" s="6" t="s">
        <v>2891</v>
      </c>
      <c r="E553" s="6" t="s">
        <v>2892</v>
      </c>
      <c r="F553" s="7" t="s">
        <v>6522</v>
      </c>
      <c r="G553" s="6" t="s">
        <v>5968</v>
      </c>
      <c r="H553" s="6"/>
      <c r="I553" s="6"/>
      <c r="J553" s="6"/>
      <c r="K553" s="6"/>
      <c r="L553" s="6" t="s">
        <v>2893</v>
      </c>
      <c r="M553" s="6"/>
      <c r="N553" s="6" t="s">
        <v>2894</v>
      </c>
      <c r="O553" s="6" t="str">
        <f>HYPERLINK("https://ceds.ed.gov/cedselementdetails.aspx?termid=5131")</f>
        <v>https://ceds.ed.gov/cedselementdetails.aspx?termid=5131</v>
      </c>
      <c r="P553" s="6" t="str">
        <f>HYPERLINK("https://ceds.ed.gov/elementComment.aspx?elementName=Grades Offered &amp;elementID=5131", "Click here to submit comment")</f>
        <v>Click here to submit comment</v>
      </c>
    </row>
    <row r="554" spans="1:16" ht="135">
      <c r="A554" s="6" t="s">
        <v>6788</v>
      </c>
      <c r="B554" s="6" t="s">
        <v>6789</v>
      </c>
      <c r="C554" s="6" t="s">
        <v>6790</v>
      </c>
      <c r="D554" s="6" t="s">
        <v>5259</v>
      </c>
      <c r="E554" s="6" t="s">
        <v>5260</v>
      </c>
      <c r="F554" s="7" t="s">
        <v>6650</v>
      </c>
      <c r="G554" s="6" t="s">
        <v>5968</v>
      </c>
      <c r="H554" s="6"/>
      <c r="I554" s="6"/>
      <c r="J554" s="6"/>
      <c r="K554" s="6"/>
      <c r="L554" s="6" t="s">
        <v>5261</v>
      </c>
      <c r="M554" s="6"/>
      <c r="N554" s="6" t="s">
        <v>5262</v>
      </c>
      <c r="O554" s="6" t="str">
        <f>HYPERLINK("https://ceds.ed.gov/cedselementdetails.aspx?termid=5242")</f>
        <v>https://ceds.ed.gov/cedselementdetails.aspx?termid=5242</v>
      </c>
      <c r="P554" s="6" t="str">
        <f>HYPERLINK("https://ceds.ed.gov/elementComment.aspx?elementName=School Type &amp;elementID=5242", "Click here to submit comment")</f>
        <v>Click here to submit comment</v>
      </c>
    </row>
    <row r="555" spans="1:16" ht="135">
      <c r="A555" s="6" t="s">
        <v>6788</v>
      </c>
      <c r="B555" s="6" t="s">
        <v>6789</v>
      </c>
      <c r="C555" s="6" t="s">
        <v>6790</v>
      </c>
      <c r="D555" s="6" t="s">
        <v>4060</v>
      </c>
      <c r="E555" s="6" t="s">
        <v>4061</v>
      </c>
      <c r="F555" s="7" t="s">
        <v>6581</v>
      </c>
      <c r="G555" s="6" t="s">
        <v>5968</v>
      </c>
      <c r="H555" s="6"/>
      <c r="I555" s="6"/>
      <c r="J555" s="6"/>
      <c r="K555" s="6"/>
      <c r="L555" s="6" t="s">
        <v>4062</v>
      </c>
      <c r="M555" s="6"/>
      <c r="N555" s="6" t="s">
        <v>4063</v>
      </c>
      <c r="O555" s="6" t="str">
        <f>HYPERLINK("https://ceds.ed.gov/cedselementdetails.aspx?termid=5181")</f>
        <v>https://ceds.ed.gov/cedselementdetails.aspx?termid=5181</v>
      </c>
      <c r="P555" s="6" t="str">
        <f>HYPERLINK("https://ceds.ed.gov/elementComment.aspx?elementName=Magnet or Special Program Emphasis School &amp;elementID=5181", "Click here to submit comment")</f>
        <v>Click here to submit comment</v>
      </c>
    </row>
    <row r="556" spans="1:16" ht="105">
      <c r="A556" s="6" t="s">
        <v>6788</v>
      </c>
      <c r="B556" s="6" t="s">
        <v>6789</v>
      </c>
      <c r="C556" s="6" t="s">
        <v>6790</v>
      </c>
      <c r="D556" s="6" t="s">
        <v>1619</v>
      </c>
      <c r="E556" s="6" t="s">
        <v>1620</v>
      </c>
      <c r="F556" s="6" t="s">
        <v>5963</v>
      </c>
      <c r="G556" s="6" t="s">
        <v>5968</v>
      </c>
      <c r="H556" s="6"/>
      <c r="I556" s="6"/>
      <c r="J556" s="6"/>
      <c r="K556" s="6"/>
      <c r="L556" s="6" t="s">
        <v>1621</v>
      </c>
      <c r="M556" s="6"/>
      <c r="N556" s="6" t="s">
        <v>1622</v>
      </c>
      <c r="O556" s="6" t="str">
        <f>HYPERLINK("https://ceds.ed.gov/cedselementdetails.aspx?termid=5039")</f>
        <v>https://ceds.ed.gov/cedselementdetails.aspx?termid=5039</v>
      </c>
      <c r="P556" s="6" t="str">
        <f>HYPERLINK("https://ceds.ed.gov/elementComment.aspx?elementName=Charter School Indicator &amp;elementID=5039", "Click here to submit comment")</f>
        <v>Click here to submit comment</v>
      </c>
    </row>
    <row r="557" spans="1:16" ht="240">
      <c r="A557" s="6" t="s">
        <v>6788</v>
      </c>
      <c r="B557" s="6" t="s">
        <v>6789</v>
      </c>
      <c r="C557" s="6" t="s">
        <v>6790</v>
      </c>
      <c r="D557" s="6" t="s">
        <v>5251</v>
      </c>
      <c r="E557" s="6" t="s">
        <v>5252</v>
      </c>
      <c r="F557" s="7" t="s">
        <v>6648</v>
      </c>
      <c r="G557" s="6"/>
      <c r="H557" s="6"/>
      <c r="I557" s="6"/>
      <c r="J557" s="6"/>
      <c r="K557" s="6"/>
      <c r="L557" s="6" t="s">
        <v>5253</v>
      </c>
      <c r="M557" s="6"/>
      <c r="N557" s="6" t="s">
        <v>5254</v>
      </c>
      <c r="O557" s="6" t="str">
        <f>HYPERLINK("https://ceds.ed.gov/cedselementdetails.aspx?termid=5241")</f>
        <v>https://ceds.ed.gov/cedselementdetails.aspx?termid=5241</v>
      </c>
      <c r="P557" s="6" t="str">
        <f>HYPERLINK("https://ceds.ed.gov/elementComment.aspx?elementName=School Level &amp;elementID=5241", "Click here to submit comment")</f>
        <v>Click here to submit comment</v>
      </c>
    </row>
    <row r="558" spans="1:16" ht="120">
      <c r="A558" s="6" t="s">
        <v>6788</v>
      </c>
      <c r="B558" s="6" t="s">
        <v>6789</v>
      </c>
      <c r="C558" s="6" t="s">
        <v>6790</v>
      </c>
      <c r="D558" s="6" t="s">
        <v>1623</v>
      </c>
      <c r="E558" s="6" t="s">
        <v>1624</v>
      </c>
      <c r="F558" s="7" t="s">
        <v>6420</v>
      </c>
      <c r="G558" s="6"/>
      <c r="H558" s="6"/>
      <c r="I558" s="6"/>
      <c r="J558" s="6"/>
      <c r="K558" s="6"/>
      <c r="L558" s="6" t="s">
        <v>1625</v>
      </c>
      <c r="M558" s="6"/>
      <c r="N558" s="6" t="s">
        <v>1626</v>
      </c>
      <c r="O558" s="6" t="str">
        <f>HYPERLINK("https://ceds.ed.gov/cedselementdetails.aspx?termid=5686")</f>
        <v>https://ceds.ed.gov/cedselementdetails.aspx?termid=5686</v>
      </c>
      <c r="P558" s="6" t="str">
        <f>HYPERLINK("https://ceds.ed.gov/elementComment.aspx?elementName=Charter School Type &amp;elementID=5686", "Click here to submit comment")</f>
        <v>Click here to submit comment</v>
      </c>
    </row>
    <row r="559" spans="1:16" ht="60">
      <c r="A559" s="6" t="s">
        <v>6788</v>
      </c>
      <c r="B559" s="6" t="s">
        <v>6789</v>
      </c>
      <c r="C559" s="6" t="s">
        <v>6790</v>
      </c>
      <c r="D559" s="6" t="s">
        <v>222</v>
      </c>
      <c r="E559" s="6" t="s">
        <v>223</v>
      </c>
      <c r="F559" s="7" t="s">
        <v>6357</v>
      </c>
      <c r="G559" s="6"/>
      <c r="H559" s="6"/>
      <c r="I559" s="6"/>
      <c r="J559" s="6"/>
      <c r="K559" s="6"/>
      <c r="L559" s="6" t="s">
        <v>225</v>
      </c>
      <c r="M559" s="6"/>
      <c r="N559" s="6" t="s">
        <v>226</v>
      </c>
      <c r="O559" s="6" t="str">
        <f>HYPERLINK("https://ceds.ed.gov/cedselementdetails.aspx?termid=5012")</f>
        <v>https://ceds.ed.gov/cedselementdetails.aspx?termid=5012</v>
      </c>
      <c r="P559" s="6" t="str">
        <f>HYPERLINK("https://ceds.ed.gov/elementComment.aspx?elementName=Administrative Funding Control &amp;elementID=5012", "Click here to submit comment")</f>
        <v>Click here to submit comment</v>
      </c>
    </row>
    <row r="560" spans="1:16" ht="165">
      <c r="A560" s="6" t="s">
        <v>6788</v>
      </c>
      <c r="B560" s="6" t="s">
        <v>6789</v>
      </c>
      <c r="C560" s="6" t="s">
        <v>6790</v>
      </c>
      <c r="D560" s="6" t="s">
        <v>5255</v>
      </c>
      <c r="E560" s="6" t="s">
        <v>5256</v>
      </c>
      <c r="F560" s="7" t="s">
        <v>6649</v>
      </c>
      <c r="G560" s="6" t="s">
        <v>218</v>
      </c>
      <c r="H560" s="6"/>
      <c r="I560" s="6"/>
      <c r="J560" s="6"/>
      <c r="K560" s="6"/>
      <c r="L560" s="6" t="s">
        <v>5257</v>
      </c>
      <c r="M560" s="6"/>
      <c r="N560" s="6" t="s">
        <v>5258</v>
      </c>
      <c r="O560" s="6" t="str">
        <f>HYPERLINK("https://ceds.ed.gov/cedselementdetails.aspx?termid=5524")</f>
        <v>https://ceds.ed.gov/cedselementdetails.aspx?termid=5524</v>
      </c>
      <c r="P560" s="6" t="str">
        <f>HYPERLINK("https://ceds.ed.gov/elementComment.aspx?elementName=School Operational Status &amp;elementID=5524", "Click here to submit comment")</f>
        <v>Click here to submit comment</v>
      </c>
    </row>
    <row r="561" spans="1:16" ht="30">
      <c r="A561" s="6" t="s">
        <v>6788</v>
      </c>
      <c r="B561" s="6" t="s">
        <v>6789</v>
      </c>
      <c r="C561" s="6" t="s">
        <v>6790</v>
      </c>
      <c r="D561" s="6" t="s">
        <v>4325</v>
      </c>
      <c r="E561" s="6" t="s">
        <v>4326</v>
      </c>
      <c r="F561" s="6" t="s">
        <v>13</v>
      </c>
      <c r="G561" s="6" t="s">
        <v>218</v>
      </c>
      <c r="H561" s="6"/>
      <c r="I561" s="6" t="s">
        <v>73</v>
      </c>
      <c r="J561" s="6"/>
      <c r="K561" s="6"/>
      <c r="L561" s="6" t="s">
        <v>4327</v>
      </c>
      <c r="M561" s="6"/>
      <c r="N561" s="6" t="s">
        <v>4328</v>
      </c>
      <c r="O561" s="6" t="str">
        <f>HYPERLINK("https://ceds.ed.gov/cedselementdetails.aspx?termid=5525")</f>
        <v>https://ceds.ed.gov/cedselementdetails.aspx?termid=5525</v>
      </c>
      <c r="P561" s="6" t="str">
        <f>HYPERLINK("https://ceds.ed.gov/elementComment.aspx?elementName=Operational Status Effective Date &amp;elementID=5525", "Click here to submit comment")</f>
        <v>Click here to submit comment</v>
      </c>
    </row>
    <row r="562" spans="1:16" ht="409.5">
      <c r="A562" s="6" t="s">
        <v>6788</v>
      </c>
      <c r="B562" s="6" t="s">
        <v>6789</v>
      </c>
      <c r="C562" s="6" t="s">
        <v>6790</v>
      </c>
      <c r="D562" s="6" t="s">
        <v>4856</v>
      </c>
      <c r="E562" s="6" t="s">
        <v>4857</v>
      </c>
      <c r="F562" s="7" t="s">
        <v>6626</v>
      </c>
      <c r="G562" s="6" t="s">
        <v>5968</v>
      </c>
      <c r="H562" s="6" t="s">
        <v>66</v>
      </c>
      <c r="I562" s="6"/>
      <c r="J562" s="6" t="s">
        <v>4858</v>
      </c>
      <c r="K562" s="6"/>
      <c r="L562" s="6" t="s">
        <v>4859</v>
      </c>
      <c r="M562" s="6"/>
      <c r="N562" s="6" t="s">
        <v>4860</v>
      </c>
      <c r="O562" s="6" t="str">
        <f>HYPERLINK("https://ceds.ed.gov/cedselementdetails.aspx?termid=5225")</f>
        <v>https://ceds.ed.gov/cedselementdetails.aspx?termid=5225</v>
      </c>
      <c r="P562" s="6" t="str">
        <f>HYPERLINK("https://ceds.ed.gov/elementComment.aspx?elementName=Program Type &amp;elementID=5225", "Click here to submit comment")</f>
        <v>Click here to submit comment</v>
      </c>
    </row>
    <row r="563" spans="1:16" ht="165">
      <c r="A563" s="6" t="s">
        <v>6788</v>
      </c>
      <c r="B563" s="6" t="s">
        <v>6789</v>
      </c>
      <c r="C563" s="6" t="s">
        <v>6790</v>
      </c>
      <c r="D563" s="6" t="s">
        <v>347</v>
      </c>
      <c r="E563" s="6" t="s">
        <v>348</v>
      </c>
      <c r="F563" s="7" t="s">
        <v>6372</v>
      </c>
      <c r="G563" s="6" t="s">
        <v>2</v>
      </c>
      <c r="H563" s="6"/>
      <c r="I563" s="6"/>
      <c r="J563" s="6"/>
      <c r="K563" s="6"/>
      <c r="L563" s="6" t="s">
        <v>349</v>
      </c>
      <c r="M563" s="6"/>
      <c r="N563" s="6" t="s">
        <v>350</v>
      </c>
      <c r="O563" s="6" t="str">
        <f>HYPERLINK("https://ceds.ed.gov/cedselementdetails.aspx?termid=5015")</f>
        <v>https://ceds.ed.gov/cedselementdetails.aspx?termid=5015</v>
      </c>
      <c r="P563" s="6" t="str">
        <f>HYPERLINK("https://ceds.ed.gov/elementComment.aspx?elementName=Alternative School Focus Type &amp;elementID=5015", "Click here to submit comment")</f>
        <v>Click here to submit comment</v>
      </c>
    </row>
    <row r="564" spans="1:16" ht="60">
      <c r="A564" s="6" t="s">
        <v>6788</v>
      </c>
      <c r="B564" s="6" t="s">
        <v>6789</v>
      </c>
      <c r="C564" s="6" t="s">
        <v>6790</v>
      </c>
      <c r="D564" s="6" t="s">
        <v>301</v>
      </c>
      <c r="E564" s="6" t="s">
        <v>302</v>
      </c>
      <c r="F564" s="6" t="s">
        <v>5963</v>
      </c>
      <c r="G564" s="6" t="s">
        <v>2</v>
      </c>
      <c r="H564" s="6"/>
      <c r="I564" s="6"/>
      <c r="J564" s="6"/>
      <c r="K564" s="6"/>
      <c r="L564" s="6" t="s">
        <v>303</v>
      </c>
      <c r="M564" s="6" t="s">
        <v>304</v>
      </c>
      <c r="N564" s="6" t="s">
        <v>305</v>
      </c>
      <c r="O564" s="6" t="str">
        <f>HYPERLINK("https://ceds.ed.gov/cedselementdetails.aspx?termid=5017")</f>
        <v>https://ceds.ed.gov/cedselementdetails.aspx?termid=5017</v>
      </c>
      <c r="P564" s="6" t="str">
        <f>HYPERLINK("https://ceds.ed.gov/elementComment.aspx?elementName=Advanced Placement Course Self Selection &amp;elementID=5017", "Click here to submit comment")</f>
        <v>Click here to submit comment</v>
      </c>
    </row>
    <row r="565" spans="1:16" ht="90">
      <c r="A565" s="6" t="s">
        <v>6788</v>
      </c>
      <c r="B565" s="6" t="s">
        <v>6789</v>
      </c>
      <c r="C565" s="6" t="s">
        <v>6790</v>
      </c>
      <c r="D565" s="6" t="s">
        <v>3351</v>
      </c>
      <c r="E565" s="6" t="s">
        <v>3352</v>
      </c>
      <c r="F565" s="7" t="s">
        <v>6558</v>
      </c>
      <c r="G565" s="6" t="s">
        <v>218</v>
      </c>
      <c r="H565" s="6"/>
      <c r="I565" s="6"/>
      <c r="J565" s="6"/>
      <c r="K565" s="6"/>
      <c r="L565" s="6" t="s">
        <v>3353</v>
      </c>
      <c r="M565" s="6"/>
      <c r="N565" s="6" t="s">
        <v>3354</v>
      </c>
      <c r="O565" s="6" t="str">
        <f>HYPERLINK("https://ceds.ed.gov/cedselementdetails.aspx?termid=5580")</f>
        <v>https://ceds.ed.gov/cedselementdetails.aspx?termid=5580</v>
      </c>
      <c r="P565" s="6" t="str">
        <f>HYPERLINK("https://ceds.ed.gov/elementComment.aspx?elementName=Internet Access &amp;elementID=5580", "Click here to submit comment")</f>
        <v>Click here to submit comment</v>
      </c>
    </row>
    <row r="566" spans="1:16" ht="180">
      <c r="A566" s="6" t="s">
        <v>6788</v>
      </c>
      <c r="B566" s="6" t="s">
        <v>6789</v>
      </c>
      <c r="C566" s="6" t="s">
        <v>6790</v>
      </c>
      <c r="D566" s="6" t="s">
        <v>5247</v>
      </c>
      <c r="E566" s="6" t="s">
        <v>5248</v>
      </c>
      <c r="F566" s="7" t="s">
        <v>6647</v>
      </c>
      <c r="G566" s="6" t="s">
        <v>218</v>
      </c>
      <c r="H566" s="6"/>
      <c r="I566" s="6"/>
      <c r="J566" s="6"/>
      <c r="K566" s="6"/>
      <c r="L566" s="6" t="s">
        <v>5249</v>
      </c>
      <c r="M566" s="6"/>
      <c r="N566" s="6" t="s">
        <v>5250</v>
      </c>
      <c r="O566" s="6" t="str">
        <f>HYPERLINK("https://ceds.ed.gov/cedselementdetails.aspx?termid=5240")</f>
        <v>https://ceds.ed.gov/cedselementdetails.aspx?termid=5240</v>
      </c>
      <c r="P566" s="6" t="str">
        <f>HYPERLINK("https://ceds.ed.gov/elementComment.aspx?elementName=School Improvement Status &amp;elementID=5240", "Click here to submit comment")</f>
        <v>Click here to submit comment</v>
      </c>
    </row>
    <row r="567" spans="1:16" ht="90">
      <c r="A567" s="6" t="s">
        <v>6788</v>
      </c>
      <c r="B567" s="6" t="s">
        <v>6789</v>
      </c>
      <c r="C567" s="6" t="s">
        <v>6790</v>
      </c>
      <c r="D567" s="6" t="s">
        <v>5357</v>
      </c>
      <c r="E567" s="6" t="s">
        <v>5358</v>
      </c>
      <c r="F567" s="6" t="s">
        <v>5963</v>
      </c>
      <c r="G567" s="6" t="s">
        <v>218</v>
      </c>
      <c r="H567" s="6"/>
      <c r="I567" s="6"/>
      <c r="J567" s="6"/>
      <c r="K567" s="6"/>
      <c r="L567" s="6" t="s">
        <v>5359</v>
      </c>
      <c r="M567" s="6"/>
      <c r="N567" s="6" t="s">
        <v>5360</v>
      </c>
      <c r="O567" s="6" t="str">
        <f>HYPERLINK("https://ceds.ed.gov/cedselementdetails.aspx?termid=5257")</f>
        <v>https://ceds.ed.gov/cedselementdetails.aspx?termid=5257</v>
      </c>
      <c r="P567" s="6" t="str">
        <f>HYPERLINK("https://ceds.ed.gov/elementComment.aspx?elementName=Shared Time Indicator &amp;elementID=5257", "Click here to submit comment")</f>
        <v>Click here to submit comment</v>
      </c>
    </row>
    <row r="568" spans="1:16" ht="105">
      <c r="A568" s="6" t="s">
        <v>6788</v>
      </c>
      <c r="B568" s="6" t="s">
        <v>6789</v>
      </c>
      <c r="C568" s="6" t="s">
        <v>6790</v>
      </c>
      <c r="D568" s="6" t="s">
        <v>5875</v>
      </c>
      <c r="E568" s="6" t="s">
        <v>5876</v>
      </c>
      <c r="F568" s="6" t="s">
        <v>5963</v>
      </c>
      <c r="G568" s="6"/>
      <c r="H568" s="6"/>
      <c r="I568" s="6"/>
      <c r="J568" s="6"/>
      <c r="K568" s="6"/>
      <c r="L568" s="6" t="s">
        <v>5877</v>
      </c>
      <c r="M568" s="6"/>
      <c r="N568" s="6" t="s">
        <v>5878</v>
      </c>
      <c r="O568" s="6" t="str">
        <f>HYPERLINK("https://ceds.ed.gov/cedselementdetails.aspx?termid=6167")</f>
        <v>https://ceds.ed.gov/cedselementdetails.aspx?termid=6167</v>
      </c>
      <c r="P568" s="6" t="str">
        <f>HYPERLINK("https://ceds.ed.gov/elementComment.aspx?elementName=Virtual Indicator &amp;elementID=6167", "Click here to submit comment")</f>
        <v>Click here to submit comment</v>
      </c>
    </row>
    <row r="569" spans="1:16" ht="30">
      <c r="A569" s="6" t="s">
        <v>6788</v>
      </c>
      <c r="B569" s="6" t="s">
        <v>6789</v>
      </c>
      <c r="C569" s="6" t="s">
        <v>6790</v>
      </c>
      <c r="D569" s="6" t="s">
        <v>5908</v>
      </c>
      <c r="E569" s="6" t="s">
        <v>5909</v>
      </c>
      <c r="F569" s="6" t="s">
        <v>13</v>
      </c>
      <c r="G569" s="6" t="s">
        <v>218</v>
      </c>
      <c r="H569" s="6" t="s">
        <v>3</v>
      </c>
      <c r="I569" s="6" t="s">
        <v>93</v>
      </c>
      <c r="J569" s="6"/>
      <c r="K569" s="6"/>
      <c r="L569" s="6" t="s">
        <v>5910</v>
      </c>
      <c r="M569" s="6"/>
      <c r="N569" s="6" t="s">
        <v>5911</v>
      </c>
      <c r="O569" s="6" t="str">
        <f>HYPERLINK("https://ceds.ed.gov/cedselementdetails.aspx?termid=5300")</f>
        <v>https://ceds.ed.gov/cedselementdetails.aspx?termid=5300</v>
      </c>
      <c r="P569" s="6" t="str">
        <f>HYPERLINK("https://ceds.ed.gov/elementComment.aspx?elementName=Web Site Address &amp;elementID=5300", "Click here to submit comment")</f>
        <v>Click here to submit comment</v>
      </c>
    </row>
    <row r="570" spans="1:16" ht="120">
      <c r="A570" s="6" t="s">
        <v>6788</v>
      </c>
      <c r="B570" s="6" t="s">
        <v>6789</v>
      </c>
      <c r="C570" s="6" t="s">
        <v>6790</v>
      </c>
      <c r="D570" s="6" t="s">
        <v>1610</v>
      </c>
      <c r="E570" s="6" t="s">
        <v>1611</v>
      </c>
      <c r="F570" s="7" t="s">
        <v>6419</v>
      </c>
      <c r="G570" s="6"/>
      <c r="H570" s="6" t="s">
        <v>54</v>
      </c>
      <c r="I570" s="6"/>
      <c r="J570" s="6"/>
      <c r="K570" s="6"/>
      <c r="L570" s="6" t="s">
        <v>1612</v>
      </c>
      <c r="M570" s="6"/>
      <c r="N570" s="6" t="s">
        <v>1613</v>
      </c>
      <c r="O570" s="6" t="str">
        <f>HYPERLINK("https://ceds.ed.gov/cedselementdetails.aspx?termid=6258")</f>
        <v>https://ceds.ed.gov/cedselementdetails.aspx?termid=6258</v>
      </c>
      <c r="P570" s="6" t="str">
        <f>HYPERLINK("https://ceds.ed.gov/elementComment.aspx?elementName=Charter School Approval Agency Type &amp;elementID=6258", "Click here to submit comment")</f>
        <v>Click here to submit comment</v>
      </c>
    </row>
    <row r="571" spans="1:16" ht="30">
      <c r="A571" s="6" t="s">
        <v>6788</v>
      </c>
      <c r="B571" s="6" t="s">
        <v>6789</v>
      </c>
      <c r="C571" s="6" t="s">
        <v>6790</v>
      </c>
      <c r="D571" s="6" t="s">
        <v>1614</v>
      </c>
      <c r="E571" s="6" t="s">
        <v>1615</v>
      </c>
      <c r="F571" s="6" t="s">
        <v>13</v>
      </c>
      <c r="G571" s="6"/>
      <c r="H571" s="6" t="s">
        <v>54</v>
      </c>
      <c r="I571" s="6" t="s">
        <v>1616</v>
      </c>
      <c r="J571" s="6"/>
      <c r="K571" s="6"/>
      <c r="L571" s="6" t="s">
        <v>1617</v>
      </c>
      <c r="M571" s="6"/>
      <c r="N571" s="6" t="s">
        <v>1618</v>
      </c>
      <c r="O571" s="6" t="str">
        <f>HYPERLINK("https://ceds.ed.gov/cedselementdetails.aspx?termid=6259")</f>
        <v>https://ceds.ed.gov/cedselementdetails.aspx?termid=6259</v>
      </c>
      <c r="P571" s="6" t="str">
        <f>HYPERLINK("https://ceds.ed.gov/elementComment.aspx?elementName=Charter School Approval Year &amp;elementID=6259", "Click here to submit comment")</f>
        <v>Click here to submit comment</v>
      </c>
    </row>
    <row r="572" spans="1:16" ht="75">
      <c r="A572" s="6" t="s">
        <v>6788</v>
      </c>
      <c r="B572" s="6" t="s">
        <v>6789</v>
      </c>
      <c r="C572" s="6" t="s">
        <v>6791</v>
      </c>
      <c r="D572" s="6" t="s">
        <v>0</v>
      </c>
      <c r="E572" s="6" t="s">
        <v>1</v>
      </c>
      <c r="F572" s="6" t="s">
        <v>5963</v>
      </c>
      <c r="G572" s="6" t="s">
        <v>2</v>
      </c>
      <c r="H572" s="6" t="s">
        <v>3</v>
      </c>
      <c r="I572" s="6"/>
      <c r="J572" s="6"/>
      <c r="K572" s="6"/>
      <c r="L572" s="6" t="s">
        <v>4</v>
      </c>
      <c r="M572" s="6"/>
      <c r="N572" s="6" t="s">
        <v>5</v>
      </c>
      <c r="O572" s="6" t="str">
        <f>HYPERLINK("https://ceds.ed.gov/cedselementdetails.aspx?termid=5000")</f>
        <v>https://ceds.ed.gov/cedselementdetails.aspx?termid=5000</v>
      </c>
      <c r="P572" s="6" t="str">
        <f>HYPERLINK("https://ceds.ed.gov/elementComment.aspx?elementName=Ability Grouping Status &amp;elementID=5000", "Click here to submit comment")</f>
        <v>Click here to submit comment</v>
      </c>
    </row>
    <row r="573" spans="1:16" ht="135">
      <c r="A573" s="6" t="s">
        <v>6788</v>
      </c>
      <c r="B573" s="6" t="s">
        <v>6789</v>
      </c>
      <c r="C573" s="6" t="s">
        <v>6791</v>
      </c>
      <c r="D573" s="6" t="s">
        <v>1594</v>
      </c>
      <c r="E573" s="6" t="s">
        <v>1595</v>
      </c>
      <c r="F573" s="7" t="s">
        <v>6417</v>
      </c>
      <c r="G573" s="6" t="s">
        <v>218</v>
      </c>
      <c r="H573" s="6"/>
      <c r="I573" s="6"/>
      <c r="J573" s="6"/>
      <c r="K573" s="6"/>
      <c r="L573" s="6" t="s">
        <v>1596</v>
      </c>
      <c r="M573" s="6" t="s">
        <v>1597</v>
      </c>
      <c r="N573" s="6" t="s">
        <v>1598</v>
      </c>
      <c r="O573" s="6" t="str">
        <f>HYPERLINK("https://ceds.ed.gov/cedselementdetails.aspx?termid=5581")</f>
        <v>https://ceds.ed.gov/cedselementdetails.aspx?termid=5581</v>
      </c>
      <c r="P573" s="6" t="str">
        <f>HYPERLINK("https://ceds.ed.gov/elementComment.aspx?elementName=Career Technical Education Nontraditional Gender Status &amp;elementID=5581", "Click here to submit comment")</f>
        <v>Click here to submit comment</v>
      </c>
    </row>
    <row r="574" spans="1:16" ht="409.5">
      <c r="A574" s="6" t="s">
        <v>6788</v>
      </c>
      <c r="B574" s="6" t="s">
        <v>6789</v>
      </c>
      <c r="C574" s="6" t="s">
        <v>6791</v>
      </c>
      <c r="D574" s="6" t="s">
        <v>4788</v>
      </c>
      <c r="E574" s="6" t="s">
        <v>4789</v>
      </c>
      <c r="F574" s="7" t="s">
        <v>6623</v>
      </c>
      <c r="G574" s="6"/>
      <c r="H574" s="6" t="s">
        <v>66</v>
      </c>
      <c r="I574" s="6"/>
      <c r="J574" s="6" t="s">
        <v>94</v>
      </c>
      <c r="K574" s="6"/>
      <c r="L574" s="6" t="s">
        <v>4790</v>
      </c>
      <c r="M574" s="6"/>
      <c r="N574" s="6" t="s">
        <v>4791</v>
      </c>
      <c r="O574" s="6" t="str">
        <f>HYPERLINK("https://ceds.ed.gov/cedselementdetails.aspx?termid=6210")</f>
        <v>https://ceds.ed.gov/cedselementdetails.aspx?termid=6210</v>
      </c>
      <c r="P574" s="6" t="str">
        <f>HYPERLINK("https://ceds.ed.gov/elementComment.aspx?elementName=Program Gifted Eligibility Criteria &amp;elementID=6210", "Click here to submit comment")</f>
        <v>Click here to submit comment</v>
      </c>
    </row>
    <row r="575" spans="1:16" ht="180">
      <c r="A575" s="6" t="s">
        <v>6788</v>
      </c>
      <c r="B575" s="6" t="s">
        <v>6789</v>
      </c>
      <c r="C575" s="6" t="s">
        <v>6791</v>
      </c>
      <c r="D575" s="6" t="s">
        <v>3195</v>
      </c>
      <c r="E575" s="6" t="s">
        <v>3196</v>
      </c>
      <c r="F575" s="7" t="s">
        <v>6548</v>
      </c>
      <c r="G575" s="6" t="s">
        <v>218</v>
      </c>
      <c r="H575" s="6"/>
      <c r="I575" s="6"/>
      <c r="J575" s="6"/>
      <c r="K575" s="6"/>
      <c r="L575" s="6" t="s">
        <v>3197</v>
      </c>
      <c r="M575" s="6"/>
      <c r="N575" s="6" t="s">
        <v>3198</v>
      </c>
      <c r="O575" s="6" t="str">
        <f>HYPERLINK("https://ceds.ed.gov/cedselementdetails.aspx?termid=5164")</f>
        <v>https://ceds.ed.gov/cedselementdetails.aspx?termid=5164</v>
      </c>
      <c r="P575" s="6" t="str">
        <f>HYPERLINK("https://ceds.ed.gov/elementComment.aspx?elementName=Increased Learning Time Type &amp;elementID=5164", "Click here to submit comment")</f>
        <v>Click here to submit comment</v>
      </c>
    </row>
    <row r="576" spans="1:16" ht="120">
      <c r="A576" s="6" t="s">
        <v>6788</v>
      </c>
      <c r="B576" s="6" t="s">
        <v>6789</v>
      </c>
      <c r="C576" s="6" t="s">
        <v>6791</v>
      </c>
      <c r="D576" s="6" t="s">
        <v>5584</v>
      </c>
      <c r="E576" s="6" t="s">
        <v>5585</v>
      </c>
      <c r="F576" s="7" t="s">
        <v>6664</v>
      </c>
      <c r="G576" s="6" t="s">
        <v>218</v>
      </c>
      <c r="H576" s="6"/>
      <c r="I576" s="6"/>
      <c r="J576" s="6"/>
      <c r="K576" s="6"/>
      <c r="L576" s="6" t="s">
        <v>5586</v>
      </c>
      <c r="M576" s="6"/>
      <c r="N576" s="6" t="s">
        <v>5587</v>
      </c>
      <c r="O576" s="6" t="str">
        <f>HYPERLINK("https://ceds.ed.gov/cedselementdetails.aspx?termid=5578")</f>
        <v>https://ceds.ed.gov/cedselementdetails.aspx?termid=5578</v>
      </c>
      <c r="P576" s="6" t="str">
        <f>HYPERLINK("https://ceds.ed.gov/elementComment.aspx?elementName=State Poverty Designation &amp;elementID=5578", "Click here to submit comment")</f>
        <v>Click here to submit comment</v>
      </c>
    </row>
    <row r="577" spans="1:16" ht="409.5">
      <c r="A577" s="6" t="s">
        <v>6788</v>
      </c>
      <c r="B577" s="6" t="s">
        <v>6789</v>
      </c>
      <c r="C577" s="6" t="s">
        <v>6791</v>
      </c>
      <c r="D577" s="6" t="s">
        <v>5622</v>
      </c>
      <c r="E577" s="6" t="s">
        <v>5623</v>
      </c>
      <c r="F577" s="7" t="s">
        <v>6666</v>
      </c>
      <c r="G577" s="6"/>
      <c r="H577" s="6"/>
      <c r="I577" s="6"/>
      <c r="J577" s="6"/>
      <c r="K577" s="6"/>
      <c r="L577" s="6" t="s">
        <v>5624</v>
      </c>
      <c r="M577" s="6"/>
      <c r="N577" s="6" t="s">
        <v>5625</v>
      </c>
      <c r="O577" s="6" t="str">
        <f>HYPERLINK("https://ceds.ed.gov/cedselementdetails.aspx?termid=5273")</f>
        <v>https://ceds.ed.gov/cedselementdetails.aspx?termid=5273</v>
      </c>
      <c r="P577" s="6" t="str">
        <f>HYPERLINK("https://ceds.ed.gov/elementComment.aspx?elementName=Student Support Service Type &amp;elementID=5273", "Click here to submit comment")</f>
        <v>Click here to submit comment</v>
      </c>
    </row>
    <row r="578" spans="1:16" ht="180">
      <c r="A578" s="6" t="s">
        <v>6788</v>
      </c>
      <c r="B578" s="6" t="s">
        <v>6789</v>
      </c>
      <c r="C578" s="6" t="s">
        <v>6791</v>
      </c>
      <c r="D578" s="6" t="s">
        <v>5764</v>
      </c>
      <c r="E578" s="6" t="s">
        <v>5765</v>
      </c>
      <c r="F578" s="7" t="s">
        <v>6679</v>
      </c>
      <c r="G578" s="6" t="s">
        <v>218</v>
      </c>
      <c r="H578" s="6"/>
      <c r="I578" s="6"/>
      <c r="J578" s="6"/>
      <c r="K578" s="6"/>
      <c r="L578" s="6" t="s">
        <v>5766</v>
      </c>
      <c r="M578" s="6"/>
      <c r="N578" s="6" t="s">
        <v>5767</v>
      </c>
      <c r="O578" s="6" t="str">
        <f>HYPERLINK("https://ceds.ed.gov/cedselementdetails.aspx?termid=5284")</f>
        <v>https://ceds.ed.gov/cedselementdetails.aspx?termid=5284</v>
      </c>
      <c r="P578" s="6" t="str">
        <f>HYPERLINK("https://ceds.ed.gov/elementComment.aspx?elementName=Title I Program Type &amp;elementID=5284", "Click here to submit comment")</f>
        <v>Click here to submit comment</v>
      </c>
    </row>
    <row r="579" spans="1:16" ht="285">
      <c r="A579" s="6" t="s">
        <v>6788</v>
      </c>
      <c r="B579" s="6" t="s">
        <v>6789</v>
      </c>
      <c r="C579" s="6" t="s">
        <v>6791</v>
      </c>
      <c r="D579" s="6" t="s">
        <v>5768</v>
      </c>
      <c r="E579" s="6" t="s">
        <v>5769</v>
      </c>
      <c r="F579" s="7" t="s">
        <v>6680</v>
      </c>
      <c r="G579" s="6" t="s">
        <v>218</v>
      </c>
      <c r="H579" s="6"/>
      <c r="I579" s="6"/>
      <c r="J579" s="6"/>
      <c r="K579" s="6"/>
      <c r="L579" s="6" t="s">
        <v>5770</v>
      </c>
      <c r="M579" s="6"/>
      <c r="N579" s="6" t="s">
        <v>5771</v>
      </c>
      <c r="O579" s="6" t="str">
        <f>HYPERLINK("https://ceds.ed.gov/cedselementdetails.aspx?termid=5285")</f>
        <v>https://ceds.ed.gov/cedselementdetails.aspx?termid=5285</v>
      </c>
      <c r="P579" s="6" t="str">
        <f>HYPERLINK("https://ceds.ed.gov/elementComment.aspx?elementName=Title I School Status &amp;elementID=5285", "Click here to submit comment")</f>
        <v>Click here to submit comment</v>
      </c>
    </row>
    <row r="580" spans="1:16" ht="375">
      <c r="A580" s="6" t="s">
        <v>6788</v>
      </c>
      <c r="B580" s="6" t="s">
        <v>6789</v>
      </c>
      <c r="C580" s="6" t="s">
        <v>6791</v>
      </c>
      <c r="D580" s="6" t="s">
        <v>5812</v>
      </c>
      <c r="E580" s="6" t="s">
        <v>5813</v>
      </c>
      <c r="F580" s="7" t="s">
        <v>6683</v>
      </c>
      <c r="G580" s="6" t="s">
        <v>207</v>
      </c>
      <c r="H580" s="6"/>
      <c r="I580" s="6"/>
      <c r="J580" s="6"/>
      <c r="K580" s="6"/>
      <c r="L580" s="6" t="s">
        <v>5814</v>
      </c>
      <c r="M580" s="6"/>
      <c r="N580" s="6" t="s">
        <v>5815</v>
      </c>
      <c r="O580" s="6" t="str">
        <f>HYPERLINK("https://ceds.ed.gov/cedselementdetails.aspx?termid=5437")</f>
        <v>https://ceds.ed.gov/cedselementdetails.aspx?termid=5437</v>
      </c>
      <c r="P580" s="6" t="str">
        <f>HYPERLINK("https://ceds.ed.gov/elementComment.aspx?elementName=Title III Language Instruction Program Type &amp;elementID=5437", "Click here to submit comment")</f>
        <v>Click here to submit comment</v>
      </c>
    </row>
    <row r="581" spans="1:16" ht="375">
      <c r="A581" s="6" t="s">
        <v>6788</v>
      </c>
      <c r="B581" s="6" t="s">
        <v>6789</v>
      </c>
      <c r="C581" s="6" t="s">
        <v>6791</v>
      </c>
      <c r="D581" s="6" t="s">
        <v>2233</v>
      </c>
      <c r="E581" s="6" t="s">
        <v>2234</v>
      </c>
      <c r="F581" s="7" t="s">
        <v>6463</v>
      </c>
      <c r="G581" s="6" t="s">
        <v>218</v>
      </c>
      <c r="H581" s="6"/>
      <c r="I581" s="6"/>
      <c r="J581" s="6"/>
      <c r="K581" s="6"/>
      <c r="L581" s="6" t="s">
        <v>2236</v>
      </c>
      <c r="M581" s="6"/>
      <c r="N581" s="6" t="s">
        <v>2237</v>
      </c>
      <c r="O581" s="6" t="str">
        <f>HYPERLINK("https://ceds.ed.gov/cedselementdetails.aspx?termid=5546")</f>
        <v>https://ceds.ed.gov/cedselementdetails.aspx?termid=5546</v>
      </c>
      <c r="P581" s="6" t="str">
        <f>HYPERLINK("https://ceds.ed.gov/elementComment.aspx?elementName=Discipline Method for Firearms Incidents &amp;elementID=5546", "Click here to submit comment")</f>
        <v>Click here to submit comment</v>
      </c>
    </row>
    <row r="582" spans="1:16" ht="90">
      <c r="A582" s="6" t="s">
        <v>6788</v>
      </c>
      <c r="B582" s="6" t="s">
        <v>6789</v>
      </c>
      <c r="C582" s="6" t="s">
        <v>6791</v>
      </c>
      <c r="D582" s="6" t="s">
        <v>2238</v>
      </c>
      <c r="E582" s="6" t="s">
        <v>2239</v>
      </c>
      <c r="F582" s="7" t="s">
        <v>6464</v>
      </c>
      <c r="G582" s="6" t="s">
        <v>218</v>
      </c>
      <c r="H582" s="6"/>
      <c r="I582" s="6"/>
      <c r="J582" s="6"/>
      <c r="K582" s="6"/>
      <c r="L582" s="6" t="s">
        <v>2240</v>
      </c>
      <c r="M582" s="6"/>
      <c r="N582" s="6" t="s">
        <v>2241</v>
      </c>
      <c r="O582" s="6" t="str">
        <f>HYPERLINK("https://ceds.ed.gov/cedselementdetails.aspx?termid=5529")</f>
        <v>https://ceds.ed.gov/cedselementdetails.aspx?termid=5529</v>
      </c>
      <c r="P582" s="6" t="str">
        <f>HYPERLINK("https://ceds.ed.gov/elementComment.aspx?elementName=Discipline Method of Children with Disabilities &amp;elementID=5529", "Click here to submit comment")</f>
        <v>Click here to submit comment</v>
      </c>
    </row>
    <row r="583" spans="1:16" ht="270">
      <c r="A583" s="6" t="s">
        <v>6788</v>
      </c>
      <c r="B583" s="6" t="s">
        <v>6789</v>
      </c>
      <c r="C583" s="6" t="s">
        <v>6791</v>
      </c>
      <c r="D583" s="6" t="s">
        <v>3023</v>
      </c>
      <c r="E583" s="6" t="s">
        <v>3024</v>
      </c>
      <c r="F583" s="7" t="s">
        <v>6534</v>
      </c>
      <c r="G583" s="6" t="s">
        <v>218</v>
      </c>
      <c r="H583" s="6"/>
      <c r="I583" s="6"/>
      <c r="J583" s="6"/>
      <c r="K583" s="6"/>
      <c r="L583" s="6" t="s">
        <v>3025</v>
      </c>
      <c r="M583" s="6"/>
      <c r="N583" s="6" t="s">
        <v>3026</v>
      </c>
      <c r="O583" s="6" t="str">
        <f>HYPERLINK("https://ceds.ed.gov/cedselementdetails.aspx?termid=5547")</f>
        <v>https://ceds.ed.gov/cedselementdetails.aspx?termid=5547</v>
      </c>
      <c r="P583" s="6" t="str">
        <f>HYPERLINK("https://ceds.ed.gov/elementComment.aspx?elementName=IDEA Discipline Method for Firearms Incidents &amp;elementID=5547", "Click here to submit comment")</f>
        <v>Click here to submit comment</v>
      </c>
    </row>
    <row r="584" spans="1:16" ht="75">
      <c r="A584" s="6" t="s">
        <v>6788</v>
      </c>
      <c r="B584" s="6" t="s">
        <v>6789</v>
      </c>
      <c r="C584" s="6" t="s">
        <v>6792</v>
      </c>
      <c r="D584" s="6" t="s">
        <v>216</v>
      </c>
      <c r="E584" s="6" t="s">
        <v>217</v>
      </c>
      <c r="F584" s="7" t="s">
        <v>6356</v>
      </c>
      <c r="G584" s="6" t="s">
        <v>218</v>
      </c>
      <c r="H584" s="6"/>
      <c r="I584" s="6"/>
      <c r="J584" s="6"/>
      <c r="K584" s="6"/>
      <c r="L584" s="6" t="s">
        <v>219</v>
      </c>
      <c r="M584" s="6" t="s">
        <v>220</v>
      </c>
      <c r="N584" s="6" t="s">
        <v>221</v>
      </c>
      <c r="O584" s="6" t="str">
        <f>HYPERLINK("https://ceds.ed.gov/cedselementdetails.aspx?termid=5011")</f>
        <v>https://ceds.ed.gov/cedselementdetails.aspx?termid=5011</v>
      </c>
      <c r="P584" s="6" t="str">
        <f>HYPERLINK("https://ceds.ed.gov/elementComment.aspx?elementName=Adequate Yearly Progress Status &amp;elementID=5011", "Click here to submit comment")</f>
        <v>Click here to submit comment</v>
      </c>
    </row>
    <row r="585" spans="1:16" ht="60">
      <c r="A585" s="6" t="s">
        <v>6788</v>
      </c>
      <c r="B585" s="6" t="s">
        <v>6789</v>
      </c>
      <c r="C585" s="6" t="s">
        <v>6792</v>
      </c>
      <c r="D585" s="6" t="s">
        <v>205</v>
      </c>
      <c r="E585" s="6" t="s">
        <v>206</v>
      </c>
      <c r="F585" s="6" t="s">
        <v>5963</v>
      </c>
      <c r="G585" s="6" t="s">
        <v>207</v>
      </c>
      <c r="H585" s="6"/>
      <c r="I585" s="6"/>
      <c r="J585" s="6"/>
      <c r="K585" s="6"/>
      <c r="L585" s="6" t="s">
        <v>208</v>
      </c>
      <c r="M585" s="6" t="s">
        <v>209</v>
      </c>
      <c r="N585" s="6" t="s">
        <v>210</v>
      </c>
      <c r="O585" s="6" t="str">
        <f>HYPERLINK("https://ceds.ed.gov/cedselementdetails.aspx?termid=5433")</f>
        <v>https://ceds.ed.gov/cedselementdetails.aspx?termid=5433</v>
      </c>
      <c r="P585" s="6" t="str">
        <f>HYPERLINK("https://ceds.ed.gov/elementComment.aspx?elementName=Adequate Yearly Progress Appeal Changed Designation &amp;elementID=5433", "Click here to submit comment")</f>
        <v>Click here to submit comment</v>
      </c>
    </row>
    <row r="586" spans="1:16" ht="45">
      <c r="A586" s="6" t="s">
        <v>6788</v>
      </c>
      <c r="B586" s="6" t="s">
        <v>6789</v>
      </c>
      <c r="C586" s="6" t="s">
        <v>6792</v>
      </c>
      <c r="D586" s="6" t="s">
        <v>211</v>
      </c>
      <c r="E586" s="6" t="s">
        <v>212</v>
      </c>
      <c r="F586" s="6" t="s">
        <v>13</v>
      </c>
      <c r="G586" s="6" t="s">
        <v>207</v>
      </c>
      <c r="H586" s="6"/>
      <c r="I586" s="6" t="s">
        <v>73</v>
      </c>
      <c r="J586" s="6"/>
      <c r="K586" s="6"/>
      <c r="L586" s="6" t="s">
        <v>213</v>
      </c>
      <c r="M586" s="6" t="s">
        <v>214</v>
      </c>
      <c r="N586" s="6" t="s">
        <v>215</v>
      </c>
      <c r="O586" s="6" t="str">
        <f>HYPERLINK("https://ceds.ed.gov/cedselementdetails.aspx?termid=5434")</f>
        <v>https://ceds.ed.gov/cedselementdetails.aspx?termid=5434</v>
      </c>
      <c r="P586" s="6" t="str">
        <f>HYPERLINK("https://ceds.ed.gov/elementComment.aspx?elementName=Adequate Yearly Progress Appeal Process Date &amp;elementID=5434", "Click here to submit comment")</f>
        <v>Click here to submit comment</v>
      </c>
    </row>
    <row r="587" spans="1:16" ht="60">
      <c r="A587" s="6" t="s">
        <v>6788</v>
      </c>
      <c r="B587" s="6" t="s">
        <v>6789</v>
      </c>
      <c r="C587" s="6" t="s">
        <v>6792</v>
      </c>
      <c r="D587" s="6" t="s">
        <v>376</v>
      </c>
      <c r="E587" s="6" t="s">
        <v>377</v>
      </c>
      <c r="F587" s="6" t="s">
        <v>5963</v>
      </c>
      <c r="G587" s="6" t="s">
        <v>207</v>
      </c>
      <c r="H587" s="6"/>
      <c r="I587" s="6"/>
      <c r="J587" s="6"/>
      <c r="K587" s="6"/>
      <c r="L587" s="6" t="s">
        <v>378</v>
      </c>
      <c r="M587" s="6" t="s">
        <v>379</v>
      </c>
      <c r="N587" s="6" t="s">
        <v>380</v>
      </c>
      <c r="O587" s="6" t="str">
        <f>HYPERLINK("https://ceds.ed.gov/cedselementdetails.aspx?termid=5432")</f>
        <v>https://ceds.ed.gov/cedselementdetails.aspx?termid=5432</v>
      </c>
      <c r="P587" s="6" t="str">
        <f>HYPERLINK("https://ceds.ed.gov/elementComment.aspx?elementName=Appealed Adequate Yearly Progress Designation &amp;elementID=5432", "Click here to submit comment")</f>
        <v>Click here to submit comment</v>
      </c>
    </row>
    <row r="588" spans="1:16" ht="60">
      <c r="A588" s="6" t="s">
        <v>6788</v>
      </c>
      <c r="B588" s="6" t="s">
        <v>6789</v>
      </c>
      <c r="C588" s="6" t="s">
        <v>6792</v>
      </c>
      <c r="D588" s="6" t="s">
        <v>331</v>
      </c>
      <c r="E588" s="6" t="s">
        <v>332</v>
      </c>
      <c r="F588" s="6" t="s">
        <v>5963</v>
      </c>
      <c r="G588" s="6" t="s">
        <v>218</v>
      </c>
      <c r="H588" s="6"/>
      <c r="I588" s="6"/>
      <c r="J588" s="6"/>
      <c r="K588" s="6"/>
      <c r="L588" s="6" t="s">
        <v>333</v>
      </c>
      <c r="M588" s="6" t="s">
        <v>334</v>
      </c>
      <c r="N588" s="6" t="s">
        <v>335</v>
      </c>
      <c r="O588" s="6" t="str">
        <f>HYPERLINK("https://ceds.ed.gov/cedselementdetails.aspx?termid=5014")</f>
        <v>https://ceds.ed.gov/cedselementdetails.aspx?termid=5014</v>
      </c>
      <c r="P588" s="6" t="str">
        <f>HYPERLINK("https://ceds.ed.gov/elementComment.aspx?elementName=Alternate Adequate Yearly Progress Approach Indicator &amp;elementID=5014", "Click here to submit comment")</f>
        <v>Click here to submit comment</v>
      </c>
    </row>
    <row r="589" spans="1:16" ht="105">
      <c r="A589" s="6" t="s">
        <v>6788</v>
      </c>
      <c r="B589" s="6" t="s">
        <v>6789</v>
      </c>
      <c r="C589" s="6" t="s">
        <v>6792</v>
      </c>
      <c r="D589" s="6" t="s">
        <v>366</v>
      </c>
      <c r="E589" s="6" t="s">
        <v>367</v>
      </c>
      <c r="F589" s="7" t="s">
        <v>6374</v>
      </c>
      <c r="G589" s="6" t="s">
        <v>218</v>
      </c>
      <c r="H589" s="6"/>
      <c r="I589" s="6"/>
      <c r="J589" s="6"/>
      <c r="K589" s="6"/>
      <c r="L589" s="6" t="s">
        <v>368</v>
      </c>
      <c r="M589" s="6" t="s">
        <v>369</v>
      </c>
      <c r="N589" s="6" t="s">
        <v>370</v>
      </c>
      <c r="O589" s="6" t="str">
        <f>HYPERLINK("https://ceds.ed.gov/cedselementdetails.aspx?termid=5535")</f>
        <v>https://ceds.ed.gov/cedselementdetails.aspx?termid=5535</v>
      </c>
      <c r="P589" s="6" t="str">
        <f>HYPERLINK("https://ceds.ed.gov/elementComment.aspx?elementName=Annual Measurable Achievement Objective Proficiency Attainment Status for LEP Students &amp;elementID=5535", "Click here to submit comment")</f>
        <v>Click here to submit comment</v>
      </c>
    </row>
    <row r="590" spans="1:16" ht="105">
      <c r="A590" s="6" t="s">
        <v>6788</v>
      </c>
      <c r="B590" s="6" t="s">
        <v>6789</v>
      </c>
      <c r="C590" s="6" t="s">
        <v>6792</v>
      </c>
      <c r="D590" s="6" t="s">
        <v>371</v>
      </c>
      <c r="E590" s="6" t="s">
        <v>372</v>
      </c>
      <c r="F590" s="7" t="s">
        <v>6374</v>
      </c>
      <c r="G590" s="6" t="s">
        <v>218</v>
      </c>
      <c r="H590" s="6"/>
      <c r="I590" s="6"/>
      <c r="J590" s="6"/>
      <c r="K590" s="6"/>
      <c r="L590" s="6" t="s">
        <v>373</v>
      </c>
      <c r="M590" s="6" t="s">
        <v>374</v>
      </c>
      <c r="N590" s="6" t="s">
        <v>375</v>
      </c>
      <c r="O590" s="6" t="str">
        <f>HYPERLINK("https://ceds.ed.gov/cedselementdetails.aspx?termid=5545")</f>
        <v>https://ceds.ed.gov/cedselementdetails.aspx?termid=5545</v>
      </c>
      <c r="P590" s="6" t="str">
        <f>HYPERLINK("https://ceds.ed.gov/elementComment.aspx?elementName=Annual Measurable Achievement Objective Progress Attainment Status for LEP Students &amp;elementID=5545", "Click here to submit comment")</f>
        <v>Click here to submit comment</v>
      </c>
    </row>
    <row r="591" spans="1:16" ht="345">
      <c r="A591" s="6" t="s">
        <v>6788</v>
      </c>
      <c r="B591" s="6" t="s">
        <v>6789</v>
      </c>
      <c r="C591" s="6" t="s">
        <v>6792</v>
      </c>
      <c r="D591" s="6" t="s">
        <v>1804</v>
      </c>
      <c r="E591" s="6" t="s">
        <v>1805</v>
      </c>
      <c r="F591" s="7" t="s">
        <v>6432</v>
      </c>
      <c r="G591" s="6" t="s">
        <v>218</v>
      </c>
      <c r="H591" s="6"/>
      <c r="I591" s="6"/>
      <c r="J591" s="6"/>
      <c r="K591" s="6"/>
      <c r="L591" s="6" t="s">
        <v>1807</v>
      </c>
      <c r="M591" s="6"/>
      <c r="N591" s="6" t="s">
        <v>1808</v>
      </c>
      <c r="O591" s="6" t="str">
        <f>HYPERLINK("https://ceds.ed.gov/cedselementdetails.aspx?termid=5049")</f>
        <v>https://ceds.ed.gov/cedselementdetails.aspx?termid=5049</v>
      </c>
      <c r="P591" s="6" t="str">
        <f>HYPERLINK("https://ceds.ed.gov/elementComment.aspx?elementName=Corrective Action Type &amp;elementID=5049", "Click here to submit comment")</f>
        <v>Click here to submit comment</v>
      </c>
    </row>
    <row r="592" spans="1:16" ht="135">
      <c r="A592" s="6" t="s">
        <v>6788</v>
      </c>
      <c r="B592" s="6" t="s">
        <v>6789</v>
      </c>
      <c r="C592" s="6" t="s">
        <v>6792</v>
      </c>
      <c r="D592" s="6" t="s">
        <v>2462</v>
      </c>
      <c r="E592" s="6" t="s">
        <v>2463</v>
      </c>
      <c r="F592" s="7" t="s">
        <v>6490</v>
      </c>
      <c r="G592" s="6" t="s">
        <v>218</v>
      </c>
      <c r="H592" s="6"/>
      <c r="I592" s="6"/>
      <c r="J592" s="6"/>
      <c r="K592" s="6"/>
      <c r="L592" s="6" t="s">
        <v>2464</v>
      </c>
      <c r="M592" s="6"/>
      <c r="N592" s="6" t="s">
        <v>2465</v>
      </c>
      <c r="O592" s="6" t="str">
        <f>HYPERLINK("https://ceds.ed.gov/cedselementdetails.aspx?termid=5091")</f>
        <v>https://ceds.ed.gov/cedselementdetails.aspx?termid=5091</v>
      </c>
      <c r="P592" s="6" t="str">
        <f>HYPERLINK("https://ceds.ed.gov/elementComment.aspx?elementName=Elementary-Middle Additional Indicator Status &amp;elementID=5091", "Click here to submit comment")</f>
        <v>Click here to submit comment</v>
      </c>
    </row>
    <row r="593" spans="1:16" ht="150">
      <c r="A593" s="6" t="s">
        <v>6788</v>
      </c>
      <c r="B593" s="6" t="s">
        <v>6789</v>
      </c>
      <c r="C593" s="6" t="s">
        <v>6792</v>
      </c>
      <c r="D593" s="6" t="s">
        <v>2916</v>
      </c>
      <c r="E593" s="6" t="s">
        <v>2917</v>
      </c>
      <c r="F593" s="7" t="s">
        <v>6525</v>
      </c>
      <c r="G593" s="6" t="s">
        <v>218</v>
      </c>
      <c r="H593" s="6"/>
      <c r="I593" s="6"/>
      <c r="J593" s="6"/>
      <c r="K593" s="6"/>
      <c r="L593" s="6" t="s">
        <v>2918</v>
      </c>
      <c r="M593" s="6"/>
      <c r="N593" s="6" t="s">
        <v>2919</v>
      </c>
      <c r="O593" s="6" t="str">
        <f>HYPERLINK("https://ceds.ed.gov/cedselementdetails.aspx?termid=5134")</f>
        <v>https://ceds.ed.gov/cedselementdetails.aspx?termid=5134</v>
      </c>
      <c r="P593" s="6" t="str">
        <f>HYPERLINK("https://ceds.ed.gov/elementComment.aspx?elementName=Gun Free Schools Act Reporting Status &amp;elementID=5134", "Click here to submit comment")</f>
        <v>Click here to submit comment</v>
      </c>
    </row>
    <row r="594" spans="1:16" ht="165">
      <c r="A594" s="6" t="s">
        <v>6788</v>
      </c>
      <c r="B594" s="6" t="s">
        <v>6789</v>
      </c>
      <c r="C594" s="6" t="s">
        <v>6792</v>
      </c>
      <c r="D594" s="6" t="s">
        <v>2953</v>
      </c>
      <c r="E594" s="6" t="s">
        <v>2954</v>
      </c>
      <c r="F594" s="7" t="s">
        <v>6529</v>
      </c>
      <c r="G594" s="6" t="s">
        <v>218</v>
      </c>
      <c r="H594" s="6"/>
      <c r="I594" s="6"/>
      <c r="J594" s="6"/>
      <c r="K594" s="6"/>
      <c r="L594" s="6" t="s">
        <v>2955</v>
      </c>
      <c r="M594" s="6"/>
      <c r="N594" s="6" t="s">
        <v>2956</v>
      </c>
      <c r="O594" s="6" t="str">
        <f>HYPERLINK("https://ceds.ed.gov/cedselementdetails.aspx?termid=5140")</f>
        <v>https://ceds.ed.gov/cedselementdetails.aspx?termid=5140</v>
      </c>
      <c r="P594" s="6" t="str">
        <f>HYPERLINK("https://ceds.ed.gov/elementComment.aspx?elementName=High School Graduation Rate Indicator Status &amp;elementID=5140", "Click here to submit comment")</f>
        <v>Click here to submit comment</v>
      </c>
    </row>
    <row r="595" spans="1:16" ht="150">
      <c r="A595" s="6" t="s">
        <v>6788</v>
      </c>
      <c r="B595" s="6" t="s">
        <v>6789</v>
      </c>
      <c r="C595" s="6" t="s">
        <v>6792</v>
      </c>
      <c r="D595" s="6" t="s">
        <v>4427</v>
      </c>
      <c r="E595" s="6" t="s">
        <v>4428</v>
      </c>
      <c r="F595" s="7" t="s">
        <v>6597</v>
      </c>
      <c r="G595" s="6" t="s">
        <v>218</v>
      </c>
      <c r="H595" s="6"/>
      <c r="I595" s="6"/>
      <c r="J595" s="6"/>
      <c r="K595" s="6"/>
      <c r="L595" s="6" t="s">
        <v>4429</v>
      </c>
      <c r="M595" s="6"/>
      <c r="N595" s="6" t="s">
        <v>4430</v>
      </c>
      <c r="O595" s="6" t="str">
        <f>HYPERLINK("https://ceds.ed.gov/cedselementdetails.aspx?termid=5208")</f>
        <v>https://ceds.ed.gov/cedselementdetails.aspx?termid=5208</v>
      </c>
      <c r="P595" s="6" t="str">
        <f>HYPERLINK("https://ceds.ed.gov/elementComment.aspx?elementName=Participation Status for Math &amp;elementID=5208", "Click here to submit comment")</f>
        <v>Click here to submit comment</v>
      </c>
    </row>
    <row r="596" spans="1:16" ht="150">
      <c r="A596" s="6" t="s">
        <v>6788</v>
      </c>
      <c r="B596" s="6" t="s">
        <v>6789</v>
      </c>
      <c r="C596" s="6" t="s">
        <v>6792</v>
      </c>
      <c r="D596" s="6" t="s">
        <v>4431</v>
      </c>
      <c r="E596" s="6" t="s">
        <v>4432</v>
      </c>
      <c r="F596" s="7" t="s">
        <v>6597</v>
      </c>
      <c r="G596" s="6" t="s">
        <v>218</v>
      </c>
      <c r="H596" s="6"/>
      <c r="I596" s="6"/>
      <c r="J596" s="6"/>
      <c r="K596" s="6"/>
      <c r="L596" s="6" t="s">
        <v>4433</v>
      </c>
      <c r="M596" s="6"/>
      <c r="N596" s="6" t="s">
        <v>4434</v>
      </c>
      <c r="O596" s="6" t="str">
        <f>HYPERLINK("https://ceds.ed.gov/cedselementdetails.aspx?termid=5209")</f>
        <v>https://ceds.ed.gov/cedselementdetails.aspx?termid=5209</v>
      </c>
      <c r="P596" s="6" t="str">
        <f>HYPERLINK("https://ceds.ed.gov/elementComment.aspx?elementName=Participation Status for Reading and Language Arts &amp;elementID=5209", "Click here to submit comment")</f>
        <v>Click here to submit comment</v>
      </c>
    </row>
    <row r="597" spans="1:16" ht="240">
      <c r="A597" s="6" t="s">
        <v>6788</v>
      </c>
      <c r="B597" s="6" t="s">
        <v>6789</v>
      </c>
      <c r="C597" s="6" t="s">
        <v>6792</v>
      </c>
      <c r="D597" s="6" t="s">
        <v>4771</v>
      </c>
      <c r="E597" s="6" t="s">
        <v>4772</v>
      </c>
      <c r="F597" s="7" t="s">
        <v>6622</v>
      </c>
      <c r="G597" s="6" t="s">
        <v>218</v>
      </c>
      <c r="H597" s="6"/>
      <c r="I597" s="6"/>
      <c r="J597" s="6"/>
      <c r="K597" s="6"/>
      <c r="L597" s="6" t="s">
        <v>4773</v>
      </c>
      <c r="M597" s="6"/>
      <c r="N597" s="6" t="s">
        <v>4774</v>
      </c>
      <c r="O597" s="6" t="str">
        <f>HYPERLINK("https://ceds.ed.gov/cedselementdetails.aspx?termid=5221")</f>
        <v>https://ceds.ed.gov/cedselementdetails.aspx?termid=5221</v>
      </c>
      <c r="P597" s="6" t="str">
        <f>HYPERLINK("https://ceds.ed.gov/elementComment.aspx?elementName=Proficiency Target Status for Math &amp;elementID=5221", "Click here to submit comment")</f>
        <v>Click here to submit comment</v>
      </c>
    </row>
    <row r="598" spans="1:16" ht="45">
      <c r="A598" s="6" t="s">
        <v>6788</v>
      </c>
      <c r="B598" s="6" t="s">
        <v>6789</v>
      </c>
      <c r="C598" s="6" t="s">
        <v>6792</v>
      </c>
      <c r="D598" s="6" t="s">
        <v>4464</v>
      </c>
      <c r="E598" s="6" t="s">
        <v>4465</v>
      </c>
      <c r="F598" s="6" t="s">
        <v>5963</v>
      </c>
      <c r="G598" s="6" t="s">
        <v>218</v>
      </c>
      <c r="H598" s="6"/>
      <c r="I598" s="6"/>
      <c r="J598" s="6"/>
      <c r="K598" s="6"/>
      <c r="L598" s="6" t="s">
        <v>4466</v>
      </c>
      <c r="M598" s="6"/>
      <c r="N598" s="6" t="s">
        <v>4467</v>
      </c>
      <c r="O598" s="6" t="str">
        <f>HYPERLINK("https://ceds.ed.gov/cedselementdetails.aspx?termid=5210")</f>
        <v>https://ceds.ed.gov/cedselementdetails.aspx?termid=5210</v>
      </c>
      <c r="P598" s="6" t="str">
        <f>HYPERLINK("https://ceds.ed.gov/elementComment.aspx?elementName=Persistently Dangerous Status &amp;elementID=5210", "Click here to submit comment")</f>
        <v>Click here to submit comment</v>
      </c>
    </row>
    <row r="599" spans="1:16" ht="240">
      <c r="A599" s="6" t="s">
        <v>6788</v>
      </c>
      <c r="B599" s="6" t="s">
        <v>6789</v>
      </c>
      <c r="C599" s="6" t="s">
        <v>6792</v>
      </c>
      <c r="D599" s="6" t="s">
        <v>4775</v>
      </c>
      <c r="E599" s="6" t="s">
        <v>4776</v>
      </c>
      <c r="F599" s="7" t="s">
        <v>6622</v>
      </c>
      <c r="G599" s="6" t="s">
        <v>218</v>
      </c>
      <c r="H599" s="6"/>
      <c r="I599" s="6"/>
      <c r="J599" s="6"/>
      <c r="K599" s="6"/>
      <c r="L599" s="6" t="s">
        <v>4777</v>
      </c>
      <c r="M599" s="6"/>
      <c r="N599" s="6" t="s">
        <v>4778</v>
      </c>
      <c r="O599" s="6" t="str">
        <f>HYPERLINK("https://ceds.ed.gov/cedselementdetails.aspx?termid=5544")</f>
        <v>https://ceds.ed.gov/cedselementdetails.aspx?termid=5544</v>
      </c>
      <c r="P599" s="6" t="str">
        <f>HYPERLINK("https://ceds.ed.gov/elementComment.aspx?elementName=Proficiency Target Status for Reading and Language Arts &amp;elementID=5544", "Click here to submit comment")</f>
        <v>Click here to submit comment</v>
      </c>
    </row>
    <row r="600" spans="1:16" ht="45">
      <c r="A600" s="6" t="s">
        <v>6788</v>
      </c>
      <c r="B600" s="6" t="s">
        <v>6789</v>
      </c>
      <c r="C600" s="6" t="s">
        <v>6792</v>
      </c>
      <c r="D600" s="6" t="s">
        <v>4468</v>
      </c>
      <c r="E600" s="6" t="s">
        <v>4469</v>
      </c>
      <c r="F600" s="6" t="s">
        <v>5963</v>
      </c>
      <c r="G600" s="6" t="s">
        <v>218</v>
      </c>
      <c r="H600" s="6"/>
      <c r="I600" s="6"/>
      <c r="J600" s="6"/>
      <c r="K600" s="6"/>
      <c r="L600" s="6" t="s">
        <v>4470</v>
      </c>
      <c r="M600" s="6"/>
      <c r="N600" s="6" t="s">
        <v>4471</v>
      </c>
      <c r="O600" s="6" t="str">
        <f>HYPERLINK("https://ceds.ed.gov/cedselementdetails.aspx?termid=5211")</f>
        <v>https://ceds.ed.gov/cedselementdetails.aspx?termid=5211</v>
      </c>
      <c r="P600" s="6" t="str">
        <f>HYPERLINK("https://ceds.ed.gov/elementComment.aspx?elementName=Persistently Lowest Achieving School Status &amp;elementID=5211", "Click here to submit comment")</f>
        <v>Click here to submit comment</v>
      </c>
    </row>
    <row r="601" spans="1:16" ht="90">
      <c r="A601" s="6" t="s">
        <v>6788</v>
      </c>
      <c r="B601" s="6" t="s">
        <v>6789</v>
      </c>
      <c r="C601" s="6" t="s">
        <v>6792</v>
      </c>
      <c r="D601" s="6" t="s">
        <v>4987</v>
      </c>
      <c r="E601" s="6" t="s">
        <v>4988</v>
      </c>
      <c r="F601" s="7" t="s">
        <v>6639</v>
      </c>
      <c r="G601" s="6" t="s">
        <v>218</v>
      </c>
      <c r="H601" s="6" t="s">
        <v>66</v>
      </c>
      <c r="I601" s="6"/>
      <c r="J601" s="6" t="s">
        <v>4989</v>
      </c>
      <c r="K601" s="6"/>
      <c r="L601" s="6" t="s">
        <v>4990</v>
      </c>
      <c r="M601" s="6"/>
      <c r="N601" s="6" t="s">
        <v>4991</v>
      </c>
      <c r="O601" s="6" t="str">
        <f>HYPERLINK("https://ceds.ed.gov/cedselementdetails.aspx?termid=5230")</f>
        <v>https://ceds.ed.gov/cedselementdetails.aspx?termid=5230</v>
      </c>
      <c r="P601" s="6" t="str">
        <f>HYPERLINK("https://ceds.ed.gov/elementComment.aspx?elementName=Reconstituted Status &amp;elementID=5230", "Click here to submit comment")</f>
        <v>Click here to submit comment</v>
      </c>
    </row>
    <row r="602" spans="1:16" ht="255">
      <c r="A602" s="6" t="s">
        <v>6788</v>
      </c>
      <c r="B602" s="6" t="s">
        <v>6789</v>
      </c>
      <c r="C602" s="6" t="s">
        <v>6792</v>
      </c>
      <c r="D602" s="6" t="s">
        <v>5074</v>
      </c>
      <c r="E602" s="6" t="s">
        <v>5075</v>
      </c>
      <c r="F602" s="7" t="s">
        <v>6642</v>
      </c>
      <c r="G602" s="6" t="s">
        <v>218</v>
      </c>
      <c r="H602" s="6"/>
      <c r="I602" s="6"/>
      <c r="J602" s="6"/>
      <c r="K602" s="6"/>
      <c r="L602" s="6" t="s">
        <v>5076</v>
      </c>
      <c r="M602" s="6"/>
      <c r="N602" s="6" t="s">
        <v>5077</v>
      </c>
      <c r="O602" s="6" t="str">
        <f>HYPERLINK("https://ceds.ed.gov/cedselementdetails.aspx?termid=5232")</f>
        <v>https://ceds.ed.gov/cedselementdetails.aspx?termid=5232</v>
      </c>
      <c r="P602" s="6" t="str">
        <f>HYPERLINK("https://ceds.ed.gov/elementComment.aspx?elementName=Restructuring Action &amp;elementID=5232", "Click here to submit comment")</f>
        <v>Click here to submit comment</v>
      </c>
    </row>
    <row r="603" spans="1:16" ht="45">
      <c r="A603" s="6" t="s">
        <v>6788</v>
      </c>
      <c r="B603" s="6" t="s">
        <v>6789</v>
      </c>
      <c r="C603" s="6" t="s">
        <v>6792</v>
      </c>
      <c r="D603" s="6" t="s">
        <v>5231</v>
      </c>
      <c r="E603" s="6" t="s">
        <v>5232</v>
      </c>
      <c r="F603" s="6" t="s">
        <v>13</v>
      </c>
      <c r="G603" s="6" t="s">
        <v>207</v>
      </c>
      <c r="H603" s="6"/>
      <c r="I603" s="6" t="s">
        <v>73</v>
      </c>
      <c r="J603" s="6"/>
      <c r="K603" s="6"/>
      <c r="L603" s="6" t="s">
        <v>5233</v>
      </c>
      <c r="M603" s="6"/>
      <c r="N603" s="6" t="s">
        <v>5234</v>
      </c>
      <c r="O603" s="6" t="str">
        <f>HYPERLINK("https://ceds.ed.gov/cedselementdetails.aspx?termid=5472")</f>
        <v>https://ceds.ed.gov/cedselementdetails.aspx?termid=5472</v>
      </c>
      <c r="P603" s="6" t="str">
        <f>HYPERLINK("https://ceds.ed.gov/elementComment.aspx?elementName=School Improvement Exit Date &amp;elementID=5472", "Click here to submit comment")</f>
        <v>Click here to submit comment</v>
      </c>
    </row>
    <row r="604" spans="1:16" ht="45">
      <c r="A604" s="6" t="s">
        <v>6788</v>
      </c>
      <c r="B604" s="6" t="s">
        <v>6789</v>
      </c>
      <c r="C604" s="6" t="s">
        <v>6792</v>
      </c>
      <c r="D604" s="6" t="s">
        <v>5235</v>
      </c>
      <c r="E604" s="6" t="s">
        <v>5236</v>
      </c>
      <c r="F604" s="6" t="s">
        <v>5963</v>
      </c>
      <c r="G604" s="6" t="s">
        <v>218</v>
      </c>
      <c r="H604" s="6"/>
      <c r="I604" s="6"/>
      <c r="J604" s="6"/>
      <c r="K604" s="6"/>
      <c r="L604" s="6" t="s">
        <v>5237</v>
      </c>
      <c r="M604" s="6"/>
      <c r="N604" s="6" t="s">
        <v>5238</v>
      </c>
      <c r="O604" s="6" t="str">
        <f>HYPERLINK("https://ceds.ed.gov/cedselementdetails.aspx?termid=5238")</f>
        <v>https://ceds.ed.gov/cedselementdetails.aspx?termid=5238</v>
      </c>
      <c r="P604" s="6" t="str">
        <f>HYPERLINK("https://ceds.ed.gov/elementComment.aspx?elementName=School Improvement Funds Status &amp;elementID=5238", "Click here to submit comment")</f>
        <v>Click here to submit comment</v>
      </c>
    </row>
    <row r="605" spans="1:16" ht="120">
      <c r="A605" s="6" t="s">
        <v>6788</v>
      </c>
      <c r="B605" s="6" t="s">
        <v>6789</v>
      </c>
      <c r="C605" s="6" t="s">
        <v>6737</v>
      </c>
      <c r="D605" s="6" t="s">
        <v>2670</v>
      </c>
      <c r="E605" s="6" t="s">
        <v>2671</v>
      </c>
      <c r="F605" s="7" t="s">
        <v>6508</v>
      </c>
      <c r="G605" s="6"/>
      <c r="H605" s="6" t="s">
        <v>54</v>
      </c>
      <c r="I605" s="6"/>
      <c r="J605" s="6"/>
      <c r="K605" s="6"/>
      <c r="L605" s="6" t="s">
        <v>2672</v>
      </c>
      <c r="M605" s="6"/>
      <c r="N605" s="6" t="s">
        <v>2673</v>
      </c>
      <c r="O605" s="6" t="str">
        <f>HYPERLINK("https://ceds.ed.gov/cedselementdetails.aspx?termid=6312")</f>
        <v>https://ceds.ed.gov/cedselementdetails.aspx?termid=6312</v>
      </c>
      <c r="P605" s="6" t="str">
        <f>HYPERLINK("https://ceds.ed.gov/elementComment.aspx?elementName=Financial Account Category &amp;elementID=6312", "Click here to submit comment")</f>
        <v>Click here to submit comment</v>
      </c>
    </row>
    <row r="606" spans="1:16" ht="45">
      <c r="A606" s="6" t="s">
        <v>6788</v>
      </c>
      <c r="B606" s="6" t="s">
        <v>6789</v>
      </c>
      <c r="C606" s="6" t="s">
        <v>6737</v>
      </c>
      <c r="D606" s="6" t="s">
        <v>2674</v>
      </c>
      <c r="E606" s="6" t="s">
        <v>2675</v>
      </c>
      <c r="F606" s="6" t="s">
        <v>13</v>
      </c>
      <c r="G606" s="6"/>
      <c r="H606" s="6" t="s">
        <v>54</v>
      </c>
      <c r="I606" s="6" t="s">
        <v>93</v>
      </c>
      <c r="J606" s="6"/>
      <c r="K606" s="6"/>
      <c r="L606" s="6" t="s">
        <v>2676</v>
      </c>
      <c r="M606" s="6"/>
      <c r="N606" s="6" t="s">
        <v>2677</v>
      </c>
      <c r="O606" s="6" t="str">
        <f>HYPERLINK("https://ceds.ed.gov/cedselementdetails.aspx?termid=6313")</f>
        <v>https://ceds.ed.gov/cedselementdetails.aspx?termid=6313</v>
      </c>
      <c r="P606" s="6" t="str">
        <f>HYPERLINK("https://ceds.ed.gov/elementComment.aspx?elementName=Financial Account Description &amp;elementID=6313", "Click here to submit comment")</f>
        <v>Click here to submit comment</v>
      </c>
    </row>
    <row r="607" spans="1:16" ht="150">
      <c r="A607" s="6" t="s">
        <v>6788</v>
      </c>
      <c r="B607" s="6" t="s">
        <v>6789</v>
      </c>
      <c r="C607" s="6" t="s">
        <v>6737</v>
      </c>
      <c r="D607" s="6" t="s">
        <v>2678</v>
      </c>
      <c r="E607" s="6" t="s">
        <v>2679</v>
      </c>
      <c r="F607" s="7" t="s">
        <v>6509</v>
      </c>
      <c r="G607" s="6"/>
      <c r="H607" s="6" t="s">
        <v>54</v>
      </c>
      <c r="I607" s="6"/>
      <c r="J607" s="6"/>
      <c r="K607" s="6" t="s">
        <v>2680</v>
      </c>
      <c r="L607" s="6" t="s">
        <v>2681</v>
      </c>
      <c r="M607" s="6"/>
      <c r="N607" s="6" t="s">
        <v>2682</v>
      </c>
      <c r="O607" s="6" t="str">
        <f>HYPERLINK("https://ceds.ed.gov/cedselementdetails.aspx?termid=6314")</f>
        <v>https://ceds.ed.gov/cedselementdetails.aspx?termid=6314</v>
      </c>
      <c r="P607" s="6" t="str">
        <f>HYPERLINK("https://ceds.ed.gov/elementComment.aspx?elementName=Financial Account Fund Classification &amp;elementID=6314", "Click here to submit comment")</f>
        <v>Click here to submit comment</v>
      </c>
    </row>
    <row r="608" spans="1:16" ht="45">
      <c r="A608" s="6" t="s">
        <v>6788</v>
      </c>
      <c r="B608" s="6" t="s">
        <v>6789</v>
      </c>
      <c r="C608" s="6" t="s">
        <v>6737</v>
      </c>
      <c r="D608" s="6" t="s">
        <v>2683</v>
      </c>
      <c r="E608" s="6" t="s">
        <v>2684</v>
      </c>
      <c r="F608" s="6" t="s">
        <v>13</v>
      </c>
      <c r="G608" s="6"/>
      <c r="H608" s="6" t="s">
        <v>54</v>
      </c>
      <c r="I608" s="6" t="s">
        <v>745</v>
      </c>
      <c r="J608" s="6"/>
      <c r="K608" s="6"/>
      <c r="L608" s="6" t="s">
        <v>2685</v>
      </c>
      <c r="M608" s="6"/>
      <c r="N608" s="6" t="s">
        <v>2686</v>
      </c>
      <c r="O608" s="6" t="str">
        <f>HYPERLINK("https://ceds.ed.gov/cedselementdetails.aspx?termid=6315")</f>
        <v>https://ceds.ed.gov/cedselementdetails.aspx?termid=6315</v>
      </c>
      <c r="P608" s="6" t="str">
        <f>HYPERLINK("https://ceds.ed.gov/elementComment.aspx?elementName=Financial Account Name &amp;elementID=6315", "Click here to submit comment")</f>
        <v>Click here to submit comment</v>
      </c>
    </row>
    <row r="609" spans="1:16" ht="315">
      <c r="A609" s="6" t="s">
        <v>6788</v>
      </c>
      <c r="B609" s="6" t="s">
        <v>6789</v>
      </c>
      <c r="C609" s="6" t="s">
        <v>6737</v>
      </c>
      <c r="D609" s="6" t="s">
        <v>2687</v>
      </c>
      <c r="E609" s="6" t="s">
        <v>2688</v>
      </c>
      <c r="F609" s="7" t="s">
        <v>6510</v>
      </c>
      <c r="G609" s="6"/>
      <c r="H609" s="6" t="s">
        <v>54</v>
      </c>
      <c r="I609" s="6"/>
      <c r="J609" s="6"/>
      <c r="K609" s="6"/>
      <c r="L609" s="6" t="s">
        <v>2689</v>
      </c>
      <c r="M609" s="6"/>
      <c r="N609" s="6" t="s">
        <v>2690</v>
      </c>
      <c r="O609" s="6" t="str">
        <f>HYPERLINK("https://ceds.ed.gov/cedselementdetails.aspx?termid=6316")</f>
        <v>https://ceds.ed.gov/cedselementdetails.aspx?termid=6316</v>
      </c>
      <c r="P609" s="6" t="str">
        <f>HYPERLINK("https://ceds.ed.gov/elementComment.aspx?elementName=Financial Account Program Code &amp;elementID=6316", "Click here to submit comment")</f>
        <v>Click here to submit comment</v>
      </c>
    </row>
    <row r="610" spans="1:16" ht="45">
      <c r="A610" s="6" t="s">
        <v>6788</v>
      </c>
      <c r="B610" s="6" t="s">
        <v>6789</v>
      </c>
      <c r="C610" s="6" t="s">
        <v>6737</v>
      </c>
      <c r="D610" s="6" t="s">
        <v>2691</v>
      </c>
      <c r="E610" s="6" t="s">
        <v>2692</v>
      </c>
      <c r="F610" s="6" t="s">
        <v>13</v>
      </c>
      <c r="G610" s="6"/>
      <c r="H610" s="6" t="s">
        <v>54</v>
      </c>
      <c r="I610" s="6" t="s">
        <v>1461</v>
      </c>
      <c r="J610" s="6"/>
      <c r="K610" s="6"/>
      <c r="L610" s="6" t="s">
        <v>2693</v>
      </c>
      <c r="M610" s="6"/>
      <c r="N610" s="6" t="s">
        <v>2694</v>
      </c>
      <c r="O610" s="6" t="str">
        <f>HYPERLINK("https://ceds.ed.gov/cedselementdetails.aspx?termid=6317")</f>
        <v>https://ceds.ed.gov/cedselementdetails.aspx?termid=6317</v>
      </c>
      <c r="P610" s="6" t="str">
        <f>HYPERLINK("https://ceds.ed.gov/elementComment.aspx?elementName=Financial Accounting Period Actual Value &amp;elementID=6317", "Click here to submit comment")</f>
        <v>Click here to submit comment</v>
      </c>
    </row>
    <row r="611" spans="1:16" ht="45">
      <c r="A611" s="6" t="s">
        <v>6788</v>
      </c>
      <c r="B611" s="6" t="s">
        <v>6789</v>
      </c>
      <c r="C611" s="6" t="s">
        <v>6737</v>
      </c>
      <c r="D611" s="6" t="s">
        <v>2695</v>
      </c>
      <c r="E611" s="6" t="s">
        <v>2696</v>
      </c>
      <c r="F611" s="6" t="s">
        <v>13</v>
      </c>
      <c r="G611" s="6"/>
      <c r="H611" s="6" t="s">
        <v>54</v>
      </c>
      <c r="I611" s="6" t="s">
        <v>1461</v>
      </c>
      <c r="J611" s="6"/>
      <c r="K611" s="6"/>
      <c r="L611" s="6" t="s">
        <v>2697</v>
      </c>
      <c r="M611" s="6"/>
      <c r="N611" s="6" t="s">
        <v>2698</v>
      </c>
      <c r="O611" s="6" t="str">
        <f>HYPERLINK("https://ceds.ed.gov/cedselementdetails.aspx?termid=6318")</f>
        <v>https://ceds.ed.gov/cedselementdetails.aspx?termid=6318</v>
      </c>
      <c r="P611" s="6" t="str">
        <f>HYPERLINK("https://ceds.ed.gov/elementComment.aspx?elementName=Financial Accounting Period Budgeted Value &amp;elementID=6318", "Click here to submit comment")</f>
        <v>Click here to submit comment</v>
      </c>
    </row>
    <row r="612" spans="1:16" ht="409.5">
      <c r="A612" s="6" t="s">
        <v>6788</v>
      </c>
      <c r="B612" s="6" t="s">
        <v>6789</v>
      </c>
      <c r="C612" s="6" t="s">
        <v>6737</v>
      </c>
      <c r="D612" s="6" t="s">
        <v>2730</v>
      </c>
      <c r="E612" s="6" t="s">
        <v>2731</v>
      </c>
      <c r="F612" s="7" t="s">
        <v>6513</v>
      </c>
      <c r="G612" s="6"/>
      <c r="H612" s="6" t="s">
        <v>54</v>
      </c>
      <c r="I612" s="6"/>
      <c r="J612" s="6"/>
      <c r="K612" s="6" t="s">
        <v>2732</v>
      </c>
      <c r="L612" s="6" t="s">
        <v>2733</v>
      </c>
      <c r="M612" s="6"/>
      <c r="N612" s="6" t="s">
        <v>2734</v>
      </c>
      <c r="O612" s="6" t="str">
        <f>HYPERLINK("https://ceds.ed.gov/cedselementdetails.aspx?termid=6320")</f>
        <v>https://ceds.ed.gov/cedselementdetails.aspx?termid=6320</v>
      </c>
      <c r="P612" s="6" t="str">
        <f>HYPERLINK("https://ceds.ed.gov/elementComment.aspx?elementName=Financial Balance Sheet Account Code &amp;elementID=6320", "Click here to submit comment")</f>
        <v>Click here to submit comment</v>
      </c>
    </row>
    <row r="613" spans="1:16" ht="409.5">
      <c r="A613" s="6" t="s">
        <v>6788</v>
      </c>
      <c r="B613" s="6" t="s">
        <v>6789</v>
      </c>
      <c r="C613" s="6" t="s">
        <v>6737</v>
      </c>
      <c r="D613" s="6" t="s">
        <v>2735</v>
      </c>
      <c r="E613" s="6" t="s">
        <v>2736</v>
      </c>
      <c r="F613" s="7" t="s">
        <v>6514</v>
      </c>
      <c r="G613" s="6"/>
      <c r="H613" s="6" t="s">
        <v>54</v>
      </c>
      <c r="I613" s="6"/>
      <c r="J613" s="6"/>
      <c r="K613" s="6" t="s">
        <v>2732</v>
      </c>
      <c r="L613" s="6" t="s">
        <v>2737</v>
      </c>
      <c r="M613" s="6"/>
      <c r="N613" s="6" t="s">
        <v>2738</v>
      </c>
      <c r="O613" s="6" t="str">
        <f>HYPERLINK("https://ceds.ed.gov/cedselementdetails.aspx?termid=6321")</f>
        <v>https://ceds.ed.gov/cedselementdetails.aspx?termid=6321</v>
      </c>
      <c r="P613" s="6" t="str">
        <f>HYPERLINK("https://ceds.ed.gov/elementComment.aspx?elementName=Financial Expenditure Function Code &amp;elementID=6321", "Click here to submit comment")</f>
        <v>Click here to submit comment</v>
      </c>
    </row>
    <row r="614" spans="1:16" ht="409.5">
      <c r="A614" s="6" t="s">
        <v>6788</v>
      </c>
      <c r="B614" s="6" t="s">
        <v>6789</v>
      </c>
      <c r="C614" s="6" t="s">
        <v>6737</v>
      </c>
      <c r="D614" s="6" t="s">
        <v>2739</v>
      </c>
      <c r="E614" s="6" t="s">
        <v>2740</v>
      </c>
      <c r="F614" s="7" t="s">
        <v>6515</v>
      </c>
      <c r="G614" s="6"/>
      <c r="H614" s="6" t="s">
        <v>54</v>
      </c>
      <c r="I614" s="6"/>
      <c r="J614" s="6"/>
      <c r="K614" s="6" t="s">
        <v>2741</v>
      </c>
      <c r="L614" s="6" t="s">
        <v>2742</v>
      </c>
      <c r="M614" s="6"/>
      <c r="N614" s="6" t="s">
        <v>2743</v>
      </c>
      <c r="O614" s="6" t="str">
        <f>HYPERLINK("https://ceds.ed.gov/cedselementdetails.aspx?termid=6322")</f>
        <v>https://ceds.ed.gov/cedselementdetails.aspx?termid=6322</v>
      </c>
      <c r="P614" s="6" t="str">
        <f>HYPERLINK("https://ceds.ed.gov/elementComment.aspx?elementName=Financial Expenditure Object Code &amp;elementID=6322", "Click here to submit comment")</f>
        <v>Click here to submit comment</v>
      </c>
    </row>
    <row r="615" spans="1:16" ht="105">
      <c r="A615" s="6" t="s">
        <v>6788</v>
      </c>
      <c r="B615" s="6" t="s">
        <v>6789</v>
      </c>
      <c r="C615" s="6" t="s">
        <v>6793</v>
      </c>
      <c r="D615" s="6" t="s">
        <v>1762</v>
      </c>
      <c r="E615" s="6" t="s">
        <v>1763</v>
      </c>
      <c r="F615" s="7" t="s">
        <v>6371</v>
      </c>
      <c r="G615" s="6" t="s">
        <v>218</v>
      </c>
      <c r="H615" s="6"/>
      <c r="I615" s="6"/>
      <c r="J615" s="6"/>
      <c r="K615" s="6"/>
      <c r="L615" s="6" t="s">
        <v>1765</v>
      </c>
      <c r="M615" s="6" t="s">
        <v>1766</v>
      </c>
      <c r="N615" s="6" t="s">
        <v>1767</v>
      </c>
      <c r="O615" s="6" t="str">
        <f>HYPERLINK("https://ceds.ed.gov/cedselementdetails.aspx?termid=5533")</f>
        <v>https://ceds.ed.gov/cedselementdetails.aspx?termid=5533</v>
      </c>
      <c r="P615" s="6" t="str">
        <f>HYPERLINK("https://ceds.ed.gov/elementComment.aspx?elementName=Consolidated Migrant Education Program Funds Status &amp;elementID=5533", "Click here to submit comment")</f>
        <v>Click here to submit comment</v>
      </c>
    </row>
    <row r="616" spans="1:16" ht="120">
      <c r="A616" s="6" t="s">
        <v>6788</v>
      </c>
      <c r="B616" s="6" t="s">
        <v>6789</v>
      </c>
      <c r="C616" s="6" t="s">
        <v>6793</v>
      </c>
      <c r="D616" s="6" t="s">
        <v>5239</v>
      </c>
      <c r="E616" s="6" t="s">
        <v>5240</v>
      </c>
      <c r="F616" s="7" t="s">
        <v>6646</v>
      </c>
      <c r="G616" s="6" t="s">
        <v>218</v>
      </c>
      <c r="H616" s="6"/>
      <c r="I616" s="6"/>
      <c r="J616" s="6"/>
      <c r="K616" s="6"/>
      <c r="L616" s="6" t="s">
        <v>5241</v>
      </c>
      <c r="M616" s="6"/>
      <c r="N616" s="6" t="s">
        <v>5242</v>
      </c>
      <c r="O616" s="6" t="str">
        <f>HYPERLINK("https://ceds.ed.gov/cedselementdetails.aspx?termid=5239")</f>
        <v>https://ceds.ed.gov/cedselementdetails.aspx?termid=5239</v>
      </c>
      <c r="P616" s="6" t="str">
        <f>HYPERLINK("https://ceds.ed.gov/elementComment.aspx?elementName=School Improvement Grant Intervention Type &amp;elementID=5239", "Click here to submit comment")</f>
        <v>Click here to submit comment</v>
      </c>
    </row>
    <row r="617" spans="1:16" ht="60">
      <c r="A617" s="6" t="s">
        <v>6788</v>
      </c>
      <c r="B617" s="6" t="s">
        <v>6789</v>
      </c>
      <c r="C617" s="6" t="s">
        <v>6794</v>
      </c>
      <c r="D617" s="6" t="s">
        <v>5317</v>
      </c>
      <c r="E617" s="6" t="s">
        <v>5318</v>
      </c>
      <c r="F617" s="6" t="s">
        <v>13</v>
      </c>
      <c r="G617" s="6"/>
      <c r="H617" s="6"/>
      <c r="I617" s="6" t="s">
        <v>100</v>
      </c>
      <c r="J617" s="6"/>
      <c r="K617" s="6"/>
      <c r="L617" s="6" t="s">
        <v>5319</v>
      </c>
      <c r="M617" s="6"/>
      <c r="N617" s="6" t="s">
        <v>5320</v>
      </c>
      <c r="O617" s="6" t="str">
        <f>HYPERLINK("https://ceds.ed.gov/cedselementdetails.aspx?termid=6236")</f>
        <v>https://ceds.ed.gov/cedselementdetails.aspx?termid=6236</v>
      </c>
      <c r="P617" s="6" t="str">
        <f>HYPERLINK("https://ceds.ed.gov/elementComment.aspx?elementName=Session Code &amp;elementID=6236", "Click here to submit comment")</f>
        <v>Click here to submit comment</v>
      </c>
    </row>
    <row r="618" spans="1:16" ht="30">
      <c r="A618" s="6" t="s">
        <v>6788</v>
      </c>
      <c r="B618" s="6" t="s">
        <v>6789</v>
      </c>
      <c r="C618" s="6" t="s">
        <v>6794</v>
      </c>
      <c r="D618" s="6" t="s">
        <v>5321</v>
      </c>
      <c r="E618" s="6" t="s">
        <v>5322</v>
      </c>
      <c r="F618" s="6" t="s">
        <v>13</v>
      </c>
      <c r="G618" s="6"/>
      <c r="H618" s="6"/>
      <c r="I618" s="6" t="s">
        <v>319</v>
      </c>
      <c r="J618" s="6"/>
      <c r="K618" s="6"/>
      <c r="L618" s="6" t="s">
        <v>5323</v>
      </c>
      <c r="M618" s="6"/>
      <c r="N618" s="6" t="s">
        <v>5324</v>
      </c>
      <c r="O618" s="6" t="str">
        <f>HYPERLINK("https://ceds.ed.gov/cedselementdetails.aspx?termid=6237")</f>
        <v>https://ceds.ed.gov/cedselementdetails.aspx?termid=6237</v>
      </c>
      <c r="P618" s="6" t="str">
        <f>HYPERLINK("https://ceds.ed.gov/elementComment.aspx?elementName=Session Description &amp;elementID=6237", "Click here to submit comment")</f>
        <v>Click here to submit comment</v>
      </c>
    </row>
    <row r="619" spans="1:16" ht="45">
      <c r="A619" s="6" t="s">
        <v>6788</v>
      </c>
      <c r="B619" s="6" t="s">
        <v>6789</v>
      </c>
      <c r="C619" s="6" t="s">
        <v>6794</v>
      </c>
      <c r="D619" s="6" t="s">
        <v>5337</v>
      </c>
      <c r="E619" s="6" t="s">
        <v>5338</v>
      </c>
      <c r="F619" s="6" t="s">
        <v>5963</v>
      </c>
      <c r="G619" s="6"/>
      <c r="H619" s="6"/>
      <c r="I619" s="6"/>
      <c r="J619" s="6"/>
      <c r="K619" s="6"/>
      <c r="L619" s="6" t="s">
        <v>5339</v>
      </c>
      <c r="M619" s="6"/>
      <c r="N619" s="6" t="s">
        <v>5340</v>
      </c>
      <c r="O619" s="6" t="str">
        <f>HYPERLINK("https://ceds.ed.gov/cedselementdetails.aspx?termid=6238")</f>
        <v>https://ceds.ed.gov/cedselementdetails.aspx?termid=6238</v>
      </c>
      <c r="P619" s="6" t="str">
        <f>HYPERLINK("https://ceds.ed.gov/elementComment.aspx?elementName=Session Marking Term Indicator &amp;elementID=6238", "Click here to submit comment")</f>
        <v>Click here to submit comment</v>
      </c>
    </row>
    <row r="620" spans="1:16" ht="45">
      <c r="A620" s="6" t="s">
        <v>6788</v>
      </c>
      <c r="B620" s="6" t="s">
        <v>6789</v>
      </c>
      <c r="C620" s="6" t="s">
        <v>6794</v>
      </c>
      <c r="D620" s="6" t="s">
        <v>5341</v>
      </c>
      <c r="E620" s="6" t="s">
        <v>5342</v>
      </c>
      <c r="F620" s="6" t="s">
        <v>5963</v>
      </c>
      <c r="G620" s="6"/>
      <c r="H620" s="6"/>
      <c r="I620" s="6"/>
      <c r="J620" s="6"/>
      <c r="K620" s="6"/>
      <c r="L620" s="6" t="s">
        <v>5343</v>
      </c>
      <c r="M620" s="6"/>
      <c r="N620" s="6" t="s">
        <v>5344</v>
      </c>
      <c r="O620" s="6" t="str">
        <f>HYPERLINK("https://ceds.ed.gov/cedselementdetails.aspx?termid=6239")</f>
        <v>https://ceds.ed.gov/cedselementdetails.aspx?termid=6239</v>
      </c>
      <c r="P620" s="6" t="str">
        <f>HYPERLINK("https://ceds.ed.gov/elementComment.aspx?elementName=Session Scheduling Term Indicator &amp;elementID=6239", "Click here to submit comment")</f>
        <v>Click here to submit comment</v>
      </c>
    </row>
    <row r="621" spans="1:16" ht="45">
      <c r="A621" s="6" t="s">
        <v>6788</v>
      </c>
      <c r="B621" s="6" t="s">
        <v>6789</v>
      </c>
      <c r="C621" s="6" t="s">
        <v>6794</v>
      </c>
      <c r="D621" s="6" t="s">
        <v>5309</v>
      </c>
      <c r="E621" s="6" t="s">
        <v>5310</v>
      </c>
      <c r="F621" s="6" t="s">
        <v>5963</v>
      </c>
      <c r="G621" s="6"/>
      <c r="H621" s="6"/>
      <c r="I621" s="6"/>
      <c r="J621" s="6"/>
      <c r="K621" s="6"/>
      <c r="L621" s="6" t="s">
        <v>5311</v>
      </c>
      <c r="M621" s="6"/>
      <c r="N621" s="6" t="s">
        <v>5312</v>
      </c>
      <c r="O621" s="6" t="str">
        <f>HYPERLINK("https://ceds.ed.gov/cedselementdetails.aspx?termid=6240")</f>
        <v>https://ceds.ed.gov/cedselementdetails.aspx?termid=6240</v>
      </c>
      <c r="P621" s="6" t="str">
        <f>HYPERLINK("https://ceds.ed.gov/elementComment.aspx?elementName=Session Attendance Term Indicator &amp;elementID=6240", "Click here to submit comment")</f>
        <v>Click here to submit comment</v>
      </c>
    </row>
    <row r="622" spans="1:16" ht="45">
      <c r="A622" s="6" t="s">
        <v>6788</v>
      </c>
      <c r="B622" s="6" t="s">
        <v>6789</v>
      </c>
      <c r="C622" s="6" t="s">
        <v>6794</v>
      </c>
      <c r="D622" s="6" t="s">
        <v>5263</v>
      </c>
      <c r="E622" s="6" t="s">
        <v>5264</v>
      </c>
      <c r="F622" s="6" t="s">
        <v>13</v>
      </c>
      <c r="G622" s="6" t="s">
        <v>1780</v>
      </c>
      <c r="H622" s="6"/>
      <c r="I622" s="6" t="s">
        <v>1736</v>
      </c>
      <c r="J622" s="6"/>
      <c r="K622" s="6" t="s">
        <v>5265</v>
      </c>
      <c r="L622" s="6" t="s">
        <v>5266</v>
      </c>
      <c r="M622" s="6"/>
      <c r="N622" s="6" t="s">
        <v>5267</v>
      </c>
      <c r="O622" s="6" t="str">
        <f>HYPERLINK("https://ceds.ed.gov/cedselementdetails.aspx?termid=5243")</f>
        <v>https://ceds.ed.gov/cedselementdetails.aspx?termid=5243</v>
      </c>
      <c r="P622" s="6" t="str">
        <f>HYPERLINK("https://ceds.ed.gov/elementComment.aspx?elementName=School Year &amp;elementID=5243", "Click here to submit comment")</f>
        <v>Click here to submit comment</v>
      </c>
    </row>
    <row r="623" spans="1:16" ht="45">
      <c r="A623" s="6" t="s">
        <v>6788</v>
      </c>
      <c r="B623" s="6" t="s">
        <v>6789</v>
      </c>
      <c r="C623" s="6" t="s">
        <v>6794</v>
      </c>
      <c r="D623" s="6" t="s">
        <v>2772</v>
      </c>
      <c r="E623" s="6" t="s">
        <v>2773</v>
      </c>
      <c r="F623" s="6" t="s">
        <v>13</v>
      </c>
      <c r="G623" s="6"/>
      <c r="H623" s="6"/>
      <c r="I623" s="6" t="s">
        <v>73</v>
      </c>
      <c r="J623" s="6"/>
      <c r="K623" s="6"/>
      <c r="L623" s="6" t="s">
        <v>2774</v>
      </c>
      <c r="M623" s="6"/>
      <c r="N623" s="6" t="s">
        <v>2775</v>
      </c>
      <c r="O623" s="6" t="str">
        <f>HYPERLINK("https://ceds.ed.gov/cedselementdetails.aspx?termid=5488")</f>
        <v>https://ceds.ed.gov/cedselementdetails.aspx?termid=5488</v>
      </c>
      <c r="P623" s="6" t="str">
        <f>HYPERLINK("https://ceds.ed.gov/elementComment.aspx?elementName=First Instruction Date &amp;elementID=5488", "Click here to submit comment")</f>
        <v>Click here to submit comment</v>
      </c>
    </row>
    <row r="624" spans="1:16" ht="105">
      <c r="A624" s="6" t="s">
        <v>6788</v>
      </c>
      <c r="B624" s="6" t="s">
        <v>6789</v>
      </c>
      <c r="C624" s="6" t="s">
        <v>6794</v>
      </c>
      <c r="D624" s="6" t="s">
        <v>3423</v>
      </c>
      <c r="E624" s="6" t="s">
        <v>3424</v>
      </c>
      <c r="F624" s="6" t="s">
        <v>13</v>
      </c>
      <c r="G624" s="6"/>
      <c r="H624" s="6"/>
      <c r="I624" s="6" t="s">
        <v>73</v>
      </c>
      <c r="J624" s="6"/>
      <c r="K624" s="6"/>
      <c r="L624" s="6" t="s">
        <v>3425</v>
      </c>
      <c r="M624" s="6"/>
      <c r="N624" s="6" t="s">
        <v>3426</v>
      </c>
      <c r="O624" s="6" t="str">
        <f>HYPERLINK("https://ceds.ed.gov/cedselementdetails.aspx?termid=5489")</f>
        <v>https://ceds.ed.gov/cedselementdetails.aspx?termid=5489</v>
      </c>
      <c r="P624" s="6" t="str">
        <f>HYPERLINK("https://ceds.ed.gov/elementComment.aspx?elementName=Last Instruction Date &amp;elementID=5489", "Click here to submit comment")</f>
        <v>Click here to submit comment</v>
      </c>
    </row>
    <row r="625" spans="1:16" ht="135">
      <c r="A625" s="6" t="s">
        <v>6788</v>
      </c>
      <c r="B625" s="6" t="s">
        <v>6789</v>
      </c>
      <c r="C625" s="6" t="s">
        <v>6794</v>
      </c>
      <c r="D625" s="6" t="s">
        <v>2114</v>
      </c>
      <c r="E625" s="6" t="s">
        <v>2115</v>
      </c>
      <c r="F625" s="6" t="s">
        <v>13</v>
      </c>
      <c r="G625" s="6"/>
      <c r="H625" s="6"/>
      <c r="I625" s="6" t="s">
        <v>308</v>
      </c>
      <c r="J625" s="6"/>
      <c r="K625" s="6"/>
      <c r="L625" s="6" t="s">
        <v>2117</v>
      </c>
      <c r="M625" s="6"/>
      <c r="N625" s="6" t="s">
        <v>2118</v>
      </c>
      <c r="O625" s="6" t="str">
        <f>HYPERLINK("https://ceds.ed.gov/cedselementdetails.aspx?termid=5487")</f>
        <v>https://ceds.ed.gov/cedselementdetails.aspx?termid=5487</v>
      </c>
      <c r="P625" s="6" t="str">
        <f>HYPERLINK("https://ceds.ed.gov/elementComment.aspx?elementName=Days In Session &amp;elementID=5487", "Click here to submit comment")</f>
        <v>Click here to submit comment</v>
      </c>
    </row>
    <row r="626" spans="1:16" ht="105">
      <c r="A626" s="6" t="s">
        <v>6788</v>
      </c>
      <c r="B626" s="6" t="s">
        <v>6789</v>
      </c>
      <c r="C626" s="6" t="s">
        <v>6794</v>
      </c>
      <c r="D626" s="6" t="s">
        <v>5268</v>
      </c>
      <c r="E626" s="6" t="s">
        <v>5269</v>
      </c>
      <c r="F626" s="6" t="s">
        <v>13</v>
      </c>
      <c r="G626" s="6" t="s">
        <v>218</v>
      </c>
      <c r="H626" s="6"/>
      <c r="I626" s="6" t="s">
        <v>308</v>
      </c>
      <c r="J626" s="6"/>
      <c r="K626" s="6"/>
      <c r="L626" s="6" t="s">
        <v>5270</v>
      </c>
      <c r="M626" s="6"/>
      <c r="N626" s="6" t="s">
        <v>5271</v>
      </c>
      <c r="O626" s="6" t="str">
        <f>HYPERLINK("https://ceds.ed.gov/cedselementdetails.aspx?termid=5244")</f>
        <v>https://ceds.ed.gov/cedselementdetails.aspx?termid=5244</v>
      </c>
      <c r="P626" s="6" t="str">
        <f>HYPERLINK("https://ceds.ed.gov/elementComment.aspx?elementName=School Year Minutes &amp;elementID=5244", "Click here to submit comment")</f>
        <v>Click here to submit comment</v>
      </c>
    </row>
    <row r="627" spans="1:16" ht="90">
      <c r="A627" s="6" t="s">
        <v>6788</v>
      </c>
      <c r="B627" s="6" t="s">
        <v>6789</v>
      </c>
      <c r="C627" s="6" t="s">
        <v>6794</v>
      </c>
      <c r="D627" s="6" t="s">
        <v>3318</v>
      </c>
      <c r="E627" s="6" t="s">
        <v>3319</v>
      </c>
      <c r="F627" s="6" t="s">
        <v>13</v>
      </c>
      <c r="G627" s="6"/>
      <c r="H627" s="6"/>
      <c r="I627" s="6" t="s">
        <v>308</v>
      </c>
      <c r="J627" s="6"/>
      <c r="K627" s="6"/>
      <c r="L627" s="6" t="s">
        <v>3320</v>
      </c>
      <c r="M627" s="6"/>
      <c r="N627" s="6" t="s">
        <v>3321</v>
      </c>
      <c r="O627" s="6" t="str">
        <f>HYPERLINK("https://ceds.ed.gov/cedselementdetails.aspx?termid=5490")</f>
        <v>https://ceds.ed.gov/cedselementdetails.aspx?termid=5490</v>
      </c>
      <c r="P627" s="6" t="str">
        <f>HYPERLINK("https://ceds.ed.gov/elementComment.aspx?elementName=Instructional Minutes &amp;elementID=5490", "Click here to submit comment")</f>
        <v>Click here to submit comment</v>
      </c>
    </row>
    <row r="628" spans="1:16" ht="30">
      <c r="A628" s="6" t="s">
        <v>6788</v>
      </c>
      <c r="B628" s="6" t="s">
        <v>6789</v>
      </c>
      <c r="C628" s="6" t="s">
        <v>6794</v>
      </c>
      <c r="D628" s="6" t="s">
        <v>4160</v>
      </c>
      <c r="E628" s="6" t="s">
        <v>4161</v>
      </c>
      <c r="F628" s="6" t="s">
        <v>13</v>
      </c>
      <c r="G628" s="6"/>
      <c r="H628" s="6"/>
      <c r="I628" s="6" t="s">
        <v>308</v>
      </c>
      <c r="J628" s="6"/>
      <c r="K628" s="6"/>
      <c r="L628" s="6" t="s">
        <v>4162</v>
      </c>
      <c r="M628" s="6"/>
      <c r="N628" s="6" t="s">
        <v>4163</v>
      </c>
      <c r="O628" s="6" t="str">
        <f>HYPERLINK("https://ceds.ed.gov/cedselementdetails.aspx?termid=5491")</f>
        <v>https://ceds.ed.gov/cedselementdetails.aspx?termid=5491</v>
      </c>
      <c r="P628" s="6" t="str">
        <f>HYPERLINK("https://ceds.ed.gov/elementComment.aspx?elementName=Minutes Per Day &amp;elementID=5491", "Click here to submit comment")</f>
        <v>Click here to submit comment</v>
      </c>
    </row>
    <row r="629" spans="1:16" ht="60">
      <c r="A629" s="6" t="s">
        <v>6788</v>
      </c>
      <c r="B629" s="6" t="s">
        <v>6789</v>
      </c>
      <c r="C629" s="6" t="s">
        <v>6795</v>
      </c>
      <c r="D629" s="6" t="s">
        <v>5707</v>
      </c>
      <c r="E629" s="6" t="s">
        <v>5708</v>
      </c>
      <c r="F629" s="6" t="s">
        <v>5963</v>
      </c>
      <c r="G629" s="6"/>
      <c r="H629" s="6" t="s">
        <v>54</v>
      </c>
      <c r="I629" s="6"/>
      <c r="J629" s="6"/>
      <c r="K629" s="6"/>
      <c r="L629" s="6" t="s">
        <v>5709</v>
      </c>
      <c r="M629" s="6"/>
      <c r="N629" s="6" t="s">
        <v>5710</v>
      </c>
      <c r="O629" s="6" t="str">
        <f>HYPERLINK("https://ceds.ed.gov/cedselementdetails.aspx?termid=6465")</f>
        <v>https://ceds.ed.gov/cedselementdetails.aspx?termid=6465</v>
      </c>
      <c r="P629" s="6" t="str">
        <f>HYPERLINK("https://ceds.ed.gov/elementComment.aspx?elementName=Technical Assistance Approved Indicator &amp;elementID=6465", "Click here to submit comment")</f>
        <v>Click here to submit comment</v>
      </c>
    </row>
    <row r="630" spans="1:16" ht="90">
      <c r="A630" s="6" t="s">
        <v>6788</v>
      </c>
      <c r="B630" s="6" t="s">
        <v>6789</v>
      </c>
      <c r="C630" s="6" t="s">
        <v>6795</v>
      </c>
      <c r="D630" s="6" t="s">
        <v>5711</v>
      </c>
      <c r="E630" s="6" t="s">
        <v>5712</v>
      </c>
      <c r="F630" s="7" t="s">
        <v>6616</v>
      </c>
      <c r="G630" s="6"/>
      <c r="H630" s="6" t="s">
        <v>54</v>
      </c>
      <c r="I630" s="6"/>
      <c r="J630" s="6"/>
      <c r="K630" s="6"/>
      <c r="L630" s="6" t="s">
        <v>5713</v>
      </c>
      <c r="M630" s="6"/>
      <c r="N630" s="6" t="s">
        <v>5714</v>
      </c>
      <c r="O630" s="6" t="str">
        <f>HYPERLINK("https://ceds.ed.gov/cedselementdetails.aspx?termid=6466")</f>
        <v>https://ceds.ed.gov/cedselementdetails.aspx?termid=6466</v>
      </c>
      <c r="P630" s="6" t="str">
        <f>HYPERLINK("https://ceds.ed.gov/elementComment.aspx?elementName=Technical Assistance Delivery Type &amp;elementID=6466", "Click here to submit comment")</f>
        <v>Click here to submit comment</v>
      </c>
    </row>
    <row r="631" spans="1:16" ht="409.5">
      <c r="A631" s="6" t="s">
        <v>6788</v>
      </c>
      <c r="B631" s="6" t="s">
        <v>6789</v>
      </c>
      <c r="C631" s="6" t="s">
        <v>6795</v>
      </c>
      <c r="D631" s="6" t="s">
        <v>5715</v>
      </c>
      <c r="E631" s="6" t="s">
        <v>5716</v>
      </c>
      <c r="F631" s="7" t="s">
        <v>6673</v>
      </c>
      <c r="G631" s="6"/>
      <c r="H631" s="6" t="s">
        <v>54</v>
      </c>
      <c r="I631" s="6"/>
      <c r="J631" s="6"/>
      <c r="K631" s="6"/>
      <c r="L631" s="6" t="s">
        <v>5717</v>
      </c>
      <c r="M631" s="6"/>
      <c r="N631" s="6" t="s">
        <v>5718</v>
      </c>
      <c r="O631" s="6" t="str">
        <f>HYPERLINK("https://ceds.ed.gov/cedselementdetails.aspx?termid=6467")</f>
        <v>https://ceds.ed.gov/cedselementdetails.aspx?termid=6467</v>
      </c>
      <c r="P631" s="6" t="str">
        <f>HYPERLINK("https://ceds.ed.gov/elementComment.aspx?elementName=Technical Assistance Type &amp;elementID=6467", "Click here to submit comment")</f>
        <v>Click here to submit comment</v>
      </c>
    </row>
    <row r="632" spans="1:16" ht="285">
      <c r="A632" s="6" t="s">
        <v>6788</v>
      </c>
      <c r="B632" s="6" t="s">
        <v>6796</v>
      </c>
      <c r="C632" s="6" t="s">
        <v>6780</v>
      </c>
      <c r="D632" s="6" t="s">
        <v>4017</v>
      </c>
      <c r="E632" s="6" t="s">
        <v>4018</v>
      </c>
      <c r="F632" s="7" t="s">
        <v>6577</v>
      </c>
      <c r="G632" s="6" t="s">
        <v>6252</v>
      </c>
      <c r="H632" s="6"/>
      <c r="I632" s="6"/>
      <c r="J632" s="6"/>
      <c r="K632" s="6"/>
      <c r="L632" s="6" t="s">
        <v>4019</v>
      </c>
      <c r="M632" s="6" t="s">
        <v>4020</v>
      </c>
      <c r="N632" s="6" t="s">
        <v>4021</v>
      </c>
      <c r="O632" s="6" t="str">
        <f>HYPERLINK("https://ceds.ed.gov/cedselementdetails.aspx?termid=5159")</f>
        <v>https://ceds.ed.gov/cedselementdetails.aspx?termid=5159</v>
      </c>
      <c r="P632" s="6" t="str">
        <f>HYPERLINK("https://ceds.ed.gov/elementComment.aspx?elementName=Local Education Agency Identification System &amp;elementID=5159", "Click here to submit comment")</f>
        <v>Click here to submit comment</v>
      </c>
    </row>
    <row r="633" spans="1:16" ht="120">
      <c r="A633" s="6" t="s">
        <v>6788</v>
      </c>
      <c r="B633" s="6" t="s">
        <v>6796</v>
      </c>
      <c r="C633" s="6" t="s">
        <v>6780</v>
      </c>
      <c r="D633" s="6" t="s">
        <v>4022</v>
      </c>
      <c r="E633" s="6" t="s">
        <v>4023</v>
      </c>
      <c r="F633" s="6" t="s">
        <v>13</v>
      </c>
      <c r="G633" s="6" t="s">
        <v>6252</v>
      </c>
      <c r="H633" s="6"/>
      <c r="I633" s="6" t="s">
        <v>100</v>
      </c>
      <c r="J633" s="6"/>
      <c r="K633" s="6"/>
      <c r="L633" s="6" t="s">
        <v>4024</v>
      </c>
      <c r="M633" s="6" t="s">
        <v>4025</v>
      </c>
      <c r="N633" s="6" t="s">
        <v>4026</v>
      </c>
      <c r="O633" s="6" t="str">
        <f>HYPERLINK("https://ceds.ed.gov/cedselementdetails.aspx?termid=5153")</f>
        <v>https://ceds.ed.gov/cedselementdetails.aspx?termid=5153</v>
      </c>
      <c r="P633" s="6" t="str">
        <f>HYPERLINK("https://ceds.ed.gov/elementComment.aspx?elementName=Local Education Agency Identifier &amp;elementID=5153", "Click here to submit comment")</f>
        <v>Click here to submit comment</v>
      </c>
    </row>
    <row r="634" spans="1:16" ht="45">
      <c r="A634" s="6" t="s">
        <v>6788</v>
      </c>
      <c r="B634" s="6" t="s">
        <v>6796</v>
      </c>
      <c r="C634" s="6" t="s">
        <v>6780</v>
      </c>
      <c r="D634" s="6" t="s">
        <v>4349</v>
      </c>
      <c r="E634" s="6" t="s">
        <v>4350</v>
      </c>
      <c r="F634" s="6" t="s">
        <v>13</v>
      </c>
      <c r="G634" s="6" t="s">
        <v>202</v>
      </c>
      <c r="H634" s="6" t="s">
        <v>3</v>
      </c>
      <c r="I634" s="6" t="s">
        <v>106</v>
      </c>
      <c r="J634" s="6"/>
      <c r="K634" s="6"/>
      <c r="L634" s="6" t="s">
        <v>4351</v>
      </c>
      <c r="M634" s="6"/>
      <c r="N634" s="6" t="s">
        <v>4352</v>
      </c>
      <c r="O634" s="6" t="str">
        <f>HYPERLINK("https://ceds.ed.gov/cedselementdetails.aspx?termid=5204")</f>
        <v>https://ceds.ed.gov/cedselementdetails.aspx?termid=5204</v>
      </c>
      <c r="P634" s="6" t="str">
        <f>HYPERLINK("https://ceds.ed.gov/elementComment.aspx?elementName=Organization Name &amp;elementID=5204", "Click here to submit comment")</f>
        <v>Click here to submit comment</v>
      </c>
    </row>
    <row r="635" spans="1:16" ht="409.5">
      <c r="A635" s="6" t="s">
        <v>6788</v>
      </c>
      <c r="B635" s="6" t="s">
        <v>6796</v>
      </c>
      <c r="C635" s="6" t="s">
        <v>6780</v>
      </c>
      <c r="D635" s="6" t="s">
        <v>4361</v>
      </c>
      <c r="E635" s="6" t="s">
        <v>4362</v>
      </c>
      <c r="F635" s="7" t="s">
        <v>6592</v>
      </c>
      <c r="G635" s="6"/>
      <c r="H635" s="6" t="s">
        <v>66</v>
      </c>
      <c r="I635" s="6" t="s">
        <v>149</v>
      </c>
      <c r="J635" s="6" t="s">
        <v>4363</v>
      </c>
      <c r="K635" s="6" t="s">
        <v>4364</v>
      </c>
      <c r="L635" s="6" t="s">
        <v>4365</v>
      </c>
      <c r="M635" s="6"/>
      <c r="N635" s="6" t="s">
        <v>4366</v>
      </c>
      <c r="O635" s="6" t="str">
        <f>HYPERLINK("https://ceds.ed.gov/cedselementdetails.aspx?termid=6165")</f>
        <v>https://ceds.ed.gov/cedselementdetails.aspx?termid=6165</v>
      </c>
      <c r="P635" s="6" t="str">
        <f>HYPERLINK("https://ceds.ed.gov/elementComment.aspx?elementName=Organization Type &amp;elementID=6165", "Click here to submit comment")</f>
        <v>Click here to submit comment</v>
      </c>
    </row>
    <row r="636" spans="1:16" ht="90">
      <c r="A636" s="6" t="s">
        <v>6788</v>
      </c>
      <c r="B636" s="6" t="s">
        <v>6796</v>
      </c>
      <c r="C636" s="6" t="s">
        <v>6749</v>
      </c>
      <c r="D636" s="6" t="s">
        <v>196</v>
      </c>
      <c r="E636" s="6" t="s">
        <v>197</v>
      </c>
      <c r="F636" s="7" t="s">
        <v>6354</v>
      </c>
      <c r="G636" s="6" t="s">
        <v>5968</v>
      </c>
      <c r="H636" s="6" t="s">
        <v>3</v>
      </c>
      <c r="I636" s="6" t="s">
        <v>100</v>
      </c>
      <c r="J636" s="6"/>
      <c r="K636" s="6"/>
      <c r="L636" s="6" t="s">
        <v>198</v>
      </c>
      <c r="M636" s="6"/>
      <c r="N636" s="6" t="s">
        <v>199</v>
      </c>
      <c r="O636" s="6" t="str">
        <f>HYPERLINK("https://ceds.ed.gov/cedselementdetails.aspx?termid=5644")</f>
        <v>https://ceds.ed.gov/cedselementdetails.aspx?termid=5644</v>
      </c>
      <c r="P636" s="6" t="str">
        <f>HYPERLINK("https://ceds.ed.gov/elementComment.aspx?elementName=Address Type for Organization &amp;elementID=5644", "Click here to submit comment")</f>
        <v>Click here to submit comment</v>
      </c>
    </row>
    <row r="637" spans="1:16" ht="225">
      <c r="A637" s="6" t="s">
        <v>6788</v>
      </c>
      <c r="B637" s="6" t="s">
        <v>6796</v>
      </c>
      <c r="C637" s="6" t="s">
        <v>6749</v>
      </c>
      <c r="D637" s="6" t="s">
        <v>187</v>
      </c>
      <c r="E637" s="6" t="s">
        <v>188</v>
      </c>
      <c r="F637" s="6" t="s">
        <v>13</v>
      </c>
      <c r="G637" s="6" t="s">
        <v>5973</v>
      </c>
      <c r="H637" s="6" t="s">
        <v>3</v>
      </c>
      <c r="I637" s="6" t="s">
        <v>149</v>
      </c>
      <c r="J637" s="6"/>
      <c r="K637" s="6"/>
      <c r="L637" s="6" t="s">
        <v>189</v>
      </c>
      <c r="M637" s="6"/>
      <c r="N637" s="6" t="s">
        <v>190</v>
      </c>
      <c r="O637" s="6" t="str">
        <f>HYPERLINK("https://ceds.ed.gov/cedselementdetails.aspx?termid=5269")</f>
        <v>https://ceds.ed.gov/cedselementdetails.aspx?termid=5269</v>
      </c>
      <c r="P637" s="6" t="str">
        <f>HYPERLINK("https://ceds.ed.gov/elementComment.aspx?elementName=Address Street Number and Name &amp;elementID=5269", "Click here to submit comment")</f>
        <v>Click here to submit comment</v>
      </c>
    </row>
    <row r="638" spans="1:16" ht="225">
      <c r="A638" s="6" t="s">
        <v>6788</v>
      </c>
      <c r="B638" s="6" t="s">
        <v>6796</v>
      </c>
      <c r="C638" s="6" t="s">
        <v>6749</v>
      </c>
      <c r="D638" s="6" t="s">
        <v>170</v>
      </c>
      <c r="E638" s="6" t="s">
        <v>171</v>
      </c>
      <c r="F638" s="6" t="s">
        <v>13</v>
      </c>
      <c r="G638" s="6" t="s">
        <v>5973</v>
      </c>
      <c r="H638" s="6" t="s">
        <v>3</v>
      </c>
      <c r="I638" s="6" t="s">
        <v>100</v>
      </c>
      <c r="J638" s="6"/>
      <c r="K638" s="6"/>
      <c r="L638" s="6" t="s">
        <v>172</v>
      </c>
      <c r="M638" s="6"/>
      <c r="N638" s="6" t="s">
        <v>173</v>
      </c>
      <c r="O638" s="6" t="str">
        <f>HYPERLINK("https://ceds.ed.gov/cedselementdetails.aspx?termid=5019")</f>
        <v>https://ceds.ed.gov/cedselementdetails.aspx?termid=5019</v>
      </c>
      <c r="P638" s="6" t="str">
        <f>HYPERLINK("https://ceds.ed.gov/elementComment.aspx?elementName=Address Apartment Room or Suite Number &amp;elementID=5019", "Click here to submit comment")</f>
        <v>Click here to submit comment</v>
      </c>
    </row>
    <row r="639" spans="1:16" ht="225">
      <c r="A639" s="6" t="s">
        <v>6788</v>
      </c>
      <c r="B639" s="6" t="s">
        <v>6796</v>
      </c>
      <c r="C639" s="6" t="s">
        <v>6749</v>
      </c>
      <c r="D639" s="6" t="s">
        <v>174</v>
      </c>
      <c r="E639" s="6" t="s">
        <v>175</v>
      </c>
      <c r="F639" s="6" t="s">
        <v>13</v>
      </c>
      <c r="G639" s="6" t="s">
        <v>5973</v>
      </c>
      <c r="H639" s="6" t="s">
        <v>3</v>
      </c>
      <c r="I639" s="6" t="s">
        <v>100</v>
      </c>
      <c r="J639" s="6"/>
      <c r="K639" s="6"/>
      <c r="L639" s="6" t="s">
        <v>176</v>
      </c>
      <c r="M639" s="6"/>
      <c r="N639" s="6" t="s">
        <v>177</v>
      </c>
      <c r="O639" s="6" t="str">
        <f>HYPERLINK("https://ceds.ed.gov/cedselementdetails.aspx?termid=5040")</f>
        <v>https://ceds.ed.gov/cedselementdetails.aspx?termid=5040</v>
      </c>
      <c r="P639" s="6" t="str">
        <f>HYPERLINK("https://ceds.ed.gov/elementComment.aspx?elementName=Address City &amp;elementID=5040", "Click here to submit comment")</f>
        <v>Click here to submit comment</v>
      </c>
    </row>
    <row r="640" spans="1:16" ht="409.5">
      <c r="A640" s="6" t="s">
        <v>6788</v>
      </c>
      <c r="B640" s="6" t="s">
        <v>6796</v>
      </c>
      <c r="C640" s="6" t="s">
        <v>6749</v>
      </c>
      <c r="D640" s="6" t="s">
        <v>5533</v>
      </c>
      <c r="E640" s="6" t="s">
        <v>5534</v>
      </c>
      <c r="F640" s="7" t="s">
        <v>6633</v>
      </c>
      <c r="G640" s="6" t="s">
        <v>6324</v>
      </c>
      <c r="H640" s="6" t="s">
        <v>3</v>
      </c>
      <c r="I640" s="6"/>
      <c r="J640" s="6"/>
      <c r="K640" s="6"/>
      <c r="L640" s="6" t="s">
        <v>5535</v>
      </c>
      <c r="M640" s="6"/>
      <c r="N640" s="6" t="s">
        <v>5536</v>
      </c>
      <c r="O640" s="6" t="str">
        <f>HYPERLINK("https://ceds.ed.gov/cedselementdetails.aspx?termid=5267")</f>
        <v>https://ceds.ed.gov/cedselementdetails.aspx?termid=5267</v>
      </c>
      <c r="P640" s="6" t="str">
        <f>HYPERLINK("https://ceds.ed.gov/elementComment.aspx?elementName=State Abbreviation &amp;elementID=5267", "Click here to submit comment")</f>
        <v>Click here to submit comment</v>
      </c>
    </row>
    <row r="641" spans="1:16" ht="225">
      <c r="A641" s="6" t="s">
        <v>6788</v>
      </c>
      <c r="B641" s="6" t="s">
        <v>6796</v>
      </c>
      <c r="C641" s="6" t="s">
        <v>6749</v>
      </c>
      <c r="D641" s="6" t="s">
        <v>182</v>
      </c>
      <c r="E641" s="6" t="s">
        <v>183</v>
      </c>
      <c r="F641" s="6" t="s">
        <v>13</v>
      </c>
      <c r="G641" s="6" t="s">
        <v>5973</v>
      </c>
      <c r="H641" s="6" t="s">
        <v>3</v>
      </c>
      <c r="I641" s="6" t="s">
        <v>184</v>
      </c>
      <c r="J641" s="6"/>
      <c r="K641" s="6"/>
      <c r="L641" s="6" t="s">
        <v>185</v>
      </c>
      <c r="M641" s="6"/>
      <c r="N641" s="6" t="s">
        <v>186</v>
      </c>
      <c r="O641" s="6" t="str">
        <f>HYPERLINK("https://ceds.ed.gov/cedselementdetails.aspx?termid=5214")</f>
        <v>https://ceds.ed.gov/cedselementdetails.aspx?termid=5214</v>
      </c>
      <c r="P641" s="6" t="str">
        <f>HYPERLINK("https://ceds.ed.gov/elementComment.aspx?elementName=Address Postal Code &amp;elementID=5214", "Click here to submit comment")</f>
        <v>Click here to submit comment</v>
      </c>
    </row>
    <row r="642" spans="1:16" ht="225">
      <c r="A642" s="6" t="s">
        <v>6788</v>
      </c>
      <c r="B642" s="6" t="s">
        <v>6796</v>
      </c>
      <c r="C642" s="6" t="s">
        <v>6749</v>
      </c>
      <c r="D642" s="6" t="s">
        <v>178</v>
      </c>
      <c r="E642" s="6" t="s">
        <v>179</v>
      </c>
      <c r="F642" s="6" t="s">
        <v>13</v>
      </c>
      <c r="G642" s="6" t="s">
        <v>5973</v>
      </c>
      <c r="H642" s="6" t="s">
        <v>3</v>
      </c>
      <c r="I642" s="6" t="s">
        <v>100</v>
      </c>
      <c r="J642" s="6"/>
      <c r="K642" s="6"/>
      <c r="L642" s="6" t="s">
        <v>180</v>
      </c>
      <c r="M642" s="6"/>
      <c r="N642" s="6" t="s">
        <v>181</v>
      </c>
      <c r="O642" s="6" t="str">
        <f>HYPERLINK("https://ceds.ed.gov/cedselementdetails.aspx?termid=5190")</f>
        <v>https://ceds.ed.gov/cedselementdetails.aspx?termid=5190</v>
      </c>
      <c r="P642" s="6" t="str">
        <f>HYPERLINK("https://ceds.ed.gov/elementComment.aspx?elementName=Address County Name &amp;elementID=5190", "Click here to submit comment")</f>
        <v>Click here to submit comment</v>
      </c>
    </row>
    <row r="643" spans="1:16" ht="180">
      <c r="A643" s="6" t="s">
        <v>6788</v>
      </c>
      <c r="B643" s="6" t="s">
        <v>6796</v>
      </c>
      <c r="C643" s="6" t="s">
        <v>6749</v>
      </c>
      <c r="D643" s="6" t="s">
        <v>1817</v>
      </c>
      <c r="E643" s="6" t="s">
        <v>1818</v>
      </c>
      <c r="F643" s="6" t="s">
        <v>13</v>
      </c>
      <c r="G643" s="6"/>
      <c r="H643" s="6" t="s">
        <v>66</v>
      </c>
      <c r="I643" s="6" t="s">
        <v>1819</v>
      </c>
      <c r="J643" s="6" t="s">
        <v>1820</v>
      </c>
      <c r="K643" s="6"/>
      <c r="L643" s="6" t="s">
        <v>1821</v>
      </c>
      <c r="M643" s="6"/>
      <c r="N643" s="6" t="s">
        <v>1822</v>
      </c>
      <c r="O643" s="6" t="str">
        <f>HYPERLINK("https://ceds.ed.gov/cedselementdetails.aspx?termid=6176")</f>
        <v>https://ceds.ed.gov/cedselementdetails.aspx?termid=6176</v>
      </c>
      <c r="P643" s="6" t="str">
        <f>HYPERLINK("https://ceds.ed.gov/elementComment.aspx?elementName=County ANSI Code &amp;elementID=6176", "Click here to submit comment")</f>
        <v>Click here to submit comment</v>
      </c>
    </row>
    <row r="644" spans="1:16" ht="240">
      <c r="A644" s="6" t="s">
        <v>6788</v>
      </c>
      <c r="B644" s="6" t="s">
        <v>6796</v>
      </c>
      <c r="C644" s="6" t="s">
        <v>6750</v>
      </c>
      <c r="D644" s="6" t="s">
        <v>3289</v>
      </c>
      <c r="E644" s="6" t="s">
        <v>3290</v>
      </c>
      <c r="F644" s="7" t="s">
        <v>6553</v>
      </c>
      <c r="G644" s="6"/>
      <c r="H644" s="6"/>
      <c r="I644" s="6"/>
      <c r="J644" s="6"/>
      <c r="K644" s="6"/>
      <c r="L644" s="6" t="s">
        <v>3291</v>
      </c>
      <c r="M644" s="6"/>
      <c r="N644" s="6" t="s">
        <v>3292</v>
      </c>
      <c r="O644" s="6" t="str">
        <f>HYPERLINK("https://ceds.ed.gov/cedselementdetails.aspx?termid=5167")</f>
        <v>https://ceds.ed.gov/cedselementdetails.aspx?termid=5167</v>
      </c>
      <c r="P644" s="6" t="str">
        <f>HYPERLINK("https://ceds.ed.gov/elementComment.aspx?elementName=Institution Telephone Number Type &amp;elementID=5167", "Click here to submit comment")</f>
        <v>Click here to submit comment</v>
      </c>
    </row>
    <row r="645" spans="1:16" ht="90">
      <c r="A645" s="6" t="s">
        <v>6788</v>
      </c>
      <c r="B645" s="6" t="s">
        <v>6796</v>
      </c>
      <c r="C645" s="6" t="s">
        <v>6750</v>
      </c>
      <c r="D645" s="6" t="s">
        <v>4591</v>
      </c>
      <c r="E645" s="6" t="s">
        <v>4592</v>
      </c>
      <c r="F645" s="6" t="s">
        <v>5963</v>
      </c>
      <c r="G645" s="6" t="s">
        <v>5968</v>
      </c>
      <c r="H645" s="6" t="s">
        <v>3</v>
      </c>
      <c r="I645" s="6"/>
      <c r="J645" s="6"/>
      <c r="K645" s="6"/>
      <c r="L645" s="6" t="s">
        <v>4593</v>
      </c>
      <c r="M645" s="6"/>
      <c r="N645" s="6" t="s">
        <v>4594</v>
      </c>
      <c r="O645" s="6" t="str">
        <f>HYPERLINK("https://ceds.ed.gov/cedselementdetails.aspx?termid=5219")</f>
        <v>https://ceds.ed.gov/cedselementdetails.aspx?termid=5219</v>
      </c>
      <c r="P645" s="6" t="str">
        <f>HYPERLINK("https://ceds.ed.gov/elementComment.aspx?elementName=Primary Telephone Number Indicator &amp;elementID=5219", "Click here to submit comment")</f>
        <v>Click here to submit comment</v>
      </c>
    </row>
    <row r="646" spans="1:16" ht="90">
      <c r="A646" s="6" t="s">
        <v>6788</v>
      </c>
      <c r="B646" s="6" t="s">
        <v>6796</v>
      </c>
      <c r="C646" s="6" t="s">
        <v>6750</v>
      </c>
      <c r="D646" s="6" t="s">
        <v>5727</v>
      </c>
      <c r="E646" s="6" t="s">
        <v>5728</v>
      </c>
      <c r="F646" s="6" t="s">
        <v>13</v>
      </c>
      <c r="G646" s="6" t="s">
        <v>5968</v>
      </c>
      <c r="H646" s="6" t="s">
        <v>3</v>
      </c>
      <c r="I646" s="6" t="s">
        <v>5729</v>
      </c>
      <c r="J646" s="6"/>
      <c r="K646" s="6"/>
      <c r="L646" s="6" t="s">
        <v>5730</v>
      </c>
      <c r="M646" s="6"/>
      <c r="N646" s="6" t="s">
        <v>5731</v>
      </c>
      <c r="O646" s="6" t="str">
        <f>HYPERLINK("https://ceds.ed.gov/cedselementdetails.aspx?termid=5279")</f>
        <v>https://ceds.ed.gov/cedselementdetails.aspx?termid=5279</v>
      </c>
      <c r="P646" s="6" t="str">
        <f>HYPERLINK("https://ceds.ed.gov/elementComment.aspx?elementName=Telephone Number &amp;elementID=5279", "Click here to submit comment")</f>
        <v>Click here to submit comment</v>
      </c>
    </row>
    <row r="647" spans="1:16" ht="330">
      <c r="A647" s="6" t="s">
        <v>6788</v>
      </c>
      <c r="B647" s="6" t="s">
        <v>6796</v>
      </c>
      <c r="C647" s="6" t="s">
        <v>6790</v>
      </c>
      <c r="D647" s="6" t="s">
        <v>4049</v>
      </c>
      <c r="E647" s="6" t="s">
        <v>4050</v>
      </c>
      <c r="F647" s="7" t="s">
        <v>6580</v>
      </c>
      <c r="G647" s="6" t="s">
        <v>218</v>
      </c>
      <c r="H647" s="6"/>
      <c r="I647" s="6"/>
      <c r="J647" s="6"/>
      <c r="K647" s="6"/>
      <c r="L647" s="6" t="s">
        <v>4051</v>
      </c>
      <c r="M647" s="6"/>
      <c r="N647" s="6" t="s">
        <v>4052</v>
      </c>
      <c r="O647" s="6" t="str">
        <f>HYPERLINK("https://ceds.ed.gov/cedselementdetails.aspx?termid=5528")</f>
        <v>https://ceds.ed.gov/cedselementdetails.aspx?termid=5528</v>
      </c>
      <c r="P647" s="6" t="str">
        <f>HYPERLINK("https://ceds.ed.gov/elementComment.aspx?elementName=Local Education Agency Type &amp;elementID=5528", "Click here to submit comment")</f>
        <v>Click here to submit comment</v>
      </c>
    </row>
    <row r="648" spans="1:16" ht="105">
      <c r="A648" s="6" t="s">
        <v>6788</v>
      </c>
      <c r="B648" s="6" t="s">
        <v>6796</v>
      </c>
      <c r="C648" s="6" t="s">
        <v>6790</v>
      </c>
      <c r="D648" s="6" t="s">
        <v>1619</v>
      </c>
      <c r="E648" s="6" t="s">
        <v>1620</v>
      </c>
      <c r="F648" s="6" t="s">
        <v>5963</v>
      </c>
      <c r="G648" s="6" t="s">
        <v>5968</v>
      </c>
      <c r="H648" s="6"/>
      <c r="I648" s="6"/>
      <c r="J648" s="6"/>
      <c r="K648" s="6"/>
      <c r="L648" s="6" t="s">
        <v>1621</v>
      </c>
      <c r="M648" s="6"/>
      <c r="N648" s="6" t="s">
        <v>1622</v>
      </c>
      <c r="O648" s="6" t="str">
        <f>HYPERLINK("https://ceds.ed.gov/cedselementdetails.aspx?termid=5039")</f>
        <v>https://ceds.ed.gov/cedselementdetails.aspx?termid=5039</v>
      </c>
      <c r="P648" s="6" t="str">
        <f>HYPERLINK("https://ceds.ed.gov/elementComment.aspx?elementName=Charter School Indicator &amp;elementID=5039", "Click here to submit comment")</f>
        <v>Click here to submit comment</v>
      </c>
    </row>
    <row r="649" spans="1:16" ht="165">
      <c r="A649" s="6" t="s">
        <v>6788</v>
      </c>
      <c r="B649" s="6" t="s">
        <v>6796</v>
      </c>
      <c r="C649" s="6" t="s">
        <v>6790</v>
      </c>
      <c r="D649" s="6" t="s">
        <v>4032</v>
      </c>
      <c r="E649" s="6" t="s">
        <v>4033</v>
      </c>
      <c r="F649" s="7" t="s">
        <v>6579</v>
      </c>
      <c r="G649" s="6" t="s">
        <v>218</v>
      </c>
      <c r="H649" s="6"/>
      <c r="I649" s="6"/>
      <c r="J649" s="6"/>
      <c r="K649" s="6"/>
      <c r="L649" s="6" t="s">
        <v>4035</v>
      </c>
      <c r="M649" s="6" t="s">
        <v>4036</v>
      </c>
      <c r="N649" s="6" t="s">
        <v>4037</v>
      </c>
      <c r="O649" s="6" t="str">
        <f>HYPERLINK("https://ceds.ed.gov/cedselementdetails.aspx?termid=5174")</f>
        <v>https://ceds.ed.gov/cedselementdetails.aspx?termid=5174</v>
      </c>
      <c r="P649" s="6" t="str">
        <f>HYPERLINK("https://ceds.ed.gov/elementComment.aspx?elementName=Local Education Agency Operational Status &amp;elementID=5174", "Click here to submit comment")</f>
        <v>Click here to submit comment</v>
      </c>
    </row>
    <row r="650" spans="1:16" ht="30">
      <c r="A650" s="6" t="s">
        <v>6788</v>
      </c>
      <c r="B650" s="6" t="s">
        <v>6796</v>
      </c>
      <c r="C650" s="6" t="s">
        <v>6790</v>
      </c>
      <c r="D650" s="6" t="s">
        <v>4325</v>
      </c>
      <c r="E650" s="6" t="s">
        <v>4326</v>
      </c>
      <c r="F650" s="6" t="s">
        <v>13</v>
      </c>
      <c r="G650" s="6" t="s">
        <v>218</v>
      </c>
      <c r="H650" s="6"/>
      <c r="I650" s="6" t="s">
        <v>73</v>
      </c>
      <c r="J650" s="6"/>
      <c r="K650" s="6"/>
      <c r="L650" s="6" t="s">
        <v>4327</v>
      </c>
      <c r="M650" s="6"/>
      <c r="N650" s="6" t="s">
        <v>4328</v>
      </c>
      <c r="O650" s="6" t="str">
        <f>HYPERLINK("https://ceds.ed.gov/cedselementdetails.aspx?termid=5525")</f>
        <v>https://ceds.ed.gov/cedselementdetails.aspx?termid=5525</v>
      </c>
      <c r="P650" s="6" t="str">
        <f>HYPERLINK("https://ceds.ed.gov/elementComment.aspx?elementName=Operational Status Effective Date &amp;elementID=5525", "Click here to submit comment")</f>
        <v>Click here to submit comment</v>
      </c>
    </row>
    <row r="651" spans="1:16" ht="75">
      <c r="A651" s="6" t="s">
        <v>6788</v>
      </c>
      <c r="B651" s="6" t="s">
        <v>6796</v>
      </c>
      <c r="C651" s="6" t="s">
        <v>6790</v>
      </c>
      <c r="D651" s="6" t="s">
        <v>4038</v>
      </c>
      <c r="E651" s="6" t="s">
        <v>4039</v>
      </c>
      <c r="F651" s="6" t="s">
        <v>13</v>
      </c>
      <c r="G651" s="6" t="s">
        <v>218</v>
      </c>
      <c r="H651" s="6"/>
      <c r="I651" s="6" t="s">
        <v>4040</v>
      </c>
      <c r="J651" s="6"/>
      <c r="K651" s="6"/>
      <c r="L651" s="6" t="s">
        <v>4041</v>
      </c>
      <c r="M651" s="6" t="s">
        <v>4042</v>
      </c>
      <c r="N651" s="6" t="s">
        <v>4043</v>
      </c>
      <c r="O651" s="6" t="str">
        <f>HYPERLINK("https://ceds.ed.gov/cedselementdetails.aspx?termid=5175")</f>
        <v>https://ceds.ed.gov/cedselementdetails.aspx?termid=5175</v>
      </c>
      <c r="P651" s="6" t="str">
        <f>HYPERLINK("https://ceds.ed.gov/elementComment.aspx?elementName=Local Education Agency Supervisory Union Identification Number &amp;elementID=5175", "Click here to submit comment")</f>
        <v>Click here to submit comment</v>
      </c>
    </row>
    <row r="652" spans="1:16" ht="30">
      <c r="A652" s="6" t="s">
        <v>6788</v>
      </c>
      <c r="B652" s="6" t="s">
        <v>6796</v>
      </c>
      <c r="C652" s="6" t="s">
        <v>6790</v>
      </c>
      <c r="D652" s="6" t="s">
        <v>5908</v>
      </c>
      <c r="E652" s="6" t="s">
        <v>5909</v>
      </c>
      <c r="F652" s="6" t="s">
        <v>13</v>
      </c>
      <c r="G652" s="6" t="s">
        <v>218</v>
      </c>
      <c r="H652" s="6" t="s">
        <v>3</v>
      </c>
      <c r="I652" s="6" t="s">
        <v>93</v>
      </c>
      <c r="J652" s="6"/>
      <c r="K652" s="6"/>
      <c r="L652" s="6" t="s">
        <v>5910</v>
      </c>
      <c r="M652" s="6"/>
      <c r="N652" s="6" t="s">
        <v>5911</v>
      </c>
      <c r="O652" s="6" t="str">
        <f>HYPERLINK("https://ceds.ed.gov/cedselementdetails.aspx?termid=5300")</f>
        <v>https://ceds.ed.gov/cedselementdetails.aspx?termid=5300</v>
      </c>
      <c r="P652" s="6" t="str">
        <f>HYPERLINK("https://ceds.ed.gov/elementComment.aspx?elementName=Web Site Address &amp;elementID=5300", "Click here to submit comment")</f>
        <v>Click here to submit comment</v>
      </c>
    </row>
    <row r="653" spans="1:16" ht="120">
      <c r="A653" s="6" t="s">
        <v>6788</v>
      </c>
      <c r="B653" s="6" t="s">
        <v>6796</v>
      </c>
      <c r="C653" s="6" t="s">
        <v>6790</v>
      </c>
      <c r="D653" s="6" t="s">
        <v>2598</v>
      </c>
      <c r="E653" s="6" t="s">
        <v>2599</v>
      </c>
      <c r="F653" s="6" t="s">
        <v>13</v>
      </c>
      <c r="G653" s="6"/>
      <c r="H653" s="6"/>
      <c r="I653" s="6" t="s">
        <v>149</v>
      </c>
      <c r="J653" s="6"/>
      <c r="K653" s="6"/>
      <c r="L653" s="6" t="s">
        <v>2600</v>
      </c>
      <c r="M653" s="6"/>
      <c r="N653" s="6" t="s">
        <v>2601</v>
      </c>
      <c r="O653" s="6" t="str">
        <f>HYPERLINK("https://ceds.ed.gov/cedselementdetails.aspx?termid=5495")</f>
        <v>https://ceds.ed.gov/cedselementdetails.aspx?termid=5495</v>
      </c>
      <c r="P653" s="6" t="str">
        <f>HYPERLINK("https://ceds.ed.gov/elementComment.aspx?elementName=Facilities Identifier &amp;elementID=5495", "Click here to submit comment")</f>
        <v>Click here to submit comment</v>
      </c>
    </row>
    <row r="654" spans="1:16" ht="75">
      <c r="A654" s="6" t="s">
        <v>6788</v>
      </c>
      <c r="B654" s="6" t="s">
        <v>6796</v>
      </c>
      <c r="C654" s="6" t="s">
        <v>6792</v>
      </c>
      <c r="D654" s="6" t="s">
        <v>216</v>
      </c>
      <c r="E654" s="6" t="s">
        <v>217</v>
      </c>
      <c r="F654" s="7" t="s">
        <v>6356</v>
      </c>
      <c r="G654" s="6" t="s">
        <v>218</v>
      </c>
      <c r="H654" s="6"/>
      <c r="I654" s="6"/>
      <c r="J654" s="6"/>
      <c r="K654" s="6"/>
      <c r="L654" s="6" t="s">
        <v>219</v>
      </c>
      <c r="M654" s="6" t="s">
        <v>220</v>
      </c>
      <c r="N654" s="6" t="s">
        <v>221</v>
      </c>
      <c r="O654" s="6" t="str">
        <f>HYPERLINK("https://ceds.ed.gov/cedselementdetails.aspx?termid=5011")</f>
        <v>https://ceds.ed.gov/cedselementdetails.aspx?termid=5011</v>
      </c>
      <c r="P654" s="6" t="str">
        <f>HYPERLINK("https://ceds.ed.gov/elementComment.aspx?elementName=Adequate Yearly Progress Status &amp;elementID=5011", "Click here to submit comment")</f>
        <v>Click here to submit comment</v>
      </c>
    </row>
    <row r="655" spans="1:16" ht="60">
      <c r="A655" s="6" t="s">
        <v>6788</v>
      </c>
      <c r="B655" s="6" t="s">
        <v>6796</v>
      </c>
      <c r="C655" s="6" t="s">
        <v>6792</v>
      </c>
      <c r="D655" s="6" t="s">
        <v>331</v>
      </c>
      <c r="E655" s="6" t="s">
        <v>332</v>
      </c>
      <c r="F655" s="6" t="s">
        <v>5963</v>
      </c>
      <c r="G655" s="6" t="s">
        <v>218</v>
      </c>
      <c r="H655" s="6"/>
      <c r="I655" s="6"/>
      <c r="J655" s="6"/>
      <c r="K655" s="6"/>
      <c r="L655" s="6" t="s">
        <v>333</v>
      </c>
      <c r="M655" s="6" t="s">
        <v>334</v>
      </c>
      <c r="N655" s="6" t="s">
        <v>335</v>
      </c>
      <c r="O655" s="6" t="str">
        <f>HYPERLINK("https://ceds.ed.gov/cedselementdetails.aspx?termid=5014")</f>
        <v>https://ceds.ed.gov/cedselementdetails.aspx?termid=5014</v>
      </c>
      <c r="P655" s="6" t="str">
        <f>HYPERLINK("https://ceds.ed.gov/elementComment.aspx?elementName=Alternate Adequate Yearly Progress Approach Indicator &amp;elementID=5014", "Click here to submit comment")</f>
        <v>Click here to submit comment</v>
      </c>
    </row>
    <row r="656" spans="1:16" ht="105">
      <c r="A656" s="6" t="s">
        <v>6788</v>
      </c>
      <c r="B656" s="6" t="s">
        <v>6796</v>
      </c>
      <c r="C656" s="6" t="s">
        <v>6792</v>
      </c>
      <c r="D656" s="6" t="s">
        <v>361</v>
      </c>
      <c r="E656" s="6" t="s">
        <v>362</v>
      </c>
      <c r="F656" s="7" t="s">
        <v>6374</v>
      </c>
      <c r="G656" s="6" t="s">
        <v>218</v>
      </c>
      <c r="H656" s="6"/>
      <c r="I656" s="6"/>
      <c r="J656" s="6"/>
      <c r="K656" s="6"/>
      <c r="L656" s="6" t="s">
        <v>363</v>
      </c>
      <c r="M656" s="6" t="s">
        <v>364</v>
      </c>
      <c r="N656" s="6" t="s">
        <v>365</v>
      </c>
      <c r="O656" s="6" t="str">
        <f>HYPERLINK("https://ceds.ed.gov/cedselementdetails.aspx?termid=5572")</f>
        <v>https://ceds.ed.gov/cedselementdetails.aspx?termid=5572</v>
      </c>
      <c r="P656" s="6" t="str">
        <f>HYPERLINK("https://ceds.ed.gov/elementComment.aspx?elementName=Annual Measurable Achievement Objective AYP Progress Attainment Status for LEP Students &amp;elementID=5572", "Click here to submit comment")</f>
        <v>Click here to submit comment</v>
      </c>
    </row>
    <row r="657" spans="1:16" ht="105">
      <c r="A657" s="6" t="s">
        <v>6788</v>
      </c>
      <c r="B657" s="6" t="s">
        <v>6796</v>
      </c>
      <c r="C657" s="6" t="s">
        <v>6792</v>
      </c>
      <c r="D657" s="6" t="s">
        <v>366</v>
      </c>
      <c r="E657" s="6" t="s">
        <v>367</v>
      </c>
      <c r="F657" s="7" t="s">
        <v>6374</v>
      </c>
      <c r="G657" s="6" t="s">
        <v>218</v>
      </c>
      <c r="H657" s="6"/>
      <c r="I657" s="6"/>
      <c r="J657" s="6"/>
      <c r="K657" s="6"/>
      <c r="L657" s="6" t="s">
        <v>368</v>
      </c>
      <c r="M657" s="6" t="s">
        <v>369</v>
      </c>
      <c r="N657" s="6" t="s">
        <v>370</v>
      </c>
      <c r="O657" s="6" t="str">
        <f>HYPERLINK("https://ceds.ed.gov/cedselementdetails.aspx?termid=5535")</f>
        <v>https://ceds.ed.gov/cedselementdetails.aspx?termid=5535</v>
      </c>
      <c r="P657" s="6" t="str">
        <f>HYPERLINK("https://ceds.ed.gov/elementComment.aspx?elementName=Annual Measurable Achievement Objective Proficiency Attainment Status for LEP Students &amp;elementID=5535", "Click here to submit comment")</f>
        <v>Click here to submit comment</v>
      </c>
    </row>
    <row r="658" spans="1:16" ht="105">
      <c r="A658" s="6" t="s">
        <v>6788</v>
      </c>
      <c r="B658" s="6" t="s">
        <v>6796</v>
      </c>
      <c r="C658" s="6" t="s">
        <v>6792</v>
      </c>
      <c r="D658" s="6" t="s">
        <v>371</v>
      </c>
      <c r="E658" s="6" t="s">
        <v>372</v>
      </c>
      <c r="F658" s="7" t="s">
        <v>6374</v>
      </c>
      <c r="G658" s="6" t="s">
        <v>218</v>
      </c>
      <c r="H658" s="6"/>
      <c r="I658" s="6"/>
      <c r="J658" s="6"/>
      <c r="K658" s="6"/>
      <c r="L658" s="6" t="s">
        <v>373</v>
      </c>
      <c r="M658" s="6" t="s">
        <v>374</v>
      </c>
      <c r="N658" s="6" t="s">
        <v>375</v>
      </c>
      <c r="O658" s="6" t="str">
        <f>HYPERLINK("https://ceds.ed.gov/cedselementdetails.aspx?termid=5545")</f>
        <v>https://ceds.ed.gov/cedselementdetails.aspx?termid=5545</v>
      </c>
      <c r="P658" s="6" t="str">
        <f>HYPERLINK("https://ceds.ed.gov/elementComment.aspx?elementName=Annual Measurable Achievement Objective Progress Attainment Status for LEP Students &amp;elementID=5545", "Click here to submit comment")</f>
        <v>Click here to submit comment</v>
      </c>
    </row>
    <row r="659" spans="1:16" ht="60">
      <c r="A659" s="6" t="s">
        <v>6788</v>
      </c>
      <c r="B659" s="6" t="s">
        <v>6796</v>
      </c>
      <c r="C659" s="6" t="s">
        <v>6792</v>
      </c>
      <c r="D659" s="6" t="s">
        <v>376</v>
      </c>
      <c r="E659" s="6" t="s">
        <v>377</v>
      </c>
      <c r="F659" s="6" t="s">
        <v>5963</v>
      </c>
      <c r="G659" s="6" t="s">
        <v>207</v>
      </c>
      <c r="H659" s="6"/>
      <c r="I659" s="6"/>
      <c r="J659" s="6"/>
      <c r="K659" s="6"/>
      <c r="L659" s="6" t="s">
        <v>378</v>
      </c>
      <c r="M659" s="6" t="s">
        <v>379</v>
      </c>
      <c r="N659" s="6" t="s">
        <v>380</v>
      </c>
      <c r="O659" s="6" t="str">
        <f>HYPERLINK("https://ceds.ed.gov/cedselementdetails.aspx?termid=5432")</f>
        <v>https://ceds.ed.gov/cedselementdetails.aspx?termid=5432</v>
      </c>
      <c r="P659" s="6" t="str">
        <f>HYPERLINK("https://ceds.ed.gov/elementComment.aspx?elementName=Appealed Adequate Yearly Progress Designation &amp;elementID=5432", "Click here to submit comment")</f>
        <v>Click here to submit comment</v>
      </c>
    </row>
    <row r="660" spans="1:16" ht="60">
      <c r="A660" s="6" t="s">
        <v>6788</v>
      </c>
      <c r="B660" s="6" t="s">
        <v>6796</v>
      </c>
      <c r="C660" s="6" t="s">
        <v>6792</v>
      </c>
      <c r="D660" s="6" t="s">
        <v>205</v>
      </c>
      <c r="E660" s="6" t="s">
        <v>206</v>
      </c>
      <c r="F660" s="6" t="s">
        <v>5963</v>
      </c>
      <c r="G660" s="6" t="s">
        <v>207</v>
      </c>
      <c r="H660" s="6"/>
      <c r="I660" s="6"/>
      <c r="J660" s="6"/>
      <c r="K660" s="6"/>
      <c r="L660" s="6" t="s">
        <v>208</v>
      </c>
      <c r="M660" s="6" t="s">
        <v>209</v>
      </c>
      <c r="N660" s="6" t="s">
        <v>210</v>
      </c>
      <c r="O660" s="6" t="str">
        <f>HYPERLINK("https://ceds.ed.gov/cedselementdetails.aspx?termid=5433")</f>
        <v>https://ceds.ed.gov/cedselementdetails.aspx?termid=5433</v>
      </c>
      <c r="P660" s="6" t="str">
        <f>HYPERLINK("https://ceds.ed.gov/elementComment.aspx?elementName=Adequate Yearly Progress Appeal Changed Designation &amp;elementID=5433", "Click here to submit comment")</f>
        <v>Click here to submit comment</v>
      </c>
    </row>
    <row r="661" spans="1:16" ht="45">
      <c r="A661" s="6" t="s">
        <v>6788</v>
      </c>
      <c r="B661" s="6" t="s">
        <v>6796</v>
      </c>
      <c r="C661" s="6" t="s">
        <v>6792</v>
      </c>
      <c r="D661" s="6" t="s">
        <v>211</v>
      </c>
      <c r="E661" s="6" t="s">
        <v>212</v>
      </c>
      <c r="F661" s="6" t="s">
        <v>13</v>
      </c>
      <c r="G661" s="6" t="s">
        <v>207</v>
      </c>
      <c r="H661" s="6"/>
      <c r="I661" s="6" t="s">
        <v>73</v>
      </c>
      <c r="J661" s="6"/>
      <c r="K661" s="6"/>
      <c r="L661" s="6" t="s">
        <v>213</v>
      </c>
      <c r="M661" s="6" t="s">
        <v>214</v>
      </c>
      <c r="N661" s="6" t="s">
        <v>215</v>
      </c>
      <c r="O661" s="6" t="str">
        <f>HYPERLINK("https://ceds.ed.gov/cedselementdetails.aspx?termid=5434")</f>
        <v>https://ceds.ed.gov/cedselementdetails.aspx?termid=5434</v>
      </c>
      <c r="P661" s="6" t="str">
        <f>HYPERLINK("https://ceds.ed.gov/elementComment.aspx?elementName=Adequate Yearly Progress Appeal Process Date &amp;elementID=5434", "Click here to submit comment")</f>
        <v>Click here to submit comment</v>
      </c>
    </row>
    <row r="662" spans="1:16" ht="30">
      <c r="A662" s="6" t="s">
        <v>6788</v>
      </c>
      <c r="B662" s="6" t="s">
        <v>6796</v>
      </c>
      <c r="C662" s="6" t="s">
        <v>6792</v>
      </c>
      <c r="D662" s="6" t="s">
        <v>57</v>
      </c>
      <c r="E662" s="6" t="s">
        <v>58</v>
      </c>
      <c r="F662" s="6" t="s">
        <v>13</v>
      </c>
      <c r="G662" s="6"/>
      <c r="H662" s="6"/>
      <c r="I662" s="6" t="s">
        <v>25</v>
      </c>
      <c r="J662" s="6"/>
      <c r="K662" s="6"/>
      <c r="L662" s="6" t="s">
        <v>60</v>
      </c>
      <c r="M662" s="6"/>
      <c r="N662" s="6" t="s">
        <v>61</v>
      </c>
      <c r="O662" s="6" t="str">
        <f>HYPERLINK("https://ceds.ed.gov/cedselementdetails.aspx?termid=5005")</f>
        <v>https://ceds.ed.gov/cedselementdetails.aspx?termid=5005</v>
      </c>
      <c r="P662" s="6" t="str">
        <f>HYPERLINK("https://ceds.ed.gov/elementComment.aspx?elementName=Accountability Report Title &amp;elementID=5005", "Click here to submit comment")</f>
        <v>Click here to submit comment</v>
      </c>
    </row>
    <row r="663" spans="1:16" ht="135">
      <c r="A663" s="6" t="s">
        <v>6788</v>
      </c>
      <c r="B663" s="6" t="s">
        <v>6796</v>
      </c>
      <c r="C663" s="6" t="s">
        <v>6792</v>
      </c>
      <c r="D663" s="6" t="s">
        <v>2462</v>
      </c>
      <c r="E663" s="6" t="s">
        <v>2463</v>
      </c>
      <c r="F663" s="7" t="s">
        <v>6490</v>
      </c>
      <c r="G663" s="6" t="s">
        <v>218</v>
      </c>
      <c r="H663" s="6"/>
      <c r="I663" s="6"/>
      <c r="J663" s="6"/>
      <c r="K663" s="6"/>
      <c r="L663" s="6" t="s">
        <v>2464</v>
      </c>
      <c r="M663" s="6"/>
      <c r="N663" s="6" t="s">
        <v>2465</v>
      </c>
      <c r="O663" s="6" t="str">
        <f>HYPERLINK("https://ceds.ed.gov/cedselementdetails.aspx?termid=5091")</f>
        <v>https://ceds.ed.gov/cedselementdetails.aspx?termid=5091</v>
      </c>
      <c r="P663" s="6" t="str">
        <f>HYPERLINK("https://ceds.ed.gov/elementComment.aspx?elementName=Elementary-Middle Additional Indicator Status &amp;elementID=5091", "Click here to submit comment")</f>
        <v>Click here to submit comment</v>
      </c>
    </row>
    <row r="664" spans="1:16" ht="150">
      <c r="A664" s="6" t="s">
        <v>6788</v>
      </c>
      <c r="B664" s="6" t="s">
        <v>6796</v>
      </c>
      <c r="C664" s="6" t="s">
        <v>6792</v>
      </c>
      <c r="D664" s="6" t="s">
        <v>2916</v>
      </c>
      <c r="E664" s="6" t="s">
        <v>2917</v>
      </c>
      <c r="F664" s="7" t="s">
        <v>6525</v>
      </c>
      <c r="G664" s="6" t="s">
        <v>218</v>
      </c>
      <c r="H664" s="6"/>
      <c r="I664" s="6"/>
      <c r="J664" s="6"/>
      <c r="K664" s="6"/>
      <c r="L664" s="6" t="s">
        <v>2918</v>
      </c>
      <c r="M664" s="6"/>
      <c r="N664" s="6" t="s">
        <v>2919</v>
      </c>
      <c r="O664" s="6" t="str">
        <f>HYPERLINK("https://ceds.ed.gov/cedselementdetails.aspx?termid=5134")</f>
        <v>https://ceds.ed.gov/cedselementdetails.aspx?termid=5134</v>
      </c>
      <c r="P664" s="6" t="str">
        <f>HYPERLINK("https://ceds.ed.gov/elementComment.aspx?elementName=Gun Free Schools Act Reporting Status &amp;elementID=5134", "Click here to submit comment")</f>
        <v>Click here to submit comment</v>
      </c>
    </row>
    <row r="665" spans="1:16" ht="165">
      <c r="A665" s="6" t="s">
        <v>6788</v>
      </c>
      <c r="B665" s="6" t="s">
        <v>6796</v>
      </c>
      <c r="C665" s="6" t="s">
        <v>6792</v>
      </c>
      <c r="D665" s="6" t="s">
        <v>2953</v>
      </c>
      <c r="E665" s="6" t="s">
        <v>2954</v>
      </c>
      <c r="F665" s="7" t="s">
        <v>6529</v>
      </c>
      <c r="G665" s="6" t="s">
        <v>218</v>
      </c>
      <c r="H665" s="6"/>
      <c r="I665" s="6"/>
      <c r="J665" s="6"/>
      <c r="K665" s="6"/>
      <c r="L665" s="6" t="s">
        <v>2955</v>
      </c>
      <c r="M665" s="6"/>
      <c r="N665" s="6" t="s">
        <v>2956</v>
      </c>
      <c r="O665" s="6" t="str">
        <f>HYPERLINK("https://ceds.ed.gov/cedselementdetails.aspx?termid=5140")</f>
        <v>https://ceds.ed.gov/cedselementdetails.aspx?termid=5140</v>
      </c>
      <c r="P665" s="6" t="str">
        <f>HYPERLINK("https://ceds.ed.gov/elementComment.aspx?elementName=High School Graduation Rate Indicator Status &amp;elementID=5140", "Click here to submit comment")</f>
        <v>Click here to submit comment</v>
      </c>
    </row>
    <row r="666" spans="1:16" ht="150">
      <c r="A666" s="6" t="s">
        <v>6788</v>
      </c>
      <c r="B666" s="6" t="s">
        <v>6796</v>
      </c>
      <c r="C666" s="6" t="s">
        <v>6792</v>
      </c>
      <c r="D666" s="6" t="s">
        <v>4027</v>
      </c>
      <c r="E666" s="6" t="s">
        <v>4028</v>
      </c>
      <c r="F666" s="7" t="s">
        <v>6578</v>
      </c>
      <c r="G666" s="6" t="s">
        <v>218</v>
      </c>
      <c r="H666" s="6"/>
      <c r="I666" s="6"/>
      <c r="J666" s="6"/>
      <c r="K666" s="6"/>
      <c r="L666" s="6" t="s">
        <v>4029</v>
      </c>
      <c r="M666" s="6" t="s">
        <v>4030</v>
      </c>
      <c r="N666" s="6" t="s">
        <v>4031</v>
      </c>
      <c r="O666" s="6" t="str">
        <f>HYPERLINK("https://ceds.ed.gov/cedselementdetails.aspx?termid=5173")</f>
        <v>https://ceds.ed.gov/cedselementdetails.aspx?termid=5173</v>
      </c>
      <c r="P666" s="6" t="str">
        <f>HYPERLINK("https://ceds.ed.gov/elementComment.aspx?elementName=Local Education Agency Improvement Status &amp;elementID=5173", "Click here to submit comment")</f>
        <v>Click here to submit comment</v>
      </c>
    </row>
    <row r="667" spans="1:16" ht="150">
      <c r="A667" s="6" t="s">
        <v>6788</v>
      </c>
      <c r="B667" s="6" t="s">
        <v>6796</v>
      </c>
      <c r="C667" s="6" t="s">
        <v>6792</v>
      </c>
      <c r="D667" s="6" t="s">
        <v>4427</v>
      </c>
      <c r="E667" s="6" t="s">
        <v>4428</v>
      </c>
      <c r="F667" s="7" t="s">
        <v>6597</v>
      </c>
      <c r="G667" s="6" t="s">
        <v>218</v>
      </c>
      <c r="H667" s="6"/>
      <c r="I667" s="6"/>
      <c r="J667" s="6"/>
      <c r="K667" s="6"/>
      <c r="L667" s="6" t="s">
        <v>4429</v>
      </c>
      <c r="M667" s="6"/>
      <c r="N667" s="6" t="s">
        <v>4430</v>
      </c>
      <c r="O667" s="6" t="str">
        <f>HYPERLINK("https://ceds.ed.gov/cedselementdetails.aspx?termid=5208")</f>
        <v>https://ceds.ed.gov/cedselementdetails.aspx?termid=5208</v>
      </c>
      <c r="P667" s="6" t="str">
        <f>HYPERLINK("https://ceds.ed.gov/elementComment.aspx?elementName=Participation Status for Math &amp;elementID=5208", "Click here to submit comment")</f>
        <v>Click here to submit comment</v>
      </c>
    </row>
    <row r="668" spans="1:16" ht="150">
      <c r="A668" s="6" t="s">
        <v>6788</v>
      </c>
      <c r="B668" s="6" t="s">
        <v>6796</v>
      </c>
      <c r="C668" s="6" t="s">
        <v>6792</v>
      </c>
      <c r="D668" s="6" t="s">
        <v>4431</v>
      </c>
      <c r="E668" s="6" t="s">
        <v>4432</v>
      </c>
      <c r="F668" s="7" t="s">
        <v>6597</v>
      </c>
      <c r="G668" s="6" t="s">
        <v>218</v>
      </c>
      <c r="H668" s="6"/>
      <c r="I668" s="6"/>
      <c r="J668" s="6"/>
      <c r="K668" s="6"/>
      <c r="L668" s="6" t="s">
        <v>4433</v>
      </c>
      <c r="M668" s="6"/>
      <c r="N668" s="6" t="s">
        <v>4434</v>
      </c>
      <c r="O668" s="6" t="str">
        <f>HYPERLINK("https://ceds.ed.gov/cedselementdetails.aspx?termid=5209")</f>
        <v>https://ceds.ed.gov/cedselementdetails.aspx?termid=5209</v>
      </c>
      <c r="P668" s="6" t="str">
        <f>HYPERLINK("https://ceds.ed.gov/elementComment.aspx?elementName=Participation Status for Reading and Language Arts &amp;elementID=5209", "Click here to submit comment")</f>
        <v>Click here to submit comment</v>
      </c>
    </row>
    <row r="669" spans="1:16" ht="240">
      <c r="A669" s="6" t="s">
        <v>6788</v>
      </c>
      <c r="B669" s="6" t="s">
        <v>6796</v>
      </c>
      <c r="C669" s="6" t="s">
        <v>6792</v>
      </c>
      <c r="D669" s="6" t="s">
        <v>4771</v>
      </c>
      <c r="E669" s="6" t="s">
        <v>4772</v>
      </c>
      <c r="F669" s="7" t="s">
        <v>6622</v>
      </c>
      <c r="G669" s="6" t="s">
        <v>218</v>
      </c>
      <c r="H669" s="6"/>
      <c r="I669" s="6"/>
      <c r="J669" s="6"/>
      <c r="K669" s="6"/>
      <c r="L669" s="6" t="s">
        <v>4773</v>
      </c>
      <c r="M669" s="6"/>
      <c r="N669" s="6" t="s">
        <v>4774</v>
      </c>
      <c r="O669" s="6" t="str">
        <f>HYPERLINK("https://ceds.ed.gov/cedselementdetails.aspx?termid=5221")</f>
        <v>https://ceds.ed.gov/cedselementdetails.aspx?termid=5221</v>
      </c>
      <c r="P669" s="6" t="str">
        <f>HYPERLINK("https://ceds.ed.gov/elementComment.aspx?elementName=Proficiency Target Status for Math &amp;elementID=5221", "Click here to submit comment")</f>
        <v>Click here to submit comment</v>
      </c>
    </row>
    <row r="670" spans="1:16" ht="240">
      <c r="A670" s="6" t="s">
        <v>6788</v>
      </c>
      <c r="B670" s="6" t="s">
        <v>6796</v>
      </c>
      <c r="C670" s="6" t="s">
        <v>6792</v>
      </c>
      <c r="D670" s="6" t="s">
        <v>4775</v>
      </c>
      <c r="E670" s="6" t="s">
        <v>4776</v>
      </c>
      <c r="F670" s="7" t="s">
        <v>6622</v>
      </c>
      <c r="G670" s="6" t="s">
        <v>218</v>
      </c>
      <c r="H670" s="6"/>
      <c r="I670" s="6"/>
      <c r="J670" s="6"/>
      <c r="K670" s="6"/>
      <c r="L670" s="6" t="s">
        <v>4777</v>
      </c>
      <c r="M670" s="6"/>
      <c r="N670" s="6" t="s">
        <v>4778</v>
      </c>
      <c r="O670" s="6" t="str">
        <f>HYPERLINK("https://ceds.ed.gov/cedselementdetails.aspx?termid=5544")</f>
        <v>https://ceds.ed.gov/cedselementdetails.aspx?termid=5544</v>
      </c>
      <c r="P670" s="6" t="str">
        <f>HYPERLINK("https://ceds.ed.gov/elementComment.aspx?elementName=Proficiency Target Status for Reading and Language Arts &amp;elementID=5544", "Click here to submit comment")</f>
        <v>Click here to submit comment</v>
      </c>
    </row>
    <row r="671" spans="1:16" ht="210">
      <c r="A671" s="6" t="s">
        <v>6788</v>
      </c>
      <c r="B671" s="6" t="s">
        <v>6796</v>
      </c>
      <c r="C671" s="6" t="s">
        <v>6792</v>
      </c>
      <c r="D671" s="6" t="s">
        <v>4891</v>
      </c>
      <c r="E671" s="6" t="s">
        <v>4892</v>
      </c>
      <c r="F671" s="7" t="s">
        <v>6630</v>
      </c>
      <c r="G671" s="6" t="s">
        <v>218</v>
      </c>
      <c r="H671" s="6"/>
      <c r="I671" s="6"/>
      <c r="J671" s="6"/>
      <c r="K671" s="6"/>
      <c r="L671" s="6" t="s">
        <v>4893</v>
      </c>
      <c r="M671" s="6"/>
      <c r="N671" s="6" t="s">
        <v>4894</v>
      </c>
      <c r="O671" s="6" t="str">
        <f>HYPERLINK("https://ceds.ed.gov/cedselementdetails.aspx?termid=5227")</f>
        <v>https://ceds.ed.gov/cedselementdetails.aspx?termid=5227</v>
      </c>
      <c r="P671" s="6" t="str">
        <f>HYPERLINK("https://ceds.ed.gov/elementComment.aspx?elementName=Public School Choice Implementation Status &amp;elementID=5227", "Click here to submit comment")</f>
        <v>Click here to submit comment</v>
      </c>
    </row>
    <row r="672" spans="1:16" ht="195">
      <c r="A672" s="6" t="s">
        <v>6788</v>
      </c>
      <c r="B672" s="6" t="s">
        <v>6796</v>
      </c>
      <c r="C672" s="6" t="s">
        <v>6792</v>
      </c>
      <c r="D672" s="6" t="s">
        <v>5821</v>
      </c>
      <c r="E672" s="6" t="s">
        <v>5822</v>
      </c>
      <c r="F672" s="7" t="s">
        <v>6684</v>
      </c>
      <c r="G672" s="6" t="s">
        <v>207</v>
      </c>
      <c r="H672" s="6"/>
      <c r="I672" s="6"/>
      <c r="J672" s="6"/>
      <c r="K672" s="6"/>
      <c r="L672" s="6" t="s">
        <v>5823</v>
      </c>
      <c r="M672" s="6"/>
      <c r="N672" s="6" t="s">
        <v>5824</v>
      </c>
      <c r="O672" s="6" t="str">
        <f>HYPERLINK("https://ceds.ed.gov/cedselementdetails.aspx?termid=5478")</f>
        <v>https://ceds.ed.gov/cedselementdetails.aspx?termid=5478</v>
      </c>
      <c r="P672" s="6" t="str">
        <f>HYPERLINK("https://ceds.ed.gov/elementComment.aspx?elementName=Title III Professional Development Type &amp;elementID=5478", "Click here to submit comment")</f>
        <v>Click here to submit comment</v>
      </c>
    </row>
    <row r="673" spans="1:16" ht="135">
      <c r="A673" s="6" t="s">
        <v>6788</v>
      </c>
      <c r="B673" s="6" t="s">
        <v>6796</v>
      </c>
      <c r="C673" s="6" t="s">
        <v>6793</v>
      </c>
      <c r="D673" s="6" t="s">
        <v>2657</v>
      </c>
      <c r="E673" s="6" t="s">
        <v>2658</v>
      </c>
      <c r="F673" s="6" t="s">
        <v>13</v>
      </c>
      <c r="G673" s="6" t="s">
        <v>218</v>
      </c>
      <c r="H673" s="6" t="s">
        <v>3</v>
      </c>
      <c r="I673" s="6" t="s">
        <v>1461</v>
      </c>
      <c r="J673" s="6"/>
      <c r="K673" s="6"/>
      <c r="L673" s="6" t="s">
        <v>2659</v>
      </c>
      <c r="M673" s="6"/>
      <c r="N673" s="6" t="s">
        <v>2660</v>
      </c>
      <c r="O673" s="6" t="str">
        <f>HYPERLINK("https://ceds.ed.gov/cedselementdetails.aspx?termid=5540")</f>
        <v>https://ceds.ed.gov/cedselementdetails.aspx?termid=5540</v>
      </c>
      <c r="P673" s="6" t="str">
        <f>HYPERLINK("https://ceds.ed.gov/elementComment.aspx?elementName=Federal Programs Funding Allocation &amp;elementID=5540", "Click here to submit comment")</f>
        <v>Click here to submit comment</v>
      </c>
    </row>
    <row r="674" spans="1:16" ht="45">
      <c r="A674" s="6" t="s">
        <v>6788</v>
      </c>
      <c r="B674" s="6" t="s">
        <v>6796</v>
      </c>
      <c r="C674" s="6" t="s">
        <v>6793</v>
      </c>
      <c r="D674" s="6" t="s">
        <v>2820</v>
      </c>
      <c r="E674" s="6" t="s">
        <v>2821</v>
      </c>
      <c r="F674" s="6" t="s">
        <v>13</v>
      </c>
      <c r="G674" s="6" t="s">
        <v>207</v>
      </c>
      <c r="H674" s="6"/>
      <c r="I674" s="6" t="s">
        <v>1461</v>
      </c>
      <c r="J674" s="6"/>
      <c r="K674" s="6"/>
      <c r="L674" s="6" t="s">
        <v>2823</v>
      </c>
      <c r="M674" s="6"/>
      <c r="N674" s="6" t="s">
        <v>2824</v>
      </c>
      <c r="O674" s="6" t="str">
        <f>HYPERLINK("https://ceds.ed.gov/cedselementdetails.aspx?termid=5442")</f>
        <v>https://ceds.ed.gov/cedselementdetails.aspx?termid=5442</v>
      </c>
      <c r="P674" s="6" t="str">
        <f>HYPERLINK("https://ceds.ed.gov/elementComment.aspx?elementName=Funds Transfer Amount &amp;elementID=5442", "Click here to submit comment")</f>
        <v>Click here to submit comment</v>
      </c>
    </row>
    <row r="675" spans="1:16" ht="45">
      <c r="A675" s="6" t="s">
        <v>6788</v>
      </c>
      <c r="B675" s="6" t="s">
        <v>6796</v>
      </c>
      <c r="C675" s="6" t="s">
        <v>6793</v>
      </c>
      <c r="D675" s="6" t="s">
        <v>3279</v>
      </c>
      <c r="E675" s="6" t="s">
        <v>3280</v>
      </c>
      <c r="F675" s="6" t="s">
        <v>13</v>
      </c>
      <c r="G675" s="6" t="s">
        <v>207</v>
      </c>
      <c r="H675" s="6"/>
      <c r="I675" s="6" t="s">
        <v>1461</v>
      </c>
      <c r="J675" s="6"/>
      <c r="K675" s="6"/>
      <c r="L675" s="6" t="s">
        <v>3281</v>
      </c>
      <c r="M675" s="6"/>
      <c r="N675" s="6" t="s">
        <v>3282</v>
      </c>
      <c r="O675" s="6" t="str">
        <f>HYPERLINK("https://ceds.ed.gov/cedselementdetails.aspx?termid=5454")</f>
        <v>https://ceds.ed.gov/cedselementdetails.aspx?termid=5454</v>
      </c>
      <c r="P675" s="6" t="str">
        <f>HYPERLINK("https://ceds.ed.gov/elementComment.aspx?elementName=Innovative Programs Funds Received &amp;elementID=5454", "Click here to submit comment")</f>
        <v>Click here to submit comment</v>
      </c>
    </row>
    <row r="676" spans="1:16" ht="30">
      <c r="A676" s="6" t="s">
        <v>6788</v>
      </c>
      <c r="B676" s="6" t="s">
        <v>6796</v>
      </c>
      <c r="C676" s="6" t="s">
        <v>6793</v>
      </c>
      <c r="D676" s="6" t="s">
        <v>3271</v>
      </c>
      <c r="E676" s="6" t="s">
        <v>3272</v>
      </c>
      <c r="F676" s="6" t="s">
        <v>13</v>
      </c>
      <c r="G676" s="6" t="s">
        <v>207</v>
      </c>
      <c r="H676" s="6"/>
      <c r="I676" s="6" t="s">
        <v>1461</v>
      </c>
      <c r="J676" s="6"/>
      <c r="K676" s="6"/>
      <c r="L676" s="6" t="s">
        <v>3273</v>
      </c>
      <c r="M676" s="6"/>
      <c r="N676" s="6" t="s">
        <v>3274</v>
      </c>
      <c r="O676" s="6" t="str">
        <f>HYPERLINK("https://ceds.ed.gov/cedselementdetails.aspx?termid=5451")</f>
        <v>https://ceds.ed.gov/cedselementdetails.aspx?termid=5451</v>
      </c>
      <c r="P676" s="6" t="str">
        <f>HYPERLINK("https://ceds.ed.gov/elementComment.aspx?elementName=Innovative Dollars Spent &amp;elementID=5451", "Click here to submit comment")</f>
        <v>Click here to submit comment</v>
      </c>
    </row>
    <row r="677" spans="1:16" ht="45">
      <c r="A677" s="6" t="s">
        <v>6788</v>
      </c>
      <c r="B677" s="6" t="s">
        <v>6796</v>
      </c>
      <c r="C677" s="6" t="s">
        <v>6793</v>
      </c>
      <c r="D677" s="6" t="s">
        <v>3275</v>
      </c>
      <c r="E677" s="6" t="s">
        <v>3276</v>
      </c>
      <c r="F677" s="6" t="s">
        <v>13</v>
      </c>
      <c r="G677" s="6" t="s">
        <v>207</v>
      </c>
      <c r="H677" s="6"/>
      <c r="I677" s="6" t="s">
        <v>1461</v>
      </c>
      <c r="J677" s="6"/>
      <c r="K677" s="6"/>
      <c r="L677" s="6" t="s">
        <v>3277</v>
      </c>
      <c r="M677" s="6"/>
      <c r="N677" s="6" t="s">
        <v>3278</v>
      </c>
      <c r="O677" s="6" t="str">
        <f>HYPERLINK("https://ceds.ed.gov/cedselementdetails.aspx?termid=5452")</f>
        <v>https://ceds.ed.gov/cedselementdetails.aspx?termid=5452</v>
      </c>
      <c r="P677" s="6" t="str">
        <f>HYPERLINK("https://ceds.ed.gov/elementComment.aspx?elementName=Innovative Dollars Spent on Strategic Priorities &amp;elementID=5452", "Click here to submit comment")</f>
        <v>Click here to submit comment</v>
      </c>
    </row>
    <row r="678" spans="1:16" ht="60">
      <c r="A678" s="6" t="s">
        <v>6788</v>
      </c>
      <c r="B678" s="6" t="s">
        <v>6796</v>
      </c>
      <c r="C678" s="6" t="s">
        <v>6793</v>
      </c>
      <c r="D678" s="6" t="s">
        <v>4044</v>
      </c>
      <c r="E678" s="6" t="s">
        <v>4045</v>
      </c>
      <c r="F678" s="6" t="s">
        <v>5963</v>
      </c>
      <c r="G678" s="6" t="s">
        <v>207</v>
      </c>
      <c r="H678" s="6"/>
      <c r="I678" s="6"/>
      <c r="J678" s="6"/>
      <c r="K678" s="6"/>
      <c r="L678" s="6" t="s">
        <v>4046</v>
      </c>
      <c r="M678" s="6" t="s">
        <v>4047</v>
      </c>
      <c r="N678" s="6" t="s">
        <v>4048</v>
      </c>
      <c r="O678" s="6" t="str">
        <f>HYPERLINK("https://ceds.ed.gov/cedselementdetails.aspx?termid=5436")</f>
        <v>https://ceds.ed.gov/cedselementdetails.aspx?termid=5436</v>
      </c>
      <c r="P678" s="6" t="str">
        <f>HYPERLINK("https://ceds.ed.gov/elementComment.aspx?elementName=Local Education Agency Transferability of Funds &amp;elementID=5436", "Click here to submit comment")</f>
        <v>Click here to submit comment</v>
      </c>
    </row>
    <row r="679" spans="1:16" ht="75">
      <c r="A679" s="6" t="s">
        <v>6788</v>
      </c>
      <c r="B679" s="6" t="s">
        <v>6796</v>
      </c>
      <c r="C679" s="6" t="s">
        <v>6793</v>
      </c>
      <c r="D679" s="6" t="s">
        <v>4012</v>
      </c>
      <c r="E679" s="6" t="s">
        <v>4013</v>
      </c>
      <c r="F679" s="7" t="s">
        <v>6576</v>
      </c>
      <c r="G679" s="6" t="s">
        <v>207</v>
      </c>
      <c r="H679" s="6"/>
      <c r="I679" s="6"/>
      <c r="J679" s="6"/>
      <c r="K679" s="6"/>
      <c r="L679" s="6" t="s">
        <v>4014</v>
      </c>
      <c r="M679" s="6" t="s">
        <v>4015</v>
      </c>
      <c r="N679" s="6" t="s">
        <v>4016</v>
      </c>
      <c r="O679" s="6" t="str">
        <f>HYPERLINK("https://ceds.ed.gov/cedselementdetails.aspx?termid=5441")</f>
        <v>https://ceds.ed.gov/cedselementdetails.aspx?termid=5441</v>
      </c>
      <c r="P679" s="6" t="str">
        <f>HYPERLINK("https://ceds.ed.gov/elementComment.aspx?elementName=Local Education Agency Funds Transfer Type &amp;elementID=5441", "Click here to submit comment")</f>
        <v>Click here to submit comment</v>
      </c>
    </row>
    <row r="680" spans="1:16" ht="60">
      <c r="A680" s="6" t="s">
        <v>6788</v>
      </c>
      <c r="B680" s="6" t="s">
        <v>6796</v>
      </c>
      <c r="C680" s="6" t="s">
        <v>6793</v>
      </c>
      <c r="D680" s="6" t="s">
        <v>4887</v>
      </c>
      <c r="E680" s="6" t="s">
        <v>4888</v>
      </c>
      <c r="F680" s="6" t="s">
        <v>13</v>
      </c>
      <c r="G680" s="6" t="s">
        <v>218</v>
      </c>
      <c r="H680" s="6"/>
      <c r="I680" s="6" t="s">
        <v>1461</v>
      </c>
      <c r="J680" s="6"/>
      <c r="K680" s="6"/>
      <c r="L680" s="6" t="s">
        <v>4889</v>
      </c>
      <c r="M680" s="6"/>
      <c r="N680" s="6" t="s">
        <v>4890</v>
      </c>
      <c r="O680" s="6" t="str">
        <f>HYPERLINK("https://ceds.ed.gov/cedselementdetails.aspx?termid=5560")</f>
        <v>https://ceds.ed.gov/cedselementdetails.aspx?termid=5560</v>
      </c>
      <c r="P680" s="6" t="str">
        <f>HYPERLINK("https://ceds.ed.gov/elementComment.aspx?elementName=Public School Choice Funds Spent &amp;elementID=5560", "Click here to submit comment")</f>
        <v>Click here to submit comment</v>
      </c>
    </row>
    <row r="681" spans="1:16" ht="105">
      <c r="A681" s="6" t="s">
        <v>6788</v>
      </c>
      <c r="B681" s="6" t="s">
        <v>6796</v>
      </c>
      <c r="C681" s="6" t="s">
        <v>6793</v>
      </c>
      <c r="D681" s="6" t="s">
        <v>5243</v>
      </c>
      <c r="E681" s="6" t="s">
        <v>5244</v>
      </c>
      <c r="F681" s="6" t="s">
        <v>13</v>
      </c>
      <c r="G681" s="6" t="s">
        <v>207</v>
      </c>
      <c r="H681" s="6"/>
      <c r="I681" s="6" t="s">
        <v>740</v>
      </c>
      <c r="J681" s="6"/>
      <c r="K681" s="6"/>
      <c r="L681" s="6" t="s">
        <v>5245</v>
      </c>
      <c r="M681" s="6"/>
      <c r="N681" s="6" t="s">
        <v>5246</v>
      </c>
      <c r="O681" s="6" t="str">
        <f>HYPERLINK("https://ceds.ed.gov/cedselementdetails.aspx?termid=5470")</f>
        <v>https://ceds.ed.gov/cedselementdetails.aspx?termid=5470</v>
      </c>
      <c r="P681" s="6" t="str">
        <f>HYPERLINK("https://ceds.ed.gov/elementComment.aspx?elementName=School Improvement Reserved Funds Percentage &amp;elementID=5470", "Click here to submit comment")</f>
        <v>Click here to submit comment</v>
      </c>
    </row>
    <row r="682" spans="1:16" ht="45">
      <c r="A682" s="6" t="s">
        <v>6788</v>
      </c>
      <c r="B682" s="6" t="s">
        <v>6796</v>
      </c>
      <c r="C682" s="6" t="s">
        <v>6793</v>
      </c>
      <c r="D682" s="6" t="s">
        <v>5227</v>
      </c>
      <c r="E682" s="6" t="s">
        <v>5228</v>
      </c>
      <c r="F682" s="6" t="s">
        <v>13</v>
      </c>
      <c r="G682" s="6" t="s">
        <v>207</v>
      </c>
      <c r="H682" s="6"/>
      <c r="I682" s="6" t="s">
        <v>1461</v>
      </c>
      <c r="J682" s="6"/>
      <c r="K682" s="6"/>
      <c r="L682" s="6" t="s">
        <v>5229</v>
      </c>
      <c r="M682" s="6"/>
      <c r="N682" s="6" t="s">
        <v>5230</v>
      </c>
      <c r="O682" s="6" t="str">
        <f>HYPERLINK("https://ceds.ed.gov/cedselementdetails.aspx?termid=5471")</f>
        <v>https://ceds.ed.gov/cedselementdetails.aspx?termid=5471</v>
      </c>
      <c r="P682" s="6" t="str">
        <f>HYPERLINK("https://ceds.ed.gov/elementComment.aspx?elementName=School Improvement Allocation &amp;elementID=5471", "Click here to submit comment")</f>
        <v>Click here to submit comment</v>
      </c>
    </row>
    <row r="683" spans="1:16" ht="75">
      <c r="A683" s="6" t="s">
        <v>6788</v>
      </c>
      <c r="B683" s="6" t="s">
        <v>6796</v>
      </c>
      <c r="C683" s="6" t="s">
        <v>6793</v>
      </c>
      <c r="D683" s="6" t="s">
        <v>5639</v>
      </c>
      <c r="E683" s="6" t="s">
        <v>5640</v>
      </c>
      <c r="F683" s="6" t="s">
        <v>13</v>
      </c>
      <c r="G683" s="6" t="s">
        <v>218</v>
      </c>
      <c r="H683" s="6"/>
      <c r="I683" s="6" t="s">
        <v>1461</v>
      </c>
      <c r="J683" s="6"/>
      <c r="K683" s="6"/>
      <c r="L683" s="6" t="s">
        <v>5641</v>
      </c>
      <c r="M683" s="6" t="s">
        <v>5642</v>
      </c>
      <c r="N683" s="6" t="s">
        <v>5643</v>
      </c>
      <c r="O683" s="6" t="str">
        <f>HYPERLINK("https://ceds.ed.gov/cedselementdetails.aspx?termid=5559")</f>
        <v>https://ceds.ed.gov/cedselementdetails.aspx?termid=5559</v>
      </c>
      <c r="P683" s="6" t="str">
        <f>HYPERLINK("https://ceds.ed.gov/elementComment.aspx?elementName=Supplemental Educational Services Funds Spent &amp;elementID=5559", "Click here to submit comment")</f>
        <v>Click here to submit comment</v>
      </c>
    </row>
    <row r="684" spans="1:16" ht="60">
      <c r="A684" s="6" t="s">
        <v>6788</v>
      </c>
      <c r="B684" s="6" t="s">
        <v>6796</v>
      </c>
      <c r="C684" s="6" t="s">
        <v>6793</v>
      </c>
      <c r="D684" s="6" t="s">
        <v>5644</v>
      </c>
      <c r="E684" s="6" t="s">
        <v>5645</v>
      </c>
      <c r="F684" s="6" t="s">
        <v>13</v>
      </c>
      <c r="G684" s="6" t="s">
        <v>218</v>
      </c>
      <c r="H684" s="6"/>
      <c r="I684" s="6" t="s">
        <v>1461</v>
      </c>
      <c r="J684" s="6"/>
      <c r="K684" s="6"/>
      <c r="L684" s="6" t="s">
        <v>5646</v>
      </c>
      <c r="M684" s="6" t="s">
        <v>5647</v>
      </c>
      <c r="N684" s="6" t="s">
        <v>5648</v>
      </c>
      <c r="O684" s="6" t="str">
        <f>HYPERLINK("https://ceds.ed.gov/cedselementdetails.aspx?termid=5567")</f>
        <v>https://ceds.ed.gov/cedselementdetails.aspx?termid=5567</v>
      </c>
      <c r="P684" s="6" t="str">
        <f>HYPERLINK("https://ceds.ed.gov/elementComment.aspx?elementName=Supplemental Educational Services Per Pupil Expenditure &amp;elementID=5567", "Click here to submit comment")</f>
        <v>Click here to submit comment</v>
      </c>
    </row>
    <row r="685" spans="1:16" ht="75">
      <c r="A685" s="6" t="s">
        <v>6788</v>
      </c>
      <c r="B685" s="6" t="s">
        <v>6796</v>
      </c>
      <c r="C685" s="6" t="s">
        <v>6793</v>
      </c>
      <c r="D685" s="6" t="s">
        <v>5634</v>
      </c>
      <c r="E685" s="6" t="s">
        <v>5635</v>
      </c>
      <c r="F685" s="6" t="s">
        <v>13</v>
      </c>
      <c r="G685" s="6" t="s">
        <v>218</v>
      </c>
      <c r="H685" s="6"/>
      <c r="I685" s="6" t="s">
        <v>1461</v>
      </c>
      <c r="J685" s="6"/>
      <c r="K685" s="6"/>
      <c r="L685" s="6" t="s">
        <v>5636</v>
      </c>
      <c r="M685" s="6" t="s">
        <v>5637</v>
      </c>
      <c r="N685" s="6" t="s">
        <v>5638</v>
      </c>
      <c r="O685" s="6" t="str">
        <f>HYPERLINK("https://ceds.ed.gov/cedselementdetails.aspx?termid=5566")</f>
        <v>https://ceds.ed.gov/cedselementdetails.aspx?termid=5566</v>
      </c>
      <c r="P685" s="6" t="str">
        <f>HYPERLINK("https://ceds.ed.gov/elementComment.aspx?elementName=Supplemental Education Services Public School Choice Twenty Percent Obligation &amp;elementID=5566", "Click here to submit comment")</f>
        <v>Click here to submit comment</v>
      </c>
    </row>
    <row r="686" spans="1:16" ht="285">
      <c r="A686" s="6" t="s">
        <v>6788</v>
      </c>
      <c r="B686" s="6" t="s">
        <v>6796</v>
      </c>
      <c r="C686" s="6" t="s">
        <v>6793</v>
      </c>
      <c r="D686" s="6" t="s">
        <v>5854</v>
      </c>
      <c r="E686" s="6" t="s">
        <v>5855</v>
      </c>
      <c r="F686" s="7" t="s">
        <v>6688</v>
      </c>
      <c r="G686" s="6" t="s">
        <v>207</v>
      </c>
      <c r="H686" s="6"/>
      <c r="I686" s="6"/>
      <c r="J686" s="6"/>
      <c r="K686" s="6"/>
      <c r="L686" s="6" t="s">
        <v>5856</v>
      </c>
      <c r="M686" s="6" t="s">
        <v>5857</v>
      </c>
      <c r="N686" s="6" t="s">
        <v>5858</v>
      </c>
      <c r="O686" s="6" t="str">
        <f>HYPERLINK("https://ceds.ed.gov/cedselementdetails.aspx?termid=5477")</f>
        <v>https://ceds.ed.gov/cedselementdetails.aspx?termid=5477</v>
      </c>
      <c r="P686" s="6" t="str">
        <f>HYPERLINK("https://ceds.ed.gov/elementComment.aspx?elementName=Type of Use of the Rural Low-Income Schools Program &amp;elementID=5477", "Click here to submit comment")</f>
        <v>Click here to submit comment</v>
      </c>
    </row>
    <row r="687" spans="1:16" ht="75">
      <c r="A687" s="6" t="s">
        <v>6788</v>
      </c>
      <c r="B687" s="6" t="s">
        <v>6796</v>
      </c>
      <c r="C687" s="6" t="s">
        <v>6793</v>
      </c>
      <c r="D687" s="6" t="s">
        <v>2653</v>
      </c>
      <c r="E687" s="6" t="s">
        <v>2654</v>
      </c>
      <c r="F687" s="6" t="s">
        <v>13</v>
      </c>
      <c r="G687" s="6" t="s">
        <v>218</v>
      </c>
      <c r="H687" s="6" t="s">
        <v>3</v>
      </c>
      <c r="I687" s="6"/>
      <c r="J687" s="6"/>
      <c r="K687" s="6"/>
      <c r="L687" s="6" t="s">
        <v>2655</v>
      </c>
      <c r="M687" s="6"/>
      <c r="N687" s="6" t="s">
        <v>2656</v>
      </c>
      <c r="O687" s="6" t="str">
        <f>HYPERLINK("https://ceds.ed.gov/cedselementdetails.aspx?termid=5538")</f>
        <v>https://ceds.ed.gov/cedselementdetails.aspx?termid=5538</v>
      </c>
      <c r="P687" s="6" t="str">
        <f>HYPERLINK("https://ceds.ed.gov/elementComment.aspx?elementName=Federal Program Code &amp;elementID=5538", "Click here to submit comment")</f>
        <v>Click here to submit comment</v>
      </c>
    </row>
    <row r="688" spans="1:16" ht="225">
      <c r="A688" s="6" t="s">
        <v>6788</v>
      </c>
      <c r="B688" s="6" t="s">
        <v>6796</v>
      </c>
      <c r="C688" s="6" t="s">
        <v>6797</v>
      </c>
      <c r="D688" s="6" t="s">
        <v>1469</v>
      </c>
      <c r="E688" s="6" t="s">
        <v>1470</v>
      </c>
      <c r="F688" s="7" t="s">
        <v>6409</v>
      </c>
      <c r="G688" s="6" t="s">
        <v>207</v>
      </c>
      <c r="H688" s="6"/>
      <c r="I688" s="6"/>
      <c r="J688" s="6"/>
      <c r="K688" s="6"/>
      <c r="L688" s="6" t="s">
        <v>1472</v>
      </c>
      <c r="M688" s="6"/>
      <c r="N688" s="6" t="s">
        <v>1473</v>
      </c>
      <c r="O688" s="6" t="str">
        <f>HYPERLINK("https://ceds.ed.gov/cedselementdetails.aspx?termid=5439")</f>
        <v>https://ceds.ed.gov/cedselementdetails.aspx?termid=5439</v>
      </c>
      <c r="P688" s="6" t="str">
        <f>HYPERLINK("https://ceds.ed.gov/elementComment.aspx?elementName=Barrier to Educating Homeless &amp;elementID=5439", "Click here to submit comment")</f>
        <v>Click here to submit comment</v>
      </c>
    </row>
    <row r="689" spans="1:16" ht="75">
      <c r="A689" s="6" t="s">
        <v>6788</v>
      </c>
      <c r="B689" s="6" t="s">
        <v>6796</v>
      </c>
      <c r="C689" s="6" t="s">
        <v>6797</v>
      </c>
      <c r="D689" s="6" t="s">
        <v>2165</v>
      </c>
      <c r="E689" s="6" t="s">
        <v>2166</v>
      </c>
      <c r="F689" s="6" t="s">
        <v>5963</v>
      </c>
      <c r="G689" s="6" t="s">
        <v>2</v>
      </c>
      <c r="H689" s="6"/>
      <c r="I689" s="6"/>
      <c r="J689" s="6"/>
      <c r="K689" s="6"/>
      <c r="L689" s="6" t="s">
        <v>2167</v>
      </c>
      <c r="M689" s="6"/>
      <c r="N689" s="6" t="s">
        <v>2168</v>
      </c>
      <c r="O689" s="6" t="str">
        <f>HYPERLINK("https://ceds.ed.gov/cedselementdetails.aspx?termid=5080")</f>
        <v>https://ceds.ed.gov/cedselementdetails.aspx?termid=5080</v>
      </c>
      <c r="P689" s="6" t="str">
        <f>HYPERLINK("https://ceds.ed.gov/elementComment.aspx?elementName=Desegregation Order or Plan &amp;elementID=5080", "Click here to submit comment")</f>
        <v>Click here to submit comment</v>
      </c>
    </row>
    <row r="690" spans="1:16" ht="60">
      <c r="A690" s="6" t="s">
        <v>6788</v>
      </c>
      <c r="B690" s="6" t="s">
        <v>6796</v>
      </c>
      <c r="C690" s="6" t="s">
        <v>6797</v>
      </c>
      <c r="D690" s="6" t="s">
        <v>2920</v>
      </c>
      <c r="E690" s="6" t="s">
        <v>2921</v>
      </c>
      <c r="F690" s="6" t="s">
        <v>5963</v>
      </c>
      <c r="G690" s="6" t="s">
        <v>2</v>
      </c>
      <c r="H690" s="6"/>
      <c r="I690" s="6"/>
      <c r="J690" s="6"/>
      <c r="K690" s="6"/>
      <c r="L690" s="6" t="s">
        <v>2922</v>
      </c>
      <c r="M690" s="6"/>
      <c r="N690" s="6" t="s">
        <v>2923</v>
      </c>
      <c r="O690" s="6" t="str">
        <f>HYPERLINK("https://ceds.ed.gov/cedselementdetails.aspx?termid=5135")</f>
        <v>https://ceds.ed.gov/cedselementdetails.aspx?termid=5135</v>
      </c>
      <c r="P690" s="6" t="str">
        <f>HYPERLINK("https://ceds.ed.gov/elementComment.aspx?elementName=Harassment or Bullying Policy Status &amp;elementID=5135", "Click here to submit comment")</f>
        <v>Click here to submit comment</v>
      </c>
    </row>
    <row r="691" spans="1:16" ht="135">
      <c r="A691" s="6" t="s">
        <v>6788</v>
      </c>
      <c r="B691" s="6" t="s">
        <v>6796</v>
      </c>
      <c r="C691" s="6" t="s">
        <v>6797</v>
      </c>
      <c r="D691" s="6" t="s">
        <v>3343</v>
      </c>
      <c r="E691" s="6" t="s">
        <v>3344</v>
      </c>
      <c r="F691" s="7" t="s">
        <v>6557</v>
      </c>
      <c r="G691" s="6" t="s">
        <v>218</v>
      </c>
      <c r="H691" s="6"/>
      <c r="I691" s="6"/>
      <c r="J691" s="6"/>
      <c r="K691" s="6"/>
      <c r="L691" s="6" t="s">
        <v>3345</v>
      </c>
      <c r="M691" s="6"/>
      <c r="N691" s="6" t="s">
        <v>3346</v>
      </c>
      <c r="O691" s="6" t="str">
        <f>HYPERLINK("https://ceds.ed.gov/cedselementdetails.aspx?termid=5170")</f>
        <v>https://ceds.ed.gov/cedselementdetails.aspx?termid=5170</v>
      </c>
      <c r="P691" s="6" t="str">
        <f>HYPERLINK("https://ceds.ed.gov/elementComment.aspx?elementName=Integrated Technology Status &amp;elementID=5170", "Click here to submit comment")</f>
        <v>Click here to submit comment</v>
      </c>
    </row>
    <row r="692" spans="1:16" ht="105">
      <c r="A692" s="6" t="s">
        <v>6788</v>
      </c>
      <c r="B692" s="6" t="s">
        <v>6796</v>
      </c>
      <c r="C692" s="6" t="s">
        <v>6797</v>
      </c>
      <c r="D692" s="6" t="s">
        <v>5126</v>
      </c>
      <c r="E692" s="6" t="s">
        <v>5127</v>
      </c>
      <c r="F692" s="7" t="s">
        <v>6371</v>
      </c>
      <c r="G692" s="6" t="s">
        <v>218</v>
      </c>
      <c r="H692" s="6"/>
      <c r="I692" s="6"/>
      <c r="J692" s="6"/>
      <c r="K692" s="6"/>
      <c r="L692" s="6" t="s">
        <v>5128</v>
      </c>
      <c r="M692" s="6" t="s">
        <v>5129</v>
      </c>
      <c r="N692" s="6" t="s">
        <v>5130</v>
      </c>
      <c r="O692" s="6" t="str">
        <f>HYPERLINK("https://ceds.ed.gov/cedselementdetails.aspx?termid=5552")</f>
        <v>https://ceds.ed.gov/cedselementdetails.aspx?termid=5552</v>
      </c>
      <c r="P692" s="6" t="str">
        <f>HYPERLINK("https://ceds.ed.gov/elementComment.aspx?elementName=Rural Education Achievement Program Alternative Funding Status &amp;elementID=5552", "Click here to submit comment")</f>
        <v>Click here to submit comment</v>
      </c>
    </row>
    <row r="693" spans="1:16" ht="120">
      <c r="A693" s="6" t="s">
        <v>6788</v>
      </c>
      <c r="B693" s="6" t="s">
        <v>6796</v>
      </c>
      <c r="C693" s="6" t="s">
        <v>6797</v>
      </c>
      <c r="D693" s="6" t="s">
        <v>5559</v>
      </c>
      <c r="E693" s="6" t="s">
        <v>5560</v>
      </c>
      <c r="F693" s="6" t="s">
        <v>13</v>
      </c>
      <c r="G693" s="6" t="s">
        <v>207</v>
      </c>
      <c r="H693" s="6"/>
      <c r="I693" s="6" t="s">
        <v>740</v>
      </c>
      <c r="J693" s="6"/>
      <c r="K693" s="6"/>
      <c r="L693" s="6" t="s">
        <v>5561</v>
      </c>
      <c r="M693" s="6"/>
      <c r="N693" s="6" t="s">
        <v>5562</v>
      </c>
      <c r="O693" s="6" t="str">
        <f>HYPERLINK("https://ceds.ed.gov/cedselementdetails.aspx?termid=5444")</f>
        <v>https://ceds.ed.gov/cedselementdetails.aspx?termid=5444</v>
      </c>
      <c r="P693" s="6" t="str">
        <f>HYPERLINK("https://ceds.ed.gov/elementComment.aspx?elementName=State Assessment Administration Funding &amp;elementID=5444", "Click here to submit comment")</f>
        <v>Click here to submit comment</v>
      </c>
    </row>
    <row r="694" spans="1:16" ht="60">
      <c r="A694" s="6" t="s">
        <v>6788</v>
      </c>
      <c r="B694" s="6" t="s">
        <v>6796</v>
      </c>
      <c r="C694" s="6" t="s">
        <v>6797</v>
      </c>
      <c r="D694" s="6" t="s">
        <v>5563</v>
      </c>
      <c r="E694" s="6" t="s">
        <v>5564</v>
      </c>
      <c r="F694" s="6" t="s">
        <v>13</v>
      </c>
      <c r="G694" s="6" t="s">
        <v>6327</v>
      </c>
      <c r="H694" s="6"/>
      <c r="I694" s="6" t="s">
        <v>740</v>
      </c>
      <c r="J694" s="6"/>
      <c r="K694" s="6"/>
      <c r="L694" s="6" t="s">
        <v>5565</v>
      </c>
      <c r="M694" s="6"/>
      <c r="N694" s="6" t="s">
        <v>5566</v>
      </c>
      <c r="O694" s="6" t="str">
        <f>HYPERLINK("https://ceds.ed.gov/cedselementdetails.aspx?termid=5443")</f>
        <v>https://ceds.ed.gov/cedselementdetails.aspx?termid=5443</v>
      </c>
      <c r="P694" s="6" t="str">
        <f>HYPERLINK("https://ceds.ed.gov/elementComment.aspx?elementName=State Assessment Standards Funding &amp;elementID=5443", "Click here to submit comment")</f>
        <v>Click here to submit comment</v>
      </c>
    </row>
    <row r="695" spans="1:16" ht="45">
      <c r="A695" s="6" t="s">
        <v>6788</v>
      </c>
      <c r="B695" s="6" t="s">
        <v>6796</v>
      </c>
      <c r="C695" s="6" t="s">
        <v>6797</v>
      </c>
      <c r="D695" s="6" t="s">
        <v>5740</v>
      </c>
      <c r="E695" s="6" t="s">
        <v>5741</v>
      </c>
      <c r="F695" s="6" t="s">
        <v>5963</v>
      </c>
      <c r="G695" s="6" t="s">
        <v>207</v>
      </c>
      <c r="H695" s="6" t="s">
        <v>66</v>
      </c>
      <c r="I695" s="6"/>
      <c r="J695" s="6" t="s">
        <v>2177</v>
      </c>
      <c r="K695" s="6"/>
      <c r="L695" s="6" t="s">
        <v>5742</v>
      </c>
      <c r="M695" s="6"/>
      <c r="N695" s="6" t="s">
        <v>5743</v>
      </c>
      <c r="O695" s="6" t="str">
        <f>HYPERLINK("https://ceds.ed.gov/cedselementdetails.aspx?termid=5473")</f>
        <v>https://ceds.ed.gov/cedselementdetails.aspx?termid=5473</v>
      </c>
      <c r="P695" s="6" t="str">
        <f>HYPERLINK("https://ceds.ed.gov/elementComment.aspx?elementName=Terminated Title III Programs Due to Failure &amp;elementID=5473", "Click here to submit comment")</f>
        <v>Click here to submit comment</v>
      </c>
    </row>
    <row r="696" spans="1:16" ht="75">
      <c r="A696" s="6" t="s">
        <v>6788</v>
      </c>
      <c r="B696" s="6" t="s">
        <v>6796</v>
      </c>
      <c r="C696" s="6" t="s">
        <v>6797</v>
      </c>
      <c r="D696" s="6" t="s">
        <v>3367</v>
      </c>
      <c r="E696" s="6" t="s">
        <v>3368</v>
      </c>
      <c r="F696" s="6" t="s">
        <v>13</v>
      </c>
      <c r="G696" s="6"/>
      <c r="H696" s="6"/>
      <c r="I696" s="6" t="s">
        <v>308</v>
      </c>
      <c r="J696" s="6"/>
      <c r="K696" s="6"/>
      <c r="L696" s="6" t="s">
        <v>3369</v>
      </c>
      <c r="M696" s="6"/>
      <c r="N696" s="6" t="s">
        <v>3370</v>
      </c>
      <c r="O696" s="6" t="str">
        <f>HYPERLINK("https://ceds.ed.gov/cedselementdetails.aspx?termid=5660")</f>
        <v>https://ceds.ed.gov/cedselementdetails.aspx?termid=5660</v>
      </c>
      <c r="P696" s="6" t="str">
        <f>HYPERLINK("https://ceds.ed.gov/elementComment.aspx?elementName=Interscholastic Sports - Male Only &amp;elementID=5660", "Click here to submit comment")</f>
        <v>Click here to submit comment</v>
      </c>
    </row>
    <row r="697" spans="1:16" ht="90">
      <c r="A697" s="6" t="s">
        <v>6788</v>
      </c>
      <c r="B697" s="6" t="s">
        <v>6796</v>
      </c>
      <c r="C697" s="6" t="s">
        <v>6797</v>
      </c>
      <c r="D697" s="6" t="s">
        <v>3363</v>
      </c>
      <c r="E697" s="6" t="s">
        <v>3364</v>
      </c>
      <c r="F697" s="6" t="s">
        <v>13</v>
      </c>
      <c r="G697" s="6"/>
      <c r="H697" s="6"/>
      <c r="I697" s="6" t="s">
        <v>308</v>
      </c>
      <c r="J697" s="6"/>
      <c r="K697" s="6"/>
      <c r="L697" s="6" t="s">
        <v>3365</v>
      </c>
      <c r="M697" s="6"/>
      <c r="N697" s="6" t="s">
        <v>3366</v>
      </c>
      <c r="O697" s="6" t="str">
        <f>HYPERLINK("https://ceds.ed.gov/cedselementdetails.aspx?termid=5661")</f>
        <v>https://ceds.ed.gov/cedselementdetails.aspx?termid=5661</v>
      </c>
      <c r="P697" s="6" t="str">
        <f>HYPERLINK("https://ceds.ed.gov/elementComment.aspx?elementName=Interscholastic Sports - Female Only &amp;elementID=5661", "Click here to submit comment")</f>
        <v>Click here to submit comment</v>
      </c>
    </row>
    <row r="698" spans="1:16" ht="105">
      <c r="A698" s="6" t="s">
        <v>6788</v>
      </c>
      <c r="B698" s="6" t="s">
        <v>6796</v>
      </c>
      <c r="C698" s="6" t="s">
        <v>6797</v>
      </c>
      <c r="D698" s="6" t="s">
        <v>3375</v>
      </c>
      <c r="E698" s="6" t="s">
        <v>3376</v>
      </c>
      <c r="F698" s="6" t="s">
        <v>13</v>
      </c>
      <c r="G698" s="6"/>
      <c r="H698" s="6"/>
      <c r="I698" s="6" t="s">
        <v>308</v>
      </c>
      <c r="J698" s="6"/>
      <c r="K698" s="6"/>
      <c r="L698" s="6" t="s">
        <v>3377</v>
      </c>
      <c r="M698" s="6"/>
      <c r="N698" s="6" t="s">
        <v>3378</v>
      </c>
      <c r="O698" s="6" t="str">
        <f>HYPERLINK("https://ceds.ed.gov/cedselementdetails.aspx?termid=5662")</f>
        <v>https://ceds.ed.gov/cedselementdetails.aspx?termid=5662</v>
      </c>
      <c r="P698" s="6" t="str">
        <f>HYPERLINK("https://ceds.ed.gov/elementComment.aspx?elementName=Interscholastic Teams - Male Only &amp;elementID=5662", "Click here to submit comment")</f>
        <v>Click here to submit comment</v>
      </c>
    </row>
    <row r="699" spans="1:16" ht="105">
      <c r="A699" s="6" t="s">
        <v>6788</v>
      </c>
      <c r="B699" s="6" t="s">
        <v>6796</v>
      </c>
      <c r="C699" s="6" t="s">
        <v>6797</v>
      </c>
      <c r="D699" s="6" t="s">
        <v>3371</v>
      </c>
      <c r="E699" s="6" t="s">
        <v>3372</v>
      </c>
      <c r="F699" s="6" t="s">
        <v>13</v>
      </c>
      <c r="G699" s="6"/>
      <c r="H699" s="6"/>
      <c r="I699" s="6" t="s">
        <v>308</v>
      </c>
      <c r="J699" s="6"/>
      <c r="K699" s="6"/>
      <c r="L699" s="6" t="s">
        <v>3373</v>
      </c>
      <c r="M699" s="6"/>
      <c r="N699" s="6" t="s">
        <v>3374</v>
      </c>
      <c r="O699" s="6" t="str">
        <f>HYPERLINK("https://ceds.ed.gov/cedselementdetails.aspx?termid=5663")</f>
        <v>https://ceds.ed.gov/cedselementdetails.aspx?termid=5663</v>
      </c>
      <c r="P699" s="6" t="str">
        <f>HYPERLINK("https://ceds.ed.gov/elementComment.aspx?elementName=Interscholastic Teams - Female Only &amp;elementID=5663", "Click here to submit comment")</f>
        <v>Click here to submit comment</v>
      </c>
    </row>
    <row r="700" spans="1:16" ht="60">
      <c r="A700" s="6" t="s">
        <v>6788</v>
      </c>
      <c r="B700" s="6" t="s">
        <v>6796</v>
      </c>
      <c r="C700" s="6" t="s">
        <v>6797</v>
      </c>
      <c r="D700" s="6" t="s">
        <v>3359</v>
      </c>
      <c r="E700" s="6" t="s">
        <v>3360</v>
      </c>
      <c r="F700" s="6" t="s">
        <v>13</v>
      </c>
      <c r="G700" s="6"/>
      <c r="H700" s="6"/>
      <c r="I700" s="6" t="s">
        <v>308</v>
      </c>
      <c r="J700" s="6"/>
      <c r="K700" s="6"/>
      <c r="L700" s="6" t="s">
        <v>3361</v>
      </c>
      <c r="M700" s="6"/>
      <c r="N700" s="6" t="s">
        <v>3362</v>
      </c>
      <c r="O700" s="6" t="str">
        <f>HYPERLINK("https://ceds.ed.gov/cedselementdetails.aspx?termid=5664")</f>
        <v>https://ceds.ed.gov/cedselementdetails.aspx?termid=5664</v>
      </c>
      <c r="P700" s="6" t="str">
        <f>HYPERLINK("https://ceds.ed.gov/elementComment.aspx?elementName=Interscholastic Sport Participants - Male Only &amp;elementID=5664", "Click here to submit comment")</f>
        <v>Click here to submit comment</v>
      </c>
    </row>
    <row r="701" spans="1:16" ht="60">
      <c r="A701" s="6" t="s">
        <v>6788</v>
      </c>
      <c r="B701" s="6" t="s">
        <v>6796</v>
      </c>
      <c r="C701" s="6" t="s">
        <v>6797</v>
      </c>
      <c r="D701" s="6" t="s">
        <v>3355</v>
      </c>
      <c r="E701" s="6" t="s">
        <v>3356</v>
      </c>
      <c r="F701" s="6" t="s">
        <v>13</v>
      </c>
      <c r="G701" s="6"/>
      <c r="H701" s="6"/>
      <c r="I701" s="6" t="s">
        <v>308</v>
      </c>
      <c r="J701" s="6"/>
      <c r="K701" s="6"/>
      <c r="L701" s="6" t="s">
        <v>3357</v>
      </c>
      <c r="M701" s="6"/>
      <c r="N701" s="6" t="s">
        <v>3358</v>
      </c>
      <c r="O701" s="6" t="str">
        <f>HYPERLINK("https://ceds.ed.gov/cedselementdetails.aspx?termid=5665")</f>
        <v>https://ceds.ed.gov/cedselementdetails.aspx?termid=5665</v>
      </c>
      <c r="P701" s="6" t="str">
        <f>HYPERLINK("https://ceds.ed.gov/elementComment.aspx?elementName=Interscholastic Sport Participants - Female Only &amp;elementID=5665", "Click here to submit comment")</f>
        <v>Click here to submit comment</v>
      </c>
    </row>
    <row r="702" spans="1:16" ht="60">
      <c r="A702" s="6" t="s">
        <v>6788</v>
      </c>
      <c r="B702" s="6" t="s">
        <v>6796</v>
      </c>
      <c r="C702" s="6" t="s">
        <v>6798</v>
      </c>
      <c r="D702" s="6" t="s">
        <v>5135</v>
      </c>
      <c r="E702" s="6" t="s">
        <v>5136</v>
      </c>
      <c r="F702" s="6" t="s">
        <v>13</v>
      </c>
      <c r="G702" s="6" t="s">
        <v>207</v>
      </c>
      <c r="H702" s="6"/>
      <c r="I702" s="6" t="s">
        <v>106</v>
      </c>
      <c r="J702" s="6"/>
      <c r="K702" s="6"/>
      <c r="L702" s="6" t="s">
        <v>5138</v>
      </c>
      <c r="M702" s="6"/>
      <c r="N702" s="6" t="s">
        <v>5139</v>
      </c>
      <c r="O702" s="6" t="str">
        <f>HYPERLINK("https://ceds.ed.gov/cedselementdetails.aspx?termid=5468")</f>
        <v>https://ceds.ed.gov/cedselementdetails.aspx?termid=5468</v>
      </c>
      <c r="P702" s="6" t="str">
        <f>HYPERLINK("https://ceds.ed.gov/elementComment.aspx?elementName=Safe and Drug Free Baseline &amp;elementID=5468", "Click here to submit comment")</f>
        <v>Click here to submit comment</v>
      </c>
    </row>
    <row r="703" spans="1:16" ht="30">
      <c r="A703" s="6" t="s">
        <v>6788</v>
      </c>
      <c r="B703" s="6" t="s">
        <v>6796</v>
      </c>
      <c r="C703" s="6" t="s">
        <v>6798</v>
      </c>
      <c r="D703" s="6" t="s">
        <v>5140</v>
      </c>
      <c r="E703" s="6" t="s">
        <v>5141</v>
      </c>
      <c r="F703" s="6" t="s">
        <v>13</v>
      </c>
      <c r="G703" s="6" t="s">
        <v>207</v>
      </c>
      <c r="H703" s="6"/>
      <c r="I703" s="6" t="s">
        <v>1127</v>
      </c>
      <c r="J703" s="6"/>
      <c r="K703" s="6"/>
      <c r="L703" s="6" t="s">
        <v>5142</v>
      </c>
      <c r="M703" s="6"/>
      <c r="N703" s="6" t="s">
        <v>5143</v>
      </c>
      <c r="O703" s="6" t="str">
        <f>HYPERLINK("https://ceds.ed.gov/cedselementdetails.aspx?termid=5469")</f>
        <v>https://ceds.ed.gov/cedselementdetails.aspx?termid=5469</v>
      </c>
      <c r="P703" s="6" t="str">
        <f>HYPERLINK("https://ceds.ed.gov/elementComment.aspx?elementName=Safe and Drug Free Baseline Year &amp;elementID=5469", "Click here to submit comment")</f>
        <v>Click here to submit comment</v>
      </c>
    </row>
    <row r="704" spans="1:16" ht="60">
      <c r="A704" s="6" t="s">
        <v>6788</v>
      </c>
      <c r="B704" s="6" t="s">
        <v>6796</v>
      </c>
      <c r="C704" s="6" t="s">
        <v>6798</v>
      </c>
      <c r="D704" s="6" t="s">
        <v>5144</v>
      </c>
      <c r="E704" s="6" t="s">
        <v>5145</v>
      </c>
      <c r="F704" s="6" t="s">
        <v>13</v>
      </c>
      <c r="G704" s="6" t="s">
        <v>207</v>
      </c>
      <c r="H704" s="6"/>
      <c r="I704" s="6" t="s">
        <v>106</v>
      </c>
      <c r="J704" s="6"/>
      <c r="K704" s="6"/>
      <c r="L704" s="6" t="s">
        <v>5146</v>
      </c>
      <c r="M704" s="6"/>
      <c r="N704" s="6" t="s">
        <v>5147</v>
      </c>
      <c r="O704" s="6" t="str">
        <f>HYPERLINK("https://ceds.ed.gov/cedselementdetails.aspx?termid=5463")</f>
        <v>https://ceds.ed.gov/cedselementdetails.aspx?termid=5463</v>
      </c>
      <c r="P704" s="6" t="str">
        <f>HYPERLINK("https://ceds.ed.gov/elementComment.aspx?elementName=Safe and Drug Free Collection Frequency &amp;elementID=5463", "Click here to submit comment")</f>
        <v>Click here to submit comment</v>
      </c>
    </row>
    <row r="705" spans="1:16" ht="60">
      <c r="A705" s="6" t="s">
        <v>6788</v>
      </c>
      <c r="B705" s="6" t="s">
        <v>6796</v>
      </c>
      <c r="C705" s="6" t="s">
        <v>6798</v>
      </c>
      <c r="D705" s="6" t="s">
        <v>5148</v>
      </c>
      <c r="E705" s="6" t="s">
        <v>5149</v>
      </c>
      <c r="F705" s="6" t="s">
        <v>13</v>
      </c>
      <c r="G705" s="6" t="s">
        <v>207</v>
      </c>
      <c r="H705" s="6"/>
      <c r="I705" s="6" t="s">
        <v>106</v>
      </c>
      <c r="J705" s="6"/>
      <c r="K705" s="6"/>
      <c r="L705" s="6" t="s">
        <v>5150</v>
      </c>
      <c r="M705" s="6"/>
      <c r="N705" s="6" t="s">
        <v>5151</v>
      </c>
      <c r="O705" s="6" t="str">
        <f>HYPERLINK("https://ceds.ed.gov/cedselementdetails.aspx?termid=5461")</f>
        <v>https://ceds.ed.gov/cedselementdetails.aspx?termid=5461</v>
      </c>
      <c r="P705" s="6" t="str">
        <f>HYPERLINK("https://ceds.ed.gov/elementComment.aspx?elementName=Safe and Drug Free Indicator Name &amp;elementID=5461", "Click here to submit comment")</f>
        <v>Click here to submit comment</v>
      </c>
    </row>
    <row r="706" spans="1:16" ht="75">
      <c r="A706" s="6" t="s">
        <v>6788</v>
      </c>
      <c r="B706" s="6" t="s">
        <v>6796</v>
      </c>
      <c r="C706" s="6" t="s">
        <v>6798</v>
      </c>
      <c r="D706" s="6" t="s">
        <v>5152</v>
      </c>
      <c r="E706" s="6" t="s">
        <v>5153</v>
      </c>
      <c r="F706" s="6" t="s">
        <v>13</v>
      </c>
      <c r="G706" s="6" t="s">
        <v>207</v>
      </c>
      <c r="H706" s="6"/>
      <c r="I706" s="6" t="s">
        <v>745</v>
      </c>
      <c r="J706" s="6"/>
      <c r="K706" s="6"/>
      <c r="L706" s="6" t="s">
        <v>5154</v>
      </c>
      <c r="M706" s="6"/>
      <c r="N706" s="6" t="s">
        <v>5155</v>
      </c>
      <c r="O706" s="6" t="str">
        <f>HYPERLINK("https://ceds.ed.gov/cedselementdetails.aspx?termid=5462")</f>
        <v>https://ceds.ed.gov/cedselementdetails.aspx?termid=5462</v>
      </c>
      <c r="P706" s="6" t="str">
        <f>HYPERLINK("https://ceds.ed.gov/elementComment.aspx?elementName=Safe and Drug Free Instrument &amp;elementID=5462", "Click here to submit comment")</f>
        <v>Click here to submit comment</v>
      </c>
    </row>
    <row r="707" spans="1:16" ht="60">
      <c r="A707" s="6" t="s">
        <v>6788</v>
      </c>
      <c r="B707" s="6" t="s">
        <v>6796</v>
      </c>
      <c r="C707" s="6" t="s">
        <v>6798</v>
      </c>
      <c r="D707" s="6" t="s">
        <v>5156</v>
      </c>
      <c r="E707" s="6" t="s">
        <v>5157</v>
      </c>
      <c r="F707" s="6" t="s">
        <v>13</v>
      </c>
      <c r="G707" s="6" t="s">
        <v>207</v>
      </c>
      <c r="H707" s="6"/>
      <c r="I707" s="6" t="s">
        <v>1127</v>
      </c>
      <c r="J707" s="6"/>
      <c r="K707" s="6"/>
      <c r="L707" s="6" t="s">
        <v>5158</v>
      </c>
      <c r="M707" s="6"/>
      <c r="N707" s="6" t="s">
        <v>5159</v>
      </c>
      <c r="O707" s="6" t="str">
        <f>HYPERLINK("https://ceds.ed.gov/cedselementdetails.aspx?termid=5466")</f>
        <v>https://ceds.ed.gov/cedselementdetails.aspx?termid=5466</v>
      </c>
      <c r="P707" s="6" t="str">
        <f>HYPERLINK("https://ceds.ed.gov/elementComment.aspx?elementName=Safe and Drug Free Performance &amp;elementID=5466", "Click here to submit comment")</f>
        <v>Click here to submit comment</v>
      </c>
    </row>
    <row r="708" spans="1:16" ht="60">
      <c r="A708" s="6" t="s">
        <v>6788</v>
      </c>
      <c r="B708" s="6" t="s">
        <v>6796</v>
      </c>
      <c r="C708" s="6" t="s">
        <v>6798</v>
      </c>
      <c r="D708" s="6" t="s">
        <v>5160</v>
      </c>
      <c r="E708" s="6" t="s">
        <v>5161</v>
      </c>
      <c r="F708" s="6" t="s">
        <v>13</v>
      </c>
      <c r="G708" s="6" t="s">
        <v>207</v>
      </c>
      <c r="H708" s="6"/>
      <c r="I708" s="6" t="s">
        <v>1127</v>
      </c>
      <c r="J708" s="6"/>
      <c r="K708" s="6"/>
      <c r="L708" s="6" t="s">
        <v>5162</v>
      </c>
      <c r="M708" s="6"/>
      <c r="N708" s="6" t="s">
        <v>5163</v>
      </c>
      <c r="O708" s="6" t="str">
        <f>HYPERLINK("https://ceds.ed.gov/cedselementdetails.aspx?termid=5465")</f>
        <v>https://ceds.ed.gov/cedselementdetails.aspx?termid=5465</v>
      </c>
      <c r="P708" s="6" t="str">
        <f>HYPERLINK("https://ceds.ed.gov/elementComment.aspx?elementName=Safe and Drug Free Target &amp;elementID=5465", "Click here to submit comment")</f>
        <v>Click here to submit comment</v>
      </c>
    </row>
    <row r="709" spans="1:16" ht="60">
      <c r="A709" s="6" t="s">
        <v>6788</v>
      </c>
      <c r="B709" s="6" t="s">
        <v>6796</v>
      </c>
      <c r="C709" s="6" t="s">
        <v>6798</v>
      </c>
      <c r="D709" s="6" t="s">
        <v>5164</v>
      </c>
      <c r="E709" s="6" t="s">
        <v>5165</v>
      </c>
      <c r="F709" s="6" t="s">
        <v>13</v>
      </c>
      <c r="G709" s="6" t="s">
        <v>207</v>
      </c>
      <c r="H709" s="6"/>
      <c r="I709" s="6" t="s">
        <v>1127</v>
      </c>
      <c r="J709" s="6"/>
      <c r="K709" s="6"/>
      <c r="L709" s="6" t="s">
        <v>5166</v>
      </c>
      <c r="M709" s="6"/>
      <c r="N709" s="6" t="s">
        <v>5167</v>
      </c>
      <c r="O709" s="6" t="str">
        <f>HYPERLINK("https://ceds.ed.gov/cedselementdetails.aspx?termid=5464")</f>
        <v>https://ceds.ed.gov/cedselementdetails.aspx?termid=5464</v>
      </c>
      <c r="P709" s="6" t="str">
        <f>HYPERLINK("https://ceds.ed.gov/elementComment.aspx?elementName=Safe and Drug Free Year Most Recent Collection &amp;elementID=5464", "Click here to submit comment")</f>
        <v>Click here to submit comment</v>
      </c>
    </row>
    <row r="710" spans="1:16" ht="135">
      <c r="A710" s="6" t="s">
        <v>6788</v>
      </c>
      <c r="B710" s="6" t="s">
        <v>6796</v>
      </c>
      <c r="C710" s="6" t="s">
        <v>6799</v>
      </c>
      <c r="D710" s="6" t="s">
        <v>4563</v>
      </c>
      <c r="E710" s="6" t="s">
        <v>4564</v>
      </c>
      <c r="F710" s="7" t="s">
        <v>6604</v>
      </c>
      <c r="G710" s="6" t="s">
        <v>2</v>
      </c>
      <c r="H710" s="6"/>
      <c r="I710" s="6"/>
      <c r="J710" s="6"/>
      <c r="K710" s="6"/>
      <c r="L710" s="6" t="s">
        <v>4565</v>
      </c>
      <c r="M710" s="6"/>
      <c r="N710" s="6" t="s">
        <v>4566</v>
      </c>
      <c r="O710" s="6" t="str">
        <f>HYPERLINK("https://ceds.ed.gov/cedselementdetails.aspx?termid=5216")</f>
        <v>https://ceds.ed.gov/cedselementdetails.aspx?termid=5216</v>
      </c>
      <c r="P710" s="6" t="str">
        <f>HYPERLINK("https://ceds.ed.gov/elementComment.aspx?elementName=Prekindergarten Eligibility &amp;elementID=5216", "Click here to submit comment")</f>
        <v>Click here to submit comment</v>
      </c>
    </row>
    <row r="711" spans="1:16" ht="120">
      <c r="A711" s="6" t="s">
        <v>6788</v>
      </c>
      <c r="B711" s="6" t="s">
        <v>6796</v>
      </c>
      <c r="C711" s="6" t="s">
        <v>6799</v>
      </c>
      <c r="D711" s="6" t="s">
        <v>4567</v>
      </c>
      <c r="E711" s="6" t="s">
        <v>4568</v>
      </c>
      <c r="F711" s="7" t="s">
        <v>6605</v>
      </c>
      <c r="G711" s="6" t="s">
        <v>2</v>
      </c>
      <c r="H711" s="6"/>
      <c r="I711" s="6"/>
      <c r="J711" s="6"/>
      <c r="K711" s="6"/>
      <c r="L711" s="6" t="s">
        <v>4569</v>
      </c>
      <c r="M711" s="6"/>
      <c r="N711" s="6" t="s">
        <v>4570</v>
      </c>
      <c r="O711" s="6" t="str">
        <f>HYPERLINK("https://ceds.ed.gov/cedselementdetails.aspx?termid=5217")</f>
        <v>https://ceds.ed.gov/cedselementdetails.aspx?termid=5217</v>
      </c>
      <c r="P711" s="6" t="str">
        <f>HYPERLINK("https://ceds.ed.gov/elementComment.aspx?elementName=Prekindergarten Eligible Ages for Non-IDEA Students &amp;elementID=5217", "Click here to submit comment")</f>
        <v>Click here to submit comment</v>
      </c>
    </row>
    <row r="712" spans="1:16" ht="75">
      <c r="A712" s="6" t="s">
        <v>6788</v>
      </c>
      <c r="B712" s="6" t="s">
        <v>6796</v>
      </c>
      <c r="C712" s="6" t="s">
        <v>6799</v>
      </c>
      <c r="D712" s="6" t="s">
        <v>4559</v>
      </c>
      <c r="E712" s="6" t="s">
        <v>4560</v>
      </c>
      <c r="F712" s="7" t="s">
        <v>6561</v>
      </c>
      <c r="G712" s="6" t="s">
        <v>2</v>
      </c>
      <c r="H712" s="6"/>
      <c r="I712" s="6"/>
      <c r="J712" s="6"/>
      <c r="K712" s="6"/>
      <c r="L712" s="6" t="s">
        <v>4561</v>
      </c>
      <c r="M712" s="6"/>
      <c r="N712" s="6" t="s">
        <v>4562</v>
      </c>
      <c r="O712" s="6" t="str">
        <f>HYPERLINK("https://ceds.ed.gov/cedselementdetails.aspx?termid=5481")</f>
        <v>https://ceds.ed.gov/cedselementdetails.aspx?termid=5481</v>
      </c>
      <c r="P712" s="6" t="str">
        <f>HYPERLINK("https://ceds.ed.gov/elementComment.aspx?elementName=Prekindergarten Daily Length &amp;elementID=5481", "Click here to submit comment")</f>
        <v>Click here to submit comment</v>
      </c>
    </row>
    <row r="713" spans="1:16" ht="75">
      <c r="A713" s="6" t="s">
        <v>6788</v>
      </c>
      <c r="B713" s="6" t="s">
        <v>6796</v>
      </c>
      <c r="C713" s="6" t="s">
        <v>6799</v>
      </c>
      <c r="D713" s="6" t="s">
        <v>3397</v>
      </c>
      <c r="E713" s="6" t="s">
        <v>3398</v>
      </c>
      <c r="F713" s="7" t="s">
        <v>6561</v>
      </c>
      <c r="G713" s="6" t="s">
        <v>2</v>
      </c>
      <c r="H713" s="6"/>
      <c r="I713" s="6"/>
      <c r="J713" s="6"/>
      <c r="K713" s="6"/>
      <c r="L713" s="6" t="s">
        <v>3400</v>
      </c>
      <c r="M713" s="6"/>
      <c r="N713" s="6" t="s">
        <v>3401</v>
      </c>
      <c r="O713" s="6" t="str">
        <f>HYPERLINK("https://ceds.ed.gov/cedselementdetails.aspx?termid=5482")</f>
        <v>https://ceds.ed.gov/cedselementdetails.aspx?termid=5482</v>
      </c>
      <c r="P713" s="6" t="str">
        <f>HYPERLINK("https://ceds.ed.gov/elementComment.aspx?elementName=Kindergarten Daily Length &amp;elementID=5482", "Click here to submit comment")</f>
        <v>Click here to submit comment</v>
      </c>
    </row>
    <row r="714" spans="1:16" ht="409.5">
      <c r="A714" s="6" t="s">
        <v>6788</v>
      </c>
      <c r="B714" s="6" t="s">
        <v>6796</v>
      </c>
      <c r="C714" s="6" t="s">
        <v>6799</v>
      </c>
      <c r="D714" s="6" t="s">
        <v>4788</v>
      </c>
      <c r="E714" s="6" t="s">
        <v>4789</v>
      </c>
      <c r="F714" s="7" t="s">
        <v>6623</v>
      </c>
      <c r="G714" s="6"/>
      <c r="H714" s="6" t="s">
        <v>66</v>
      </c>
      <c r="I714" s="6"/>
      <c r="J714" s="6" t="s">
        <v>94</v>
      </c>
      <c r="K714" s="6"/>
      <c r="L714" s="6" t="s">
        <v>4790</v>
      </c>
      <c r="M714" s="6"/>
      <c r="N714" s="6" t="s">
        <v>4791</v>
      </c>
      <c r="O714" s="6" t="str">
        <f>HYPERLINK("https://ceds.ed.gov/cedselementdetails.aspx?termid=6210")</f>
        <v>https://ceds.ed.gov/cedselementdetails.aspx?termid=6210</v>
      </c>
      <c r="P714" s="6" t="str">
        <f>HYPERLINK("https://ceds.ed.gov/elementComment.aspx?elementName=Program Gifted Eligibility Criteria &amp;elementID=6210", "Click here to submit comment")</f>
        <v>Click here to submit comment</v>
      </c>
    </row>
    <row r="715" spans="1:16" ht="75">
      <c r="A715" s="6" t="s">
        <v>6788</v>
      </c>
      <c r="B715" s="6" t="s">
        <v>6796</v>
      </c>
      <c r="C715" s="6" t="s">
        <v>6799</v>
      </c>
      <c r="D715" s="6" t="s">
        <v>4132</v>
      </c>
      <c r="E715" s="6" t="s">
        <v>4133</v>
      </c>
      <c r="F715" s="7" t="s">
        <v>6586</v>
      </c>
      <c r="G715" s="6" t="s">
        <v>218</v>
      </c>
      <c r="H715" s="6"/>
      <c r="I715" s="6"/>
      <c r="J715" s="6"/>
      <c r="K715" s="6"/>
      <c r="L715" s="6" t="s">
        <v>4134</v>
      </c>
      <c r="M715" s="6" t="s">
        <v>4135</v>
      </c>
      <c r="N715" s="6" t="s">
        <v>4136</v>
      </c>
      <c r="O715" s="6" t="str">
        <f>HYPERLINK("https://ceds.ed.gov/cedselementdetails.aspx?termid=5187")</f>
        <v>https://ceds.ed.gov/cedselementdetails.aspx?termid=5187</v>
      </c>
      <c r="P715" s="6" t="str">
        <f>HYPERLINK("https://ceds.ed.gov/elementComment.aspx?elementName=Migrant Education Program Session Type &amp;elementID=5187", "Click here to submit comment")</f>
        <v>Click here to submit comment</v>
      </c>
    </row>
    <row r="716" spans="1:16" ht="165">
      <c r="A716" s="6" t="s">
        <v>6788</v>
      </c>
      <c r="B716" s="6" t="s">
        <v>6796</v>
      </c>
      <c r="C716" s="6" t="s">
        <v>6799</v>
      </c>
      <c r="D716" s="6" t="s">
        <v>4122</v>
      </c>
      <c r="E716" s="6" t="s">
        <v>4123</v>
      </c>
      <c r="F716" s="7" t="s">
        <v>6584</v>
      </c>
      <c r="G716" s="6" t="s">
        <v>207</v>
      </c>
      <c r="H716" s="6"/>
      <c r="I716" s="6"/>
      <c r="J716" s="6"/>
      <c r="K716" s="6"/>
      <c r="L716" s="6" t="s">
        <v>4124</v>
      </c>
      <c r="M716" s="6" t="s">
        <v>4125</v>
      </c>
      <c r="N716" s="6" t="s">
        <v>4126</v>
      </c>
      <c r="O716" s="6" t="str">
        <f>HYPERLINK("https://ceds.ed.gov/cedselementdetails.aspx?termid=5453")</f>
        <v>https://ceds.ed.gov/cedselementdetails.aspx?termid=5453</v>
      </c>
      <c r="P716" s="6" t="str">
        <f>HYPERLINK("https://ceds.ed.gov/elementComment.aspx?elementName=Migrant Education Program Project Type &amp;elementID=5453", "Click here to submit comment")</f>
        <v>Click here to submit comment</v>
      </c>
    </row>
    <row r="717" spans="1:16" ht="45">
      <c r="A717" s="6" t="s">
        <v>6788</v>
      </c>
      <c r="B717" s="6" t="s">
        <v>6796</v>
      </c>
      <c r="C717" s="6" t="s">
        <v>6799</v>
      </c>
      <c r="D717" s="6" t="s">
        <v>4290</v>
      </c>
      <c r="E717" s="6" t="s">
        <v>4291</v>
      </c>
      <c r="F717" s="6" t="s">
        <v>13</v>
      </c>
      <c r="G717" s="6" t="s">
        <v>207</v>
      </c>
      <c r="H717" s="6"/>
      <c r="I717" s="6" t="s">
        <v>308</v>
      </c>
      <c r="J717" s="6"/>
      <c r="K717" s="6"/>
      <c r="L717" s="6" t="s">
        <v>4292</v>
      </c>
      <c r="M717" s="6"/>
      <c r="N717" s="6" t="s">
        <v>4293</v>
      </c>
      <c r="O717" s="6" t="str">
        <f>HYPERLINK("https://ceds.ed.gov/cedselementdetails.aspx?termid=5460")</f>
        <v>https://ceds.ed.gov/cedselementdetails.aspx?termid=5460</v>
      </c>
      <c r="P717" s="6" t="str">
        <f>HYPERLINK("https://ceds.ed.gov/elementComment.aspx?elementName=Number of Immigrant Program Subgrants &amp;elementID=5460", "Click here to submit comment")</f>
        <v>Click here to submit comment</v>
      </c>
    </row>
    <row r="718" spans="1:16" ht="90">
      <c r="A718" s="6" t="s">
        <v>6788</v>
      </c>
      <c r="B718" s="6" t="s">
        <v>6796</v>
      </c>
      <c r="C718" s="6" t="s">
        <v>6799</v>
      </c>
      <c r="D718" s="6" t="s">
        <v>4801</v>
      </c>
      <c r="E718" s="6" t="s">
        <v>4802</v>
      </c>
      <c r="F718" s="6" t="s">
        <v>5963</v>
      </c>
      <c r="G718" s="6" t="s">
        <v>207</v>
      </c>
      <c r="H718" s="6"/>
      <c r="I718" s="6"/>
      <c r="J718" s="6"/>
      <c r="K718" s="6"/>
      <c r="L718" s="6" t="s">
        <v>4803</v>
      </c>
      <c r="M718" s="6"/>
      <c r="N718" s="6" t="s">
        <v>4804</v>
      </c>
      <c r="O718" s="6" t="str">
        <f>HYPERLINK("https://ceds.ed.gov/cedselementdetails.aspx?termid=5476")</f>
        <v>https://ceds.ed.gov/cedselementdetails.aspx?termid=5476</v>
      </c>
      <c r="P718" s="6" t="str">
        <f>HYPERLINK("https://ceds.ed.gov/elementComment.aspx?elementName=Program in Multiple Purpose Facility &amp;elementID=5476", "Click here to submit comment")</f>
        <v>Click here to submit comment</v>
      </c>
    </row>
    <row r="719" spans="1:16" ht="180">
      <c r="A719" s="6" t="s">
        <v>6788</v>
      </c>
      <c r="B719" s="6" t="s">
        <v>6796</v>
      </c>
      <c r="C719" s="6" t="s">
        <v>6799</v>
      </c>
      <c r="D719" s="6" t="s">
        <v>5756</v>
      </c>
      <c r="E719" s="6" t="s">
        <v>5757</v>
      </c>
      <c r="F719" s="7" t="s">
        <v>6677</v>
      </c>
      <c r="G719" s="6" t="s">
        <v>218</v>
      </c>
      <c r="H719" s="6"/>
      <c r="I719" s="6"/>
      <c r="J719" s="6"/>
      <c r="K719" s="6"/>
      <c r="L719" s="6" t="s">
        <v>5758</v>
      </c>
      <c r="M719" s="6"/>
      <c r="N719" s="6" t="s">
        <v>5759</v>
      </c>
      <c r="O719" s="6" t="str">
        <f>HYPERLINK("https://ceds.ed.gov/cedselementdetails.aspx?termid=5282")</f>
        <v>https://ceds.ed.gov/cedselementdetails.aspx?termid=5282</v>
      </c>
      <c r="P719" s="6" t="str">
        <f>HYPERLINK("https://ceds.ed.gov/elementComment.aspx?elementName=Title I Instructional Services &amp;elementID=5282", "Click here to submit comment")</f>
        <v>Click here to submit comment</v>
      </c>
    </row>
    <row r="720" spans="1:16" ht="180">
      <c r="A720" s="6" t="s">
        <v>6788</v>
      </c>
      <c r="B720" s="6" t="s">
        <v>6796</v>
      </c>
      <c r="C720" s="6" t="s">
        <v>6799</v>
      </c>
      <c r="D720" s="6" t="s">
        <v>5764</v>
      </c>
      <c r="E720" s="6" t="s">
        <v>5765</v>
      </c>
      <c r="F720" s="7" t="s">
        <v>6679</v>
      </c>
      <c r="G720" s="6" t="s">
        <v>218</v>
      </c>
      <c r="H720" s="6"/>
      <c r="I720" s="6"/>
      <c r="J720" s="6"/>
      <c r="K720" s="6"/>
      <c r="L720" s="6" t="s">
        <v>5766</v>
      </c>
      <c r="M720" s="6"/>
      <c r="N720" s="6" t="s">
        <v>5767</v>
      </c>
      <c r="O720" s="6" t="str">
        <f>HYPERLINK("https://ceds.ed.gov/cedselementdetails.aspx?termid=5284")</f>
        <v>https://ceds.ed.gov/cedselementdetails.aspx?termid=5284</v>
      </c>
      <c r="P720" s="6" t="str">
        <f>HYPERLINK("https://ceds.ed.gov/elementComment.aspx?elementName=Title I Program Type &amp;elementID=5284", "Click here to submit comment")</f>
        <v>Click here to submit comment</v>
      </c>
    </row>
    <row r="721" spans="1:16" ht="120">
      <c r="A721" s="6" t="s">
        <v>6788</v>
      </c>
      <c r="B721" s="6" t="s">
        <v>6796</v>
      </c>
      <c r="C721" s="6" t="s">
        <v>6799</v>
      </c>
      <c r="D721" s="6" t="s">
        <v>5788</v>
      </c>
      <c r="E721" s="6" t="s">
        <v>5789</v>
      </c>
      <c r="F721" s="7" t="s">
        <v>6681</v>
      </c>
      <c r="G721" s="6" t="s">
        <v>218</v>
      </c>
      <c r="H721" s="6"/>
      <c r="I721" s="6"/>
      <c r="J721" s="6"/>
      <c r="K721" s="6"/>
      <c r="L721" s="6" t="s">
        <v>5790</v>
      </c>
      <c r="M721" s="6"/>
      <c r="N721" s="6" t="s">
        <v>5791</v>
      </c>
      <c r="O721" s="6" t="str">
        <f>HYPERLINK("https://ceds.ed.gov/cedselementdetails.aspx?termid=5289")</f>
        <v>https://ceds.ed.gov/cedselementdetails.aspx?termid=5289</v>
      </c>
      <c r="P721" s="6" t="str">
        <f>HYPERLINK("https://ceds.ed.gov/elementComment.aspx?elementName=Title I Support Services &amp;elementID=5289", "Click here to submit comment")</f>
        <v>Click here to submit comment</v>
      </c>
    </row>
    <row r="722" spans="1:16" ht="375">
      <c r="A722" s="6" t="s">
        <v>6788</v>
      </c>
      <c r="B722" s="6" t="s">
        <v>6796</v>
      </c>
      <c r="C722" s="6" t="s">
        <v>6799</v>
      </c>
      <c r="D722" s="6" t="s">
        <v>5812</v>
      </c>
      <c r="E722" s="6" t="s">
        <v>5813</v>
      </c>
      <c r="F722" s="7" t="s">
        <v>6683</v>
      </c>
      <c r="G722" s="6" t="s">
        <v>207</v>
      </c>
      <c r="H722" s="6"/>
      <c r="I722" s="6"/>
      <c r="J722" s="6"/>
      <c r="K722" s="6"/>
      <c r="L722" s="6" t="s">
        <v>5814</v>
      </c>
      <c r="M722" s="6"/>
      <c r="N722" s="6" t="s">
        <v>5815</v>
      </c>
      <c r="O722" s="6" t="str">
        <f>HYPERLINK("https://ceds.ed.gov/cedselementdetails.aspx?termid=5437")</f>
        <v>https://ceds.ed.gov/cedselementdetails.aspx?termid=5437</v>
      </c>
      <c r="P722" s="6" t="str">
        <f>HYPERLINK("https://ceds.ed.gov/elementComment.aspx?elementName=Title III Language Instruction Program Type &amp;elementID=5437", "Click here to submit comment")</f>
        <v>Click here to submit comment</v>
      </c>
    </row>
    <row r="723" spans="1:16" ht="120">
      <c r="A723" s="6" t="s">
        <v>6788</v>
      </c>
      <c r="B723" s="6" t="s">
        <v>6796</v>
      </c>
      <c r="C723" s="6" t="s">
        <v>6737</v>
      </c>
      <c r="D723" s="6" t="s">
        <v>2670</v>
      </c>
      <c r="E723" s="6" t="s">
        <v>2671</v>
      </c>
      <c r="F723" s="7" t="s">
        <v>6508</v>
      </c>
      <c r="G723" s="6"/>
      <c r="H723" s="6" t="s">
        <v>54</v>
      </c>
      <c r="I723" s="6"/>
      <c r="J723" s="6"/>
      <c r="K723" s="6"/>
      <c r="L723" s="6" t="s">
        <v>2672</v>
      </c>
      <c r="M723" s="6"/>
      <c r="N723" s="6" t="s">
        <v>2673</v>
      </c>
      <c r="O723" s="6" t="str">
        <f>HYPERLINK("https://ceds.ed.gov/cedselementdetails.aspx?termid=6312")</f>
        <v>https://ceds.ed.gov/cedselementdetails.aspx?termid=6312</v>
      </c>
      <c r="P723" s="6" t="str">
        <f>HYPERLINK("https://ceds.ed.gov/elementComment.aspx?elementName=Financial Account Category &amp;elementID=6312", "Click here to submit comment")</f>
        <v>Click here to submit comment</v>
      </c>
    </row>
    <row r="724" spans="1:16" ht="45">
      <c r="A724" s="6" t="s">
        <v>6788</v>
      </c>
      <c r="B724" s="6" t="s">
        <v>6796</v>
      </c>
      <c r="C724" s="6" t="s">
        <v>6737</v>
      </c>
      <c r="D724" s="6" t="s">
        <v>2674</v>
      </c>
      <c r="E724" s="6" t="s">
        <v>2675</v>
      </c>
      <c r="F724" s="6" t="s">
        <v>13</v>
      </c>
      <c r="G724" s="6"/>
      <c r="H724" s="6" t="s">
        <v>54</v>
      </c>
      <c r="I724" s="6" t="s">
        <v>93</v>
      </c>
      <c r="J724" s="6"/>
      <c r="K724" s="6"/>
      <c r="L724" s="6" t="s">
        <v>2676</v>
      </c>
      <c r="M724" s="6"/>
      <c r="N724" s="6" t="s">
        <v>2677</v>
      </c>
      <c r="O724" s="6" t="str">
        <f>HYPERLINK("https://ceds.ed.gov/cedselementdetails.aspx?termid=6313")</f>
        <v>https://ceds.ed.gov/cedselementdetails.aspx?termid=6313</v>
      </c>
      <c r="P724" s="6" t="str">
        <f>HYPERLINK("https://ceds.ed.gov/elementComment.aspx?elementName=Financial Account Description &amp;elementID=6313", "Click here to submit comment")</f>
        <v>Click here to submit comment</v>
      </c>
    </row>
    <row r="725" spans="1:16" ht="150">
      <c r="A725" s="6" t="s">
        <v>6788</v>
      </c>
      <c r="B725" s="6" t="s">
        <v>6796</v>
      </c>
      <c r="C725" s="6" t="s">
        <v>6737</v>
      </c>
      <c r="D725" s="6" t="s">
        <v>2678</v>
      </c>
      <c r="E725" s="6" t="s">
        <v>2679</v>
      </c>
      <c r="F725" s="7" t="s">
        <v>6509</v>
      </c>
      <c r="G725" s="6"/>
      <c r="H725" s="6" t="s">
        <v>54</v>
      </c>
      <c r="I725" s="6"/>
      <c r="J725" s="6"/>
      <c r="K725" s="6" t="s">
        <v>2680</v>
      </c>
      <c r="L725" s="6" t="s">
        <v>2681</v>
      </c>
      <c r="M725" s="6"/>
      <c r="N725" s="6" t="s">
        <v>2682</v>
      </c>
      <c r="O725" s="6" t="str">
        <f>HYPERLINK("https://ceds.ed.gov/cedselementdetails.aspx?termid=6314")</f>
        <v>https://ceds.ed.gov/cedselementdetails.aspx?termid=6314</v>
      </c>
      <c r="P725" s="6" t="str">
        <f>HYPERLINK("https://ceds.ed.gov/elementComment.aspx?elementName=Financial Account Fund Classification &amp;elementID=6314", "Click here to submit comment")</f>
        <v>Click here to submit comment</v>
      </c>
    </row>
    <row r="726" spans="1:16" ht="45">
      <c r="A726" s="6" t="s">
        <v>6788</v>
      </c>
      <c r="B726" s="6" t="s">
        <v>6796</v>
      </c>
      <c r="C726" s="6" t="s">
        <v>6737</v>
      </c>
      <c r="D726" s="6" t="s">
        <v>2683</v>
      </c>
      <c r="E726" s="6" t="s">
        <v>2684</v>
      </c>
      <c r="F726" s="6" t="s">
        <v>13</v>
      </c>
      <c r="G726" s="6"/>
      <c r="H726" s="6" t="s">
        <v>54</v>
      </c>
      <c r="I726" s="6" t="s">
        <v>745</v>
      </c>
      <c r="J726" s="6"/>
      <c r="K726" s="6"/>
      <c r="L726" s="6" t="s">
        <v>2685</v>
      </c>
      <c r="M726" s="6"/>
      <c r="N726" s="6" t="s">
        <v>2686</v>
      </c>
      <c r="O726" s="6" t="str">
        <f>HYPERLINK("https://ceds.ed.gov/cedselementdetails.aspx?termid=6315")</f>
        <v>https://ceds.ed.gov/cedselementdetails.aspx?termid=6315</v>
      </c>
      <c r="P726" s="6" t="str">
        <f>HYPERLINK("https://ceds.ed.gov/elementComment.aspx?elementName=Financial Account Name &amp;elementID=6315", "Click here to submit comment")</f>
        <v>Click here to submit comment</v>
      </c>
    </row>
    <row r="727" spans="1:16" ht="315">
      <c r="A727" s="6" t="s">
        <v>6788</v>
      </c>
      <c r="B727" s="6" t="s">
        <v>6796</v>
      </c>
      <c r="C727" s="6" t="s">
        <v>6737</v>
      </c>
      <c r="D727" s="6" t="s">
        <v>2687</v>
      </c>
      <c r="E727" s="6" t="s">
        <v>2688</v>
      </c>
      <c r="F727" s="7" t="s">
        <v>6510</v>
      </c>
      <c r="G727" s="6"/>
      <c r="H727" s="6" t="s">
        <v>54</v>
      </c>
      <c r="I727" s="6"/>
      <c r="J727" s="6"/>
      <c r="K727" s="6"/>
      <c r="L727" s="6" t="s">
        <v>2689</v>
      </c>
      <c r="M727" s="6"/>
      <c r="N727" s="6" t="s">
        <v>2690</v>
      </c>
      <c r="O727" s="6" t="str">
        <f>HYPERLINK("https://ceds.ed.gov/cedselementdetails.aspx?termid=6316")</f>
        <v>https://ceds.ed.gov/cedselementdetails.aspx?termid=6316</v>
      </c>
      <c r="P727" s="6" t="str">
        <f>HYPERLINK("https://ceds.ed.gov/elementComment.aspx?elementName=Financial Account Program Code &amp;elementID=6316", "Click here to submit comment")</f>
        <v>Click here to submit comment</v>
      </c>
    </row>
    <row r="728" spans="1:16" ht="45">
      <c r="A728" s="6" t="s">
        <v>6788</v>
      </c>
      <c r="B728" s="6" t="s">
        <v>6796</v>
      </c>
      <c r="C728" s="6" t="s">
        <v>6737</v>
      </c>
      <c r="D728" s="6" t="s">
        <v>2691</v>
      </c>
      <c r="E728" s="6" t="s">
        <v>2692</v>
      </c>
      <c r="F728" s="6" t="s">
        <v>13</v>
      </c>
      <c r="G728" s="6"/>
      <c r="H728" s="6" t="s">
        <v>54</v>
      </c>
      <c r="I728" s="6" t="s">
        <v>1461</v>
      </c>
      <c r="J728" s="6"/>
      <c r="K728" s="6"/>
      <c r="L728" s="6" t="s">
        <v>2693</v>
      </c>
      <c r="M728" s="6"/>
      <c r="N728" s="6" t="s">
        <v>2694</v>
      </c>
      <c r="O728" s="6" t="str">
        <f>HYPERLINK("https://ceds.ed.gov/cedselementdetails.aspx?termid=6317")</f>
        <v>https://ceds.ed.gov/cedselementdetails.aspx?termid=6317</v>
      </c>
      <c r="P728" s="6" t="str">
        <f>HYPERLINK("https://ceds.ed.gov/elementComment.aspx?elementName=Financial Accounting Period Actual Value &amp;elementID=6317", "Click here to submit comment")</f>
        <v>Click here to submit comment</v>
      </c>
    </row>
    <row r="729" spans="1:16" ht="45">
      <c r="A729" s="6" t="s">
        <v>6788</v>
      </c>
      <c r="B729" s="6" t="s">
        <v>6796</v>
      </c>
      <c r="C729" s="6" t="s">
        <v>6737</v>
      </c>
      <c r="D729" s="6" t="s">
        <v>2695</v>
      </c>
      <c r="E729" s="6" t="s">
        <v>2696</v>
      </c>
      <c r="F729" s="6" t="s">
        <v>13</v>
      </c>
      <c r="G729" s="6"/>
      <c r="H729" s="6" t="s">
        <v>54</v>
      </c>
      <c r="I729" s="6" t="s">
        <v>1461</v>
      </c>
      <c r="J729" s="6"/>
      <c r="K729" s="6"/>
      <c r="L729" s="6" t="s">
        <v>2697</v>
      </c>
      <c r="M729" s="6"/>
      <c r="N729" s="6" t="s">
        <v>2698</v>
      </c>
      <c r="O729" s="6" t="str">
        <f>HYPERLINK("https://ceds.ed.gov/cedselementdetails.aspx?termid=6318")</f>
        <v>https://ceds.ed.gov/cedselementdetails.aspx?termid=6318</v>
      </c>
      <c r="P729" s="6" t="str">
        <f>HYPERLINK("https://ceds.ed.gov/elementComment.aspx?elementName=Financial Accounting Period Budgeted Value &amp;elementID=6318", "Click here to submit comment")</f>
        <v>Click here to submit comment</v>
      </c>
    </row>
    <row r="730" spans="1:16" ht="409.5">
      <c r="A730" s="6" t="s">
        <v>6788</v>
      </c>
      <c r="B730" s="6" t="s">
        <v>6796</v>
      </c>
      <c r="C730" s="6" t="s">
        <v>6737</v>
      </c>
      <c r="D730" s="6" t="s">
        <v>2730</v>
      </c>
      <c r="E730" s="6" t="s">
        <v>2731</v>
      </c>
      <c r="F730" s="7" t="s">
        <v>6513</v>
      </c>
      <c r="G730" s="6"/>
      <c r="H730" s="6" t="s">
        <v>54</v>
      </c>
      <c r="I730" s="6"/>
      <c r="J730" s="6"/>
      <c r="K730" s="6" t="s">
        <v>2732</v>
      </c>
      <c r="L730" s="6" t="s">
        <v>2733</v>
      </c>
      <c r="M730" s="6"/>
      <c r="N730" s="6" t="s">
        <v>2734</v>
      </c>
      <c r="O730" s="6" t="str">
        <f>HYPERLINK("https://ceds.ed.gov/cedselementdetails.aspx?termid=6320")</f>
        <v>https://ceds.ed.gov/cedselementdetails.aspx?termid=6320</v>
      </c>
      <c r="P730" s="6" t="str">
        <f>HYPERLINK("https://ceds.ed.gov/elementComment.aspx?elementName=Financial Balance Sheet Account Code &amp;elementID=6320", "Click here to submit comment")</f>
        <v>Click here to submit comment</v>
      </c>
    </row>
    <row r="731" spans="1:16" ht="409.5">
      <c r="A731" s="6" t="s">
        <v>6788</v>
      </c>
      <c r="B731" s="6" t="s">
        <v>6796</v>
      </c>
      <c r="C731" s="6" t="s">
        <v>6737</v>
      </c>
      <c r="D731" s="6" t="s">
        <v>2735</v>
      </c>
      <c r="E731" s="6" t="s">
        <v>2736</v>
      </c>
      <c r="F731" s="7" t="s">
        <v>6514</v>
      </c>
      <c r="G731" s="6"/>
      <c r="H731" s="6" t="s">
        <v>54</v>
      </c>
      <c r="I731" s="6"/>
      <c r="J731" s="6"/>
      <c r="K731" s="6" t="s">
        <v>2732</v>
      </c>
      <c r="L731" s="6" t="s">
        <v>2737</v>
      </c>
      <c r="M731" s="6"/>
      <c r="N731" s="6" t="s">
        <v>2738</v>
      </c>
      <c r="O731" s="6" t="str">
        <f>HYPERLINK("https://ceds.ed.gov/cedselementdetails.aspx?termid=6321")</f>
        <v>https://ceds.ed.gov/cedselementdetails.aspx?termid=6321</v>
      </c>
      <c r="P731" s="6" t="str">
        <f>HYPERLINK("https://ceds.ed.gov/elementComment.aspx?elementName=Financial Expenditure Function Code &amp;elementID=6321", "Click here to submit comment")</f>
        <v>Click here to submit comment</v>
      </c>
    </row>
    <row r="732" spans="1:16" ht="409.5">
      <c r="A732" s="6" t="s">
        <v>6788</v>
      </c>
      <c r="B732" s="6" t="s">
        <v>6796</v>
      </c>
      <c r="C732" s="6" t="s">
        <v>6737</v>
      </c>
      <c r="D732" s="6" t="s">
        <v>2739</v>
      </c>
      <c r="E732" s="6" t="s">
        <v>2740</v>
      </c>
      <c r="F732" s="7" t="s">
        <v>6515</v>
      </c>
      <c r="G732" s="6"/>
      <c r="H732" s="6" t="s">
        <v>54</v>
      </c>
      <c r="I732" s="6"/>
      <c r="J732" s="6"/>
      <c r="K732" s="6" t="s">
        <v>2741</v>
      </c>
      <c r="L732" s="6" t="s">
        <v>2742</v>
      </c>
      <c r="M732" s="6"/>
      <c r="N732" s="6" t="s">
        <v>2743</v>
      </c>
      <c r="O732" s="6" t="str">
        <f>HYPERLINK("https://ceds.ed.gov/cedselementdetails.aspx?termid=6322")</f>
        <v>https://ceds.ed.gov/cedselementdetails.aspx?termid=6322</v>
      </c>
      <c r="P732" s="6" t="str">
        <f>HYPERLINK("https://ceds.ed.gov/elementComment.aspx?elementName=Financial Expenditure Object Code &amp;elementID=6322", "Click here to submit comment")</f>
        <v>Click here to submit comment</v>
      </c>
    </row>
    <row r="733" spans="1:16" ht="60">
      <c r="A733" s="6" t="s">
        <v>6788</v>
      </c>
      <c r="B733" s="6" t="s">
        <v>6796</v>
      </c>
      <c r="C733" s="6" t="s">
        <v>6795</v>
      </c>
      <c r="D733" s="6" t="s">
        <v>5707</v>
      </c>
      <c r="E733" s="6" t="s">
        <v>5708</v>
      </c>
      <c r="F733" s="6" t="s">
        <v>5963</v>
      </c>
      <c r="G733" s="6"/>
      <c r="H733" s="6" t="s">
        <v>54</v>
      </c>
      <c r="I733" s="6"/>
      <c r="J733" s="6"/>
      <c r="K733" s="6"/>
      <c r="L733" s="6" t="s">
        <v>5709</v>
      </c>
      <c r="M733" s="6"/>
      <c r="N733" s="6" t="s">
        <v>5710</v>
      </c>
      <c r="O733" s="6" t="str">
        <f>HYPERLINK("https://ceds.ed.gov/cedselementdetails.aspx?termid=6465")</f>
        <v>https://ceds.ed.gov/cedselementdetails.aspx?termid=6465</v>
      </c>
      <c r="P733" s="6" t="str">
        <f>HYPERLINK("https://ceds.ed.gov/elementComment.aspx?elementName=Technical Assistance Approved Indicator &amp;elementID=6465", "Click here to submit comment")</f>
        <v>Click here to submit comment</v>
      </c>
    </row>
    <row r="734" spans="1:16" ht="90">
      <c r="A734" s="6" t="s">
        <v>6788</v>
      </c>
      <c r="B734" s="6" t="s">
        <v>6796</v>
      </c>
      <c r="C734" s="6" t="s">
        <v>6795</v>
      </c>
      <c r="D734" s="6" t="s">
        <v>5711</v>
      </c>
      <c r="E734" s="6" t="s">
        <v>5712</v>
      </c>
      <c r="F734" s="7" t="s">
        <v>6616</v>
      </c>
      <c r="G734" s="6"/>
      <c r="H734" s="6" t="s">
        <v>54</v>
      </c>
      <c r="I734" s="6"/>
      <c r="J734" s="6"/>
      <c r="K734" s="6"/>
      <c r="L734" s="6" t="s">
        <v>5713</v>
      </c>
      <c r="M734" s="6"/>
      <c r="N734" s="6" t="s">
        <v>5714</v>
      </c>
      <c r="O734" s="6" t="str">
        <f>HYPERLINK("https://ceds.ed.gov/cedselementdetails.aspx?termid=6466")</f>
        <v>https://ceds.ed.gov/cedselementdetails.aspx?termid=6466</v>
      </c>
      <c r="P734" s="6" t="str">
        <f>HYPERLINK("https://ceds.ed.gov/elementComment.aspx?elementName=Technical Assistance Delivery Type &amp;elementID=6466", "Click here to submit comment")</f>
        <v>Click here to submit comment</v>
      </c>
    </row>
    <row r="735" spans="1:16" ht="409.5">
      <c r="A735" s="6" t="s">
        <v>6788</v>
      </c>
      <c r="B735" s="6" t="s">
        <v>6796</v>
      </c>
      <c r="C735" s="6" t="s">
        <v>6795</v>
      </c>
      <c r="D735" s="6" t="s">
        <v>5715</v>
      </c>
      <c r="E735" s="6" t="s">
        <v>5716</v>
      </c>
      <c r="F735" s="7" t="s">
        <v>6673</v>
      </c>
      <c r="G735" s="6"/>
      <c r="H735" s="6" t="s">
        <v>54</v>
      </c>
      <c r="I735" s="6"/>
      <c r="J735" s="6"/>
      <c r="K735" s="6"/>
      <c r="L735" s="6" t="s">
        <v>5717</v>
      </c>
      <c r="M735" s="6"/>
      <c r="N735" s="6" t="s">
        <v>5718</v>
      </c>
      <c r="O735" s="6" t="str">
        <f>HYPERLINK("https://ceds.ed.gov/cedselementdetails.aspx?termid=6467")</f>
        <v>https://ceds.ed.gov/cedselementdetails.aspx?termid=6467</v>
      </c>
      <c r="P735" s="6" t="str">
        <f>HYPERLINK("https://ceds.ed.gov/elementComment.aspx?elementName=Technical Assistance Type &amp;elementID=6467", "Click here to submit comment")</f>
        <v>Click here to submit comment</v>
      </c>
    </row>
    <row r="736" spans="1:16" ht="45">
      <c r="A736" s="6" t="s">
        <v>6788</v>
      </c>
      <c r="B736" s="6" t="s">
        <v>6800</v>
      </c>
      <c r="C736" s="6" t="s">
        <v>6780</v>
      </c>
      <c r="D736" s="6" t="s">
        <v>5537</v>
      </c>
      <c r="E736" s="6" t="s">
        <v>5538</v>
      </c>
      <c r="F736" s="6" t="s">
        <v>6325</v>
      </c>
      <c r="G736" s="6"/>
      <c r="H736" s="6" t="s">
        <v>54</v>
      </c>
      <c r="I736" s="6"/>
      <c r="J736" s="6"/>
      <c r="K736" s="6"/>
      <c r="L736" s="6" t="s">
        <v>5540</v>
      </c>
      <c r="M736" s="6"/>
      <c r="N736" s="6" t="s">
        <v>5541</v>
      </c>
      <c r="O736" s="6" t="str">
        <f>HYPERLINK("https://ceds.ed.gov/cedselementdetails.aspx?termid=6463")</f>
        <v>https://ceds.ed.gov/cedselementdetails.aspx?termid=6463</v>
      </c>
      <c r="P736" s="6" t="str">
        <f>HYPERLINK("https://ceds.ed.gov/elementComment.aspx?elementName=State Agency Identification System &amp;elementID=6463", "Click here to submit comment")</f>
        <v>Click here to submit comment</v>
      </c>
    </row>
    <row r="737" spans="1:16" ht="30">
      <c r="A737" s="6" t="s">
        <v>6788</v>
      </c>
      <c r="B737" s="6" t="s">
        <v>6800</v>
      </c>
      <c r="C737" s="6" t="s">
        <v>6780</v>
      </c>
      <c r="D737" s="6" t="s">
        <v>5542</v>
      </c>
      <c r="E737" s="6" t="s">
        <v>5543</v>
      </c>
      <c r="F737" s="6" t="s">
        <v>13</v>
      </c>
      <c r="G737" s="6"/>
      <c r="H737" s="6" t="s">
        <v>54</v>
      </c>
      <c r="I737" s="6" t="s">
        <v>100</v>
      </c>
      <c r="J737" s="6"/>
      <c r="K737" s="6"/>
      <c r="L737" s="6" t="s">
        <v>5544</v>
      </c>
      <c r="M737" s="6"/>
      <c r="N737" s="6" t="s">
        <v>5545</v>
      </c>
      <c r="O737" s="6" t="str">
        <f>HYPERLINK("https://ceds.ed.gov/cedselementdetails.aspx?termid=6462")</f>
        <v>https://ceds.ed.gov/cedselementdetails.aspx?termid=6462</v>
      </c>
      <c r="P737" s="6" t="str">
        <f>HYPERLINK("https://ceds.ed.gov/elementComment.aspx?elementName=State Agency Identifier &amp;elementID=6462", "Click here to submit comment")</f>
        <v>Click here to submit comment</v>
      </c>
    </row>
    <row r="738" spans="1:16" ht="45">
      <c r="A738" s="6" t="s">
        <v>6788</v>
      </c>
      <c r="B738" s="6" t="s">
        <v>6800</v>
      </c>
      <c r="C738" s="6" t="s">
        <v>6780</v>
      </c>
      <c r="D738" s="6" t="s">
        <v>4349</v>
      </c>
      <c r="E738" s="6" t="s">
        <v>4350</v>
      </c>
      <c r="F738" s="6" t="s">
        <v>13</v>
      </c>
      <c r="G738" s="6" t="s">
        <v>202</v>
      </c>
      <c r="H738" s="6" t="s">
        <v>3</v>
      </c>
      <c r="I738" s="6" t="s">
        <v>106</v>
      </c>
      <c r="J738" s="6"/>
      <c r="K738" s="6"/>
      <c r="L738" s="6" t="s">
        <v>4351</v>
      </c>
      <c r="M738" s="6"/>
      <c r="N738" s="6" t="s">
        <v>4352</v>
      </c>
      <c r="O738" s="6" t="str">
        <f>HYPERLINK("https://ceds.ed.gov/cedselementdetails.aspx?termid=5204")</f>
        <v>https://ceds.ed.gov/cedselementdetails.aspx?termid=5204</v>
      </c>
      <c r="P738" s="6" t="str">
        <f>HYPERLINK("https://ceds.ed.gov/elementComment.aspx?elementName=Organization Name &amp;elementID=5204", "Click here to submit comment")</f>
        <v>Click here to submit comment</v>
      </c>
    </row>
    <row r="739" spans="1:16" ht="409.5">
      <c r="A739" s="6" t="s">
        <v>6788</v>
      </c>
      <c r="B739" s="6" t="s">
        <v>6800</v>
      </c>
      <c r="C739" s="6" t="s">
        <v>6780</v>
      </c>
      <c r="D739" s="6" t="s">
        <v>4361</v>
      </c>
      <c r="E739" s="6" t="s">
        <v>4362</v>
      </c>
      <c r="F739" s="7" t="s">
        <v>6592</v>
      </c>
      <c r="G739" s="6"/>
      <c r="H739" s="6" t="s">
        <v>66</v>
      </c>
      <c r="I739" s="6" t="s">
        <v>149</v>
      </c>
      <c r="J739" s="6" t="s">
        <v>4363</v>
      </c>
      <c r="K739" s="6" t="s">
        <v>4364</v>
      </c>
      <c r="L739" s="6" t="s">
        <v>4365</v>
      </c>
      <c r="M739" s="6"/>
      <c r="N739" s="6" t="s">
        <v>4366</v>
      </c>
      <c r="O739" s="6" t="str">
        <f>HYPERLINK("https://ceds.ed.gov/cedselementdetails.aspx?termid=6165")</f>
        <v>https://ceds.ed.gov/cedselementdetails.aspx?termid=6165</v>
      </c>
      <c r="P739" s="6" t="str">
        <f>HYPERLINK("https://ceds.ed.gov/elementComment.aspx?elementName=Organization Type &amp;elementID=6165", "Click here to submit comment")</f>
        <v>Click here to submit comment</v>
      </c>
    </row>
    <row r="740" spans="1:16" ht="90">
      <c r="A740" s="6" t="s">
        <v>6788</v>
      </c>
      <c r="B740" s="6" t="s">
        <v>6800</v>
      </c>
      <c r="C740" s="6" t="s">
        <v>6749</v>
      </c>
      <c r="D740" s="6" t="s">
        <v>196</v>
      </c>
      <c r="E740" s="6" t="s">
        <v>197</v>
      </c>
      <c r="F740" s="7" t="s">
        <v>6354</v>
      </c>
      <c r="G740" s="6" t="s">
        <v>5968</v>
      </c>
      <c r="H740" s="6" t="s">
        <v>3</v>
      </c>
      <c r="I740" s="6" t="s">
        <v>100</v>
      </c>
      <c r="J740" s="6"/>
      <c r="K740" s="6"/>
      <c r="L740" s="6" t="s">
        <v>198</v>
      </c>
      <c r="M740" s="6"/>
      <c r="N740" s="6" t="s">
        <v>199</v>
      </c>
      <c r="O740" s="6" t="str">
        <f>HYPERLINK("https://ceds.ed.gov/cedselementdetails.aspx?termid=5644")</f>
        <v>https://ceds.ed.gov/cedselementdetails.aspx?termid=5644</v>
      </c>
      <c r="P740" s="6" t="str">
        <f>HYPERLINK("https://ceds.ed.gov/elementComment.aspx?elementName=Address Type for Organization &amp;elementID=5644", "Click here to submit comment")</f>
        <v>Click here to submit comment</v>
      </c>
    </row>
    <row r="741" spans="1:16" ht="225">
      <c r="A741" s="6" t="s">
        <v>6788</v>
      </c>
      <c r="B741" s="6" t="s">
        <v>6800</v>
      </c>
      <c r="C741" s="6" t="s">
        <v>6749</v>
      </c>
      <c r="D741" s="6" t="s">
        <v>187</v>
      </c>
      <c r="E741" s="6" t="s">
        <v>188</v>
      </c>
      <c r="F741" s="6" t="s">
        <v>13</v>
      </c>
      <c r="G741" s="6" t="s">
        <v>5973</v>
      </c>
      <c r="H741" s="6" t="s">
        <v>3</v>
      </c>
      <c r="I741" s="6" t="s">
        <v>149</v>
      </c>
      <c r="J741" s="6"/>
      <c r="K741" s="6"/>
      <c r="L741" s="6" t="s">
        <v>189</v>
      </c>
      <c r="M741" s="6"/>
      <c r="N741" s="6" t="s">
        <v>190</v>
      </c>
      <c r="O741" s="6" t="str">
        <f>HYPERLINK("https://ceds.ed.gov/cedselementdetails.aspx?termid=5269")</f>
        <v>https://ceds.ed.gov/cedselementdetails.aspx?termid=5269</v>
      </c>
      <c r="P741" s="6" t="str">
        <f>HYPERLINK("https://ceds.ed.gov/elementComment.aspx?elementName=Address Street Number and Name &amp;elementID=5269", "Click here to submit comment")</f>
        <v>Click here to submit comment</v>
      </c>
    </row>
    <row r="742" spans="1:16" ht="225">
      <c r="A742" s="6" t="s">
        <v>6788</v>
      </c>
      <c r="B742" s="6" t="s">
        <v>6800</v>
      </c>
      <c r="C742" s="6" t="s">
        <v>6749</v>
      </c>
      <c r="D742" s="6" t="s">
        <v>170</v>
      </c>
      <c r="E742" s="6" t="s">
        <v>171</v>
      </c>
      <c r="F742" s="6" t="s">
        <v>13</v>
      </c>
      <c r="G742" s="6" t="s">
        <v>5973</v>
      </c>
      <c r="H742" s="6" t="s">
        <v>3</v>
      </c>
      <c r="I742" s="6" t="s">
        <v>100</v>
      </c>
      <c r="J742" s="6"/>
      <c r="K742" s="6"/>
      <c r="L742" s="6" t="s">
        <v>172</v>
      </c>
      <c r="M742" s="6"/>
      <c r="N742" s="6" t="s">
        <v>173</v>
      </c>
      <c r="O742" s="6" t="str">
        <f>HYPERLINK("https://ceds.ed.gov/cedselementdetails.aspx?termid=5019")</f>
        <v>https://ceds.ed.gov/cedselementdetails.aspx?termid=5019</v>
      </c>
      <c r="P742" s="6" t="str">
        <f>HYPERLINK("https://ceds.ed.gov/elementComment.aspx?elementName=Address Apartment Room or Suite Number &amp;elementID=5019", "Click here to submit comment")</f>
        <v>Click here to submit comment</v>
      </c>
    </row>
    <row r="743" spans="1:16" ht="225">
      <c r="A743" s="6" t="s">
        <v>6788</v>
      </c>
      <c r="B743" s="6" t="s">
        <v>6800</v>
      </c>
      <c r="C743" s="6" t="s">
        <v>6749</v>
      </c>
      <c r="D743" s="6" t="s">
        <v>174</v>
      </c>
      <c r="E743" s="6" t="s">
        <v>175</v>
      </c>
      <c r="F743" s="6" t="s">
        <v>13</v>
      </c>
      <c r="G743" s="6" t="s">
        <v>5973</v>
      </c>
      <c r="H743" s="6" t="s">
        <v>3</v>
      </c>
      <c r="I743" s="6" t="s">
        <v>100</v>
      </c>
      <c r="J743" s="6"/>
      <c r="K743" s="6"/>
      <c r="L743" s="6" t="s">
        <v>176</v>
      </c>
      <c r="M743" s="6"/>
      <c r="N743" s="6" t="s">
        <v>177</v>
      </c>
      <c r="O743" s="6" t="str">
        <f>HYPERLINK("https://ceds.ed.gov/cedselementdetails.aspx?termid=5040")</f>
        <v>https://ceds.ed.gov/cedselementdetails.aspx?termid=5040</v>
      </c>
      <c r="P743" s="6" t="str">
        <f>HYPERLINK("https://ceds.ed.gov/elementComment.aspx?elementName=Address City &amp;elementID=5040", "Click here to submit comment")</f>
        <v>Click here to submit comment</v>
      </c>
    </row>
    <row r="744" spans="1:16" ht="409.5">
      <c r="A744" s="6" t="s">
        <v>6788</v>
      </c>
      <c r="B744" s="6" t="s">
        <v>6800</v>
      </c>
      <c r="C744" s="6" t="s">
        <v>6749</v>
      </c>
      <c r="D744" s="6" t="s">
        <v>5533</v>
      </c>
      <c r="E744" s="6" t="s">
        <v>5534</v>
      </c>
      <c r="F744" s="7" t="s">
        <v>6633</v>
      </c>
      <c r="G744" s="6" t="s">
        <v>6324</v>
      </c>
      <c r="H744" s="6" t="s">
        <v>3</v>
      </c>
      <c r="I744" s="6"/>
      <c r="J744" s="6"/>
      <c r="K744" s="6"/>
      <c r="L744" s="6" t="s">
        <v>5535</v>
      </c>
      <c r="M744" s="6"/>
      <c r="N744" s="6" t="s">
        <v>5536</v>
      </c>
      <c r="O744" s="6" t="str">
        <f>HYPERLINK("https://ceds.ed.gov/cedselementdetails.aspx?termid=5267")</f>
        <v>https://ceds.ed.gov/cedselementdetails.aspx?termid=5267</v>
      </c>
      <c r="P744" s="6" t="str">
        <f>HYPERLINK("https://ceds.ed.gov/elementComment.aspx?elementName=State Abbreviation &amp;elementID=5267", "Click here to submit comment")</f>
        <v>Click here to submit comment</v>
      </c>
    </row>
    <row r="745" spans="1:16" ht="225">
      <c r="A745" s="6" t="s">
        <v>6788</v>
      </c>
      <c r="B745" s="6" t="s">
        <v>6800</v>
      </c>
      <c r="C745" s="6" t="s">
        <v>6749</v>
      </c>
      <c r="D745" s="6" t="s">
        <v>182</v>
      </c>
      <c r="E745" s="6" t="s">
        <v>183</v>
      </c>
      <c r="F745" s="6" t="s">
        <v>13</v>
      </c>
      <c r="G745" s="6" t="s">
        <v>5973</v>
      </c>
      <c r="H745" s="6" t="s">
        <v>3</v>
      </c>
      <c r="I745" s="6" t="s">
        <v>184</v>
      </c>
      <c r="J745" s="6"/>
      <c r="K745" s="6"/>
      <c r="L745" s="6" t="s">
        <v>185</v>
      </c>
      <c r="M745" s="6"/>
      <c r="N745" s="6" t="s">
        <v>186</v>
      </c>
      <c r="O745" s="6" t="str">
        <f>HYPERLINK("https://ceds.ed.gov/cedselementdetails.aspx?termid=5214")</f>
        <v>https://ceds.ed.gov/cedselementdetails.aspx?termid=5214</v>
      </c>
      <c r="P745" s="6" t="str">
        <f>HYPERLINK("https://ceds.ed.gov/elementComment.aspx?elementName=Address Postal Code &amp;elementID=5214", "Click here to submit comment")</f>
        <v>Click here to submit comment</v>
      </c>
    </row>
    <row r="746" spans="1:16" ht="409.5">
      <c r="A746" s="6" t="s">
        <v>6788</v>
      </c>
      <c r="B746" s="6" t="s">
        <v>6800</v>
      </c>
      <c r="C746" s="6" t="s">
        <v>6749</v>
      </c>
      <c r="D746" s="6" t="s">
        <v>5546</v>
      </c>
      <c r="E746" s="6" t="s">
        <v>5547</v>
      </c>
      <c r="F746" s="7" t="s">
        <v>6663</v>
      </c>
      <c r="G746" s="6" t="s">
        <v>6326</v>
      </c>
      <c r="H746" s="6"/>
      <c r="I746" s="6"/>
      <c r="J746" s="6"/>
      <c r="K746" s="6"/>
      <c r="L746" s="6" t="s">
        <v>5549</v>
      </c>
      <c r="M746" s="6"/>
      <c r="N746" s="6" t="s">
        <v>5550</v>
      </c>
      <c r="O746" s="6" t="str">
        <f>HYPERLINK("https://ceds.ed.gov/cedselementdetails.aspx?termid=5414")</f>
        <v>https://ceds.ed.gov/cedselementdetails.aspx?termid=5414</v>
      </c>
      <c r="P746" s="6" t="str">
        <f>HYPERLINK("https://ceds.ed.gov/elementComment.aspx?elementName=State ANSI Code &amp;elementID=5414", "Click here to submit comment")</f>
        <v>Click here to submit comment</v>
      </c>
    </row>
    <row r="747" spans="1:16" ht="90">
      <c r="A747" s="6" t="s">
        <v>6788</v>
      </c>
      <c r="B747" s="6" t="s">
        <v>6800</v>
      </c>
      <c r="C747" s="6" t="s">
        <v>6801</v>
      </c>
      <c r="D747" s="6" t="s">
        <v>4507</v>
      </c>
      <c r="E747" s="6" t="s">
        <v>4508</v>
      </c>
      <c r="F747" s="6" t="s">
        <v>13</v>
      </c>
      <c r="G747" s="6" t="s">
        <v>5968</v>
      </c>
      <c r="H747" s="6" t="s">
        <v>3</v>
      </c>
      <c r="I747" s="6" t="s">
        <v>1249</v>
      </c>
      <c r="J747" s="6"/>
      <c r="K747" s="6"/>
      <c r="L747" s="6" t="s">
        <v>4509</v>
      </c>
      <c r="M747" s="6"/>
      <c r="N747" s="6" t="s">
        <v>4510</v>
      </c>
      <c r="O747" s="6" t="str">
        <f>HYPERLINK("https://ceds.ed.gov/cedselementdetails.aspx?termid=5213")</f>
        <v>https://ceds.ed.gov/cedselementdetails.aspx?termid=5213</v>
      </c>
      <c r="P747" s="6" t="str">
        <f>HYPERLINK("https://ceds.ed.gov/elementComment.aspx?elementName=Position Title &amp;elementID=5213", "Click here to submit comment")</f>
        <v>Click here to submit comment</v>
      </c>
    </row>
    <row r="748" spans="1:16" ht="90">
      <c r="A748" s="6" t="s">
        <v>6788</v>
      </c>
      <c r="B748" s="6" t="s">
        <v>6800</v>
      </c>
      <c r="C748" s="6" t="s">
        <v>6801</v>
      </c>
      <c r="D748" s="6" t="s">
        <v>4583</v>
      </c>
      <c r="E748" s="6" t="s">
        <v>4584</v>
      </c>
      <c r="F748" s="6" t="s">
        <v>5963</v>
      </c>
      <c r="G748" s="6"/>
      <c r="H748" s="6" t="s">
        <v>54</v>
      </c>
      <c r="I748" s="6"/>
      <c r="J748" s="6"/>
      <c r="K748" s="6"/>
      <c r="L748" s="6" t="s">
        <v>4585</v>
      </c>
      <c r="M748" s="6"/>
      <c r="N748" s="6" t="s">
        <v>4586</v>
      </c>
      <c r="O748" s="6" t="str">
        <f>HYPERLINK("https://ceds.ed.gov/cedselementdetails.aspx?termid=6397")</f>
        <v>https://ceds.ed.gov/cedselementdetails.aspx?termid=6397</v>
      </c>
      <c r="P748" s="6" t="str">
        <f>HYPERLINK("https://ceds.ed.gov/elementComment.aspx?elementName=Primary Contact Indicator &amp;elementID=6397", "Click here to submit comment")</f>
        <v>Click here to submit comment</v>
      </c>
    </row>
    <row r="749" spans="1:16" ht="30">
      <c r="A749" s="6" t="s">
        <v>6788</v>
      </c>
      <c r="B749" s="6" t="s">
        <v>6800</v>
      </c>
      <c r="C749" s="6" t="s">
        <v>6801</v>
      </c>
      <c r="D749" s="6" t="s">
        <v>5908</v>
      </c>
      <c r="E749" s="6" t="s">
        <v>5909</v>
      </c>
      <c r="F749" s="6" t="s">
        <v>13</v>
      </c>
      <c r="G749" s="6" t="s">
        <v>218</v>
      </c>
      <c r="H749" s="6" t="s">
        <v>3</v>
      </c>
      <c r="I749" s="6" t="s">
        <v>93</v>
      </c>
      <c r="J749" s="6"/>
      <c r="K749" s="6"/>
      <c r="L749" s="6" t="s">
        <v>5910</v>
      </c>
      <c r="M749" s="6"/>
      <c r="N749" s="6" t="s">
        <v>5911</v>
      </c>
      <c r="O749" s="6" t="str">
        <f>HYPERLINK("https://ceds.ed.gov/cedselementdetails.aspx?termid=5300")</f>
        <v>https://ceds.ed.gov/cedselementdetails.aspx?termid=5300</v>
      </c>
      <c r="P749" s="6" t="str">
        <f>HYPERLINK("https://ceds.ed.gov/elementComment.aspx?elementName=Web Site Address &amp;elementID=5300", "Click here to submit comment")</f>
        <v>Click here to submit comment</v>
      </c>
    </row>
    <row r="750" spans="1:16" ht="195">
      <c r="A750" s="6" t="s">
        <v>6788</v>
      </c>
      <c r="B750" s="6" t="s">
        <v>6800</v>
      </c>
      <c r="C750" s="6" t="s">
        <v>6802</v>
      </c>
      <c r="D750" s="6" t="s">
        <v>2776</v>
      </c>
      <c r="E750" s="6" t="s">
        <v>2777</v>
      </c>
      <c r="F750" s="6" t="s">
        <v>13</v>
      </c>
      <c r="G750" s="6" t="s">
        <v>6176</v>
      </c>
      <c r="H750" s="6" t="s">
        <v>3</v>
      </c>
      <c r="I750" s="6" t="s">
        <v>1368</v>
      </c>
      <c r="J750" s="6"/>
      <c r="K750" s="6" t="s">
        <v>2778</v>
      </c>
      <c r="L750" s="6" t="s">
        <v>2779</v>
      </c>
      <c r="M750" s="6"/>
      <c r="N750" s="6" t="s">
        <v>2780</v>
      </c>
      <c r="O750" s="6" t="str">
        <f>HYPERLINK("https://ceds.ed.gov/cedselementdetails.aspx?termid=5115")</f>
        <v>https://ceds.ed.gov/cedselementdetails.aspx?termid=5115</v>
      </c>
      <c r="P750" s="6" t="str">
        <f>HYPERLINK("https://ceds.ed.gov/elementComment.aspx?elementName=First Name &amp;elementID=5115", "Click here to submit comment")</f>
        <v>Click here to submit comment</v>
      </c>
    </row>
    <row r="751" spans="1:16" ht="195">
      <c r="A751" s="6" t="s">
        <v>6788</v>
      </c>
      <c r="B751" s="6" t="s">
        <v>6800</v>
      </c>
      <c r="C751" s="6" t="s">
        <v>6802</v>
      </c>
      <c r="D751" s="6" t="s">
        <v>4088</v>
      </c>
      <c r="E751" s="6" t="s">
        <v>4089</v>
      </c>
      <c r="F751" s="6" t="s">
        <v>13</v>
      </c>
      <c r="G751" s="6" t="s">
        <v>6176</v>
      </c>
      <c r="H751" s="6" t="s">
        <v>3</v>
      </c>
      <c r="I751" s="6" t="s">
        <v>1368</v>
      </c>
      <c r="J751" s="6"/>
      <c r="K751" s="6" t="s">
        <v>2778</v>
      </c>
      <c r="L751" s="6" t="s">
        <v>4090</v>
      </c>
      <c r="M751" s="6"/>
      <c r="N751" s="6" t="s">
        <v>4091</v>
      </c>
      <c r="O751" s="6" t="str">
        <f>HYPERLINK("https://ceds.ed.gov/cedselementdetails.aspx?termid=5184")</f>
        <v>https://ceds.ed.gov/cedselementdetails.aspx?termid=5184</v>
      </c>
      <c r="P751" s="6" t="str">
        <f>HYPERLINK("https://ceds.ed.gov/elementComment.aspx?elementName=Middle Name &amp;elementID=5184", "Click here to submit comment")</f>
        <v>Click here to submit comment</v>
      </c>
    </row>
    <row r="752" spans="1:16" ht="195">
      <c r="A752" s="6" t="s">
        <v>6788</v>
      </c>
      <c r="B752" s="6" t="s">
        <v>6800</v>
      </c>
      <c r="C752" s="6" t="s">
        <v>6802</v>
      </c>
      <c r="D752" s="6" t="s">
        <v>3427</v>
      </c>
      <c r="E752" s="6" t="s">
        <v>3428</v>
      </c>
      <c r="F752" s="6" t="s">
        <v>13</v>
      </c>
      <c r="G752" s="6" t="s">
        <v>6176</v>
      </c>
      <c r="H752" s="6" t="s">
        <v>3</v>
      </c>
      <c r="I752" s="6" t="s">
        <v>1368</v>
      </c>
      <c r="J752" s="6"/>
      <c r="K752" s="6" t="s">
        <v>2778</v>
      </c>
      <c r="L752" s="6" t="s">
        <v>3429</v>
      </c>
      <c r="M752" s="6" t="s">
        <v>3430</v>
      </c>
      <c r="N752" s="6" t="s">
        <v>3431</v>
      </c>
      <c r="O752" s="6" t="str">
        <f>HYPERLINK("https://ceds.ed.gov/cedselementdetails.aspx?termid=5172")</f>
        <v>https://ceds.ed.gov/cedselementdetails.aspx?termid=5172</v>
      </c>
      <c r="P752" s="6" t="str">
        <f>HYPERLINK("https://ceds.ed.gov/elementComment.aspx?elementName=Last or Surname &amp;elementID=5172", "Click here to submit comment")</f>
        <v>Click here to submit comment</v>
      </c>
    </row>
    <row r="753" spans="1:16" ht="150">
      <c r="A753" s="6" t="s">
        <v>6788</v>
      </c>
      <c r="B753" s="6" t="s">
        <v>6800</v>
      </c>
      <c r="C753" s="6" t="s">
        <v>6802</v>
      </c>
      <c r="D753" s="6" t="s">
        <v>2829</v>
      </c>
      <c r="E753" s="6" t="s">
        <v>2830</v>
      </c>
      <c r="F753" s="6" t="s">
        <v>13</v>
      </c>
      <c r="G753" s="6" t="s">
        <v>6179</v>
      </c>
      <c r="H753" s="6" t="s">
        <v>3</v>
      </c>
      <c r="I753" s="6" t="s">
        <v>2031</v>
      </c>
      <c r="J753" s="6"/>
      <c r="K753" s="6" t="s">
        <v>2778</v>
      </c>
      <c r="L753" s="6" t="s">
        <v>2831</v>
      </c>
      <c r="M753" s="6"/>
      <c r="N753" s="6" t="s">
        <v>2832</v>
      </c>
      <c r="O753" s="6" t="str">
        <f>HYPERLINK("https://ceds.ed.gov/cedselementdetails.aspx?termid=5121")</f>
        <v>https://ceds.ed.gov/cedselementdetails.aspx?termid=5121</v>
      </c>
      <c r="P753" s="6" t="str">
        <f>HYPERLINK("https://ceds.ed.gov/elementComment.aspx?elementName=Generation Code or Suffix &amp;elementID=5121", "Click here to submit comment")</f>
        <v>Click here to submit comment</v>
      </c>
    </row>
    <row r="754" spans="1:16" ht="105">
      <c r="A754" s="6" t="s">
        <v>6788</v>
      </c>
      <c r="B754" s="6" t="s">
        <v>6800</v>
      </c>
      <c r="C754" s="6" t="s">
        <v>6802</v>
      </c>
      <c r="D754" s="6" t="s">
        <v>4498</v>
      </c>
      <c r="E754" s="6" t="s">
        <v>4499</v>
      </c>
      <c r="F754" s="6" t="s">
        <v>13</v>
      </c>
      <c r="G754" s="6" t="s">
        <v>6280</v>
      </c>
      <c r="H754" s="6" t="s">
        <v>3</v>
      </c>
      <c r="I754" s="6" t="s">
        <v>100</v>
      </c>
      <c r="J754" s="6"/>
      <c r="K754" s="6"/>
      <c r="L754" s="6" t="s">
        <v>4500</v>
      </c>
      <c r="M754" s="6" t="s">
        <v>4501</v>
      </c>
      <c r="N754" s="6" t="s">
        <v>4502</v>
      </c>
      <c r="O754" s="6" t="str">
        <f>HYPERLINK("https://ceds.ed.gov/cedselementdetails.aspx?termid=5212")</f>
        <v>https://ceds.ed.gov/cedselementdetails.aspx?termid=5212</v>
      </c>
      <c r="P754" s="6" t="str">
        <f>HYPERLINK("https://ceds.ed.gov/elementComment.aspx?elementName=Personal Title or Prefix &amp;elementID=5212", "Click here to submit comment")</f>
        <v>Click here to submit comment</v>
      </c>
    </row>
    <row r="755" spans="1:16" ht="150">
      <c r="A755" s="6" t="s">
        <v>6788</v>
      </c>
      <c r="B755" s="6" t="s">
        <v>6800</v>
      </c>
      <c r="C755" s="6" t="s">
        <v>6720</v>
      </c>
      <c r="D755" s="6" t="s">
        <v>200</v>
      </c>
      <c r="E755" s="6" t="s">
        <v>201</v>
      </c>
      <c r="F755" s="7" t="s">
        <v>6355</v>
      </c>
      <c r="G755" s="6" t="s">
        <v>202</v>
      </c>
      <c r="H755" s="6" t="s">
        <v>3</v>
      </c>
      <c r="I755" s="6" t="s">
        <v>100</v>
      </c>
      <c r="J755" s="6"/>
      <c r="K755" s="6"/>
      <c r="L755" s="6" t="s">
        <v>203</v>
      </c>
      <c r="M755" s="6"/>
      <c r="N755" s="6" t="s">
        <v>204</v>
      </c>
      <c r="O755" s="6" t="str">
        <f>HYPERLINK("https://ceds.ed.gov/cedselementdetails.aspx?termid=5698")</f>
        <v>https://ceds.ed.gov/cedselementdetails.aspx?termid=5698</v>
      </c>
      <c r="P755" s="6" t="str">
        <f>HYPERLINK("https://ceds.ed.gov/elementComment.aspx?elementName=Address Type for Staff &amp;elementID=5698", "Click here to submit comment")</f>
        <v>Click here to submit comment</v>
      </c>
    </row>
    <row r="756" spans="1:16" ht="225">
      <c r="A756" s="6" t="s">
        <v>6788</v>
      </c>
      <c r="B756" s="6" t="s">
        <v>6800</v>
      </c>
      <c r="C756" s="6" t="s">
        <v>6720</v>
      </c>
      <c r="D756" s="6" t="s">
        <v>187</v>
      </c>
      <c r="E756" s="6" t="s">
        <v>188</v>
      </c>
      <c r="F756" s="6" t="s">
        <v>13</v>
      </c>
      <c r="G756" s="6" t="s">
        <v>5973</v>
      </c>
      <c r="H756" s="6" t="s">
        <v>3</v>
      </c>
      <c r="I756" s="6" t="s">
        <v>149</v>
      </c>
      <c r="J756" s="6"/>
      <c r="K756" s="6"/>
      <c r="L756" s="6" t="s">
        <v>189</v>
      </c>
      <c r="M756" s="6"/>
      <c r="N756" s="6" t="s">
        <v>190</v>
      </c>
      <c r="O756" s="6" t="str">
        <f>HYPERLINK("https://ceds.ed.gov/cedselementdetails.aspx?termid=5269")</f>
        <v>https://ceds.ed.gov/cedselementdetails.aspx?termid=5269</v>
      </c>
      <c r="P756" s="6" t="str">
        <f>HYPERLINK("https://ceds.ed.gov/elementComment.aspx?elementName=Address Street Number and Name &amp;elementID=5269", "Click here to submit comment")</f>
        <v>Click here to submit comment</v>
      </c>
    </row>
    <row r="757" spans="1:16" ht="225">
      <c r="A757" s="6" t="s">
        <v>6788</v>
      </c>
      <c r="B757" s="6" t="s">
        <v>6800</v>
      </c>
      <c r="C757" s="6" t="s">
        <v>6720</v>
      </c>
      <c r="D757" s="6" t="s">
        <v>170</v>
      </c>
      <c r="E757" s="6" t="s">
        <v>171</v>
      </c>
      <c r="F757" s="6" t="s">
        <v>13</v>
      </c>
      <c r="G757" s="6" t="s">
        <v>5973</v>
      </c>
      <c r="H757" s="6" t="s">
        <v>3</v>
      </c>
      <c r="I757" s="6" t="s">
        <v>100</v>
      </c>
      <c r="J757" s="6"/>
      <c r="K757" s="6"/>
      <c r="L757" s="6" t="s">
        <v>172</v>
      </c>
      <c r="M757" s="6"/>
      <c r="N757" s="6" t="s">
        <v>173</v>
      </c>
      <c r="O757" s="6" t="str">
        <f>HYPERLINK("https://ceds.ed.gov/cedselementdetails.aspx?termid=5019")</f>
        <v>https://ceds.ed.gov/cedselementdetails.aspx?termid=5019</v>
      </c>
      <c r="P757" s="6" t="str">
        <f>HYPERLINK("https://ceds.ed.gov/elementComment.aspx?elementName=Address Apartment Room or Suite Number &amp;elementID=5019", "Click here to submit comment")</f>
        <v>Click here to submit comment</v>
      </c>
    </row>
    <row r="758" spans="1:16" ht="225">
      <c r="A758" s="6" t="s">
        <v>6788</v>
      </c>
      <c r="B758" s="6" t="s">
        <v>6800</v>
      </c>
      <c r="C758" s="6" t="s">
        <v>6720</v>
      </c>
      <c r="D758" s="6" t="s">
        <v>174</v>
      </c>
      <c r="E758" s="6" t="s">
        <v>175</v>
      </c>
      <c r="F758" s="6" t="s">
        <v>13</v>
      </c>
      <c r="G758" s="6" t="s">
        <v>5973</v>
      </c>
      <c r="H758" s="6" t="s">
        <v>3</v>
      </c>
      <c r="I758" s="6" t="s">
        <v>100</v>
      </c>
      <c r="J758" s="6"/>
      <c r="K758" s="6"/>
      <c r="L758" s="6" t="s">
        <v>176</v>
      </c>
      <c r="M758" s="6"/>
      <c r="N758" s="6" t="s">
        <v>177</v>
      </c>
      <c r="O758" s="6" t="str">
        <f>HYPERLINK("https://ceds.ed.gov/cedselementdetails.aspx?termid=5040")</f>
        <v>https://ceds.ed.gov/cedselementdetails.aspx?termid=5040</v>
      </c>
      <c r="P758" s="6" t="str">
        <f>HYPERLINK("https://ceds.ed.gov/elementComment.aspx?elementName=Address City &amp;elementID=5040", "Click here to submit comment")</f>
        <v>Click here to submit comment</v>
      </c>
    </row>
    <row r="759" spans="1:16" ht="409.5">
      <c r="A759" s="6" t="s">
        <v>6788</v>
      </c>
      <c r="B759" s="6" t="s">
        <v>6800</v>
      </c>
      <c r="C759" s="6" t="s">
        <v>6720</v>
      </c>
      <c r="D759" s="6" t="s">
        <v>5533</v>
      </c>
      <c r="E759" s="6" t="s">
        <v>5534</v>
      </c>
      <c r="F759" s="7" t="s">
        <v>6633</v>
      </c>
      <c r="G759" s="6" t="s">
        <v>6324</v>
      </c>
      <c r="H759" s="6" t="s">
        <v>3</v>
      </c>
      <c r="I759" s="6"/>
      <c r="J759" s="6"/>
      <c r="K759" s="6"/>
      <c r="L759" s="6" t="s">
        <v>5535</v>
      </c>
      <c r="M759" s="6"/>
      <c r="N759" s="6" t="s">
        <v>5536</v>
      </c>
      <c r="O759" s="6" t="str">
        <f>HYPERLINK("https://ceds.ed.gov/cedselementdetails.aspx?termid=5267")</f>
        <v>https://ceds.ed.gov/cedselementdetails.aspx?termid=5267</v>
      </c>
      <c r="P759" s="6" t="str">
        <f>HYPERLINK("https://ceds.ed.gov/elementComment.aspx?elementName=State Abbreviation &amp;elementID=5267", "Click here to submit comment")</f>
        <v>Click here to submit comment</v>
      </c>
    </row>
    <row r="760" spans="1:16" ht="225">
      <c r="A760" s="6" t="s">
        <v>6788</v>
      </c>
      <c r="B760" s="6" t="s">
        <v>6800</v>
      </c>
      <c r="C760" s="6" t="s">
        <v>6720</v>
      </c>
      <c r="D760" s="6" t="s">
        <v>182</v>
      </c>
      <c r="E760" s="6" t="s">
        <v>183</v>
      </c>
      <c r="F760" s="6" t="s">
        <v>13</v>
      </c>
      <c r="G760" s="6" t="s">
        <v>5973</v>
      </c>
      <c r="H760" s="6" t="s">
        <v>3</v>
      </c>
      <c r="I760" s="6" t="s">
        <v>184</v>
      </c>
      <c r="J760" s="6"/>
      <c r="K760" s="6"/>
      <c r="L760" s="6" t="s">
        <v>185</v>
      </c>
      <c r="M760" s="6"/>
      <c r="N760" s="6" t="s">
        <v>186</v>
      </c>
      <c r="O760" s="6" t="str">
        <f>HYPERLINK("https://ceds.ed.gov/cedselementdetails.aspx?termid=5214")</f>
        <v>https://ceds.ed.gov/cedselementdetails.aspx?termid=5214</v>
      </c>
      <c r="P760" s="6" t="str">
        <f>HYPERLINK("https://ceds.ed.gov/elementComment.aspx?elementName=Address Postal Code &amp;elementID=5214", "Click here to submit comment")</f>
        <v>Click here to submit comment</v>
      </c>
    </row>
    <row r="761" spans="1:16" ht="225">
      <c r="A761" s="6" t="s">
        <v>6788</v>
      </c>
      <c r="B761" s="6" t="s">
        <v>6800</v>
      </c>
      <c r="C761" s="6" t="s">
        <v>6720</v>
      </c>
      <c r="D761" s="6" t="s">
        <v>178</v>
      </c>
      <c r="E761" s="6" t="s">
        <v>179</v>
      </c>
      <c r="F761" s="6" t="s">
        <v>13</v>
      </c>
      <c r="G761" s="6" t="s">
        <v>5973</v>
      </c>
      <c r="H761" s="6" t="s">
        <v>3</v>
      </c>
      <c r="I761" s="6" t="s">
        <v>100</v>
      </c>
      <c r="J761" s="6"/>
      <c r="K761" s="6"/>
      <c r="L761" s="6" t="s">
        <v>180</v>
      </c>
      <c r="M761" s="6"/>
      <c r="N761" s="6" t="s">
        <v>181</v>
      </c>
      <c r="O761" s="6" t="str">
        <f>HYPERLINK("https://ceds.ed.gov/cedselementdetails.aspx?termid=5190")</f>
        <v>https://ceds.ed.gov/cedselementdetails.aspx?termid=5190</v>
      </c>
      <c r="P761" s="6" t="str">
        <f>HYPERLINK("https://ceds.ed.gov/elementComment.aspx?elementName=Address County Name &amp;elementID=5190", "Click here to submit comment")</f>
        <v>Click here to submit comment</v>
      </c>
    </row>
    <row r="762" spans="1:16" ht="409.5">
      <c r="A762" s="6" t="s">
        <v>6788</v>
      </c>
      <c r="B762" s="6" t="s">
        <v>6800</v>
      </c>
      <c r="C762" s="6" t="s">
        <v>6720</v>
      </c>
      <c r="D762" s="6" t="s">
        <v>1809</v>
      </c>
      <c r="E762" s="6" t="s">
        <v>1810</v>
      </c>
      <c r="F762" s="7" t="s">
        <v>6433</v>
      </c>
      <c r="G762" s="6" t="s">
        <v>6107</v>
      </c>
      <c r="H762" s="6" t="s">
        <v>3</v>
      </c>
      <c r="I762" s="6"/>
      <c r="J762" s="6"/>
      <c r="K762" s="6"/>
      <c r="L762" s="6" t="s">
        <v>1811</v>
      </c>
      <c r="M762" s="6"/>
      <c r="N762" s="6" t="s">
        <v>1812</v>
      </c>
      <c r="O762" s="6" t="str">
        <f>HYPERLINK("https://ceds.ed.gov/cedselementdetails.aspx?termid=5050")</f>
        <v>https://ceds.ed.gov/cedselementdetails.aspx?termid=5050</v>
      </c>
      <c r="P762" s="6" t="str">
        <f>HYPERLINK("https://ceds.ed.gov/elementComment.aspx?elementName=Country Code &amp;elementID=5050", "Click here to submit comment")</f>
        <v>Click here to submit comment</v>
      </c>
    </row>
    <row r="763" spans="1:16" ht="90">
      <c r="A763" s="6" t="s">
        <v>6788</v>
      </c>
      <c r="B763" s="6" t="s">
        <v>6800</v>
      </c>
      <c r="C763" s="6" t="s">
        <v>6742</v>
      </c>
      <c r="D763" s="6" t="s">
        <v>2451</v>
      </c>
      <c r="E763" s="6" t="s">
        <v>2452</v>
      </c>
      <c r="F763" s="6" t="s">
        <v>13</v>
      </c>
      <c r="G763" s="6" t="s">
        <v>5968</v>
      </c>
      <c r="H763" s="6" t="s">
        <v>3</v>
      </c>
      <c r="I763" s="6" t="s">
        <v>2453</v>
      </c>
      <c r="J763" s="6"/>
      <c r="K763" s="6"/>
      <c r="L763" s="6" t="s">
        <v>2454</v>
      </c>
      <c r="M763" s="6" t="s">
        <v>2455</v>
      </c>
      <c r="N763" s="6" t="s">
        <v>2456</v>
      </c>
      <c r="O763" s="6" t="str">
        <f>HYPERLINK("https://ceds.ed.gov/cedselementdetails.aspx?termid=5088")</f>
        <v>https://ceds.ed.gov/cedselementdetails.aspx?termid=5088</v>
      </c>
      <c r="P763" s="6" t="str">
        <f>HYPERLINK("https://ceds.ed.gov/elementComment.aspx?elementName=Electronic Mail Address &amp;elementID=5088", "Click here to submit comment")</f>
        <v>Click here to submit comment</v>
      </c>
    </row>
    <row r="764" spans="1:16" ht="105">
      <c r="A764" s="6" t="s">
        <v>6788</v>
      </c>
      <c r="B764" s="6" t="s">
        <v>6800</v>
      </c>
      <c r="C764" s="6" t="s">
        <v>6742</v>
      </c>
      <c r="D764" s="6" t="s">
        <v>2457</v>
      </c>
      <c r="E764" s="6" t="s">
        <v>2458</v>
      </c>
      <c r="F764" s="7" t="s">
        <v>6489</v>
      </c>
      <c r="G764" s="6" t="s">
        <v>5968</v>
      </c>
      <c r="H764" s="6" t="s">
        <v>3</v>
      </c>
      <c r="I764" s="6"/>
      <c r="J764" s="6"/>
      <c r="K764" s="6"/>
      <c r="L764" s="6" t="s">
        <v>2459</v>
      </c>
      <c r="M764" s="6" t="s">
        <v>2460</v>
      </c>
      <c r="N764" s="6" t="s">
        <v>2461</v>
      </c>
      <c r="O764" s="6" t="str">
        <f>HYPERLINK("https://ceds.ed.gov/cedselementdetails.aspx?termid=5089")</f>
        <v>https://ceds.ed.gov/cedselementdetails.aspx?termid=5089</v>
      </c>
      <c r="P764" s="6" t="str">
        <f>HYPERLINK("https://ceds.ed.gov/elementComment.aspx?elementName=Electronic Mail Address Type &amp;elementID=5089", "Click here to submit comment")</f>
        <v>Click here to submit comment</v>
      </c>
    </row>
    <row r="765" spans="1:16" ht="30">
      <c r="A765" s="6" t="s">
        <v>6788</v>
      </c>
      <c r="B765" s="6" t="s">
        <v>6800</v>
      </c>
      <c r="C765" s="6" t="s">
        <v>6803</v>
      </c>
      <c r="D765" s="6" t="s">
        <v>4375</v>
      </c>
      <c r="E765" s="6" t="s">
        <v>4376</v>
      </c>
      <c r="F765" s="6" t="s">
        <v>13</v>
      </c>
      <c r="G765" s="6"/>
      <c r="H765" s="6" t="s">
        <v>54</v>
      </c>
      <c r="I765" s="6" t="s">
        <v>1368</v>
      </c>
      <c r="J765" s="6"/>
      <c r="K765" s="6" t="s">
        <v>4377</v>
      </c>
      <c r="L765" s="6" t="s">
        <v>4378</v>
      </c>
      <c r="M765" s="6"/>
      <c r="N765" s="6" t="s">
        <v>4379</v>
      </c>
      <c r="O765" s="6" t="str">
        <f>HYPERLINK("https://ceds.ed.gov/cedselementdetails.aspx?termid=6486")</f>
        <v>https://ceds.ed.gov/cedselementdetails.aspx?termid=6486</v>
      </c>
      <c r="P765" s="6" t="str">
        <f>HYPERLINK("https://ceds.ed.gov/elementComment.aspx?elementName=Other First Name &amp;elementID=6486", "Click here to submit comment")</f>
        <v>Click here to submit comment</v>
      </c>
    </row>
    <row r="766" spans="1:16" ht="30">
      <c r="A766" s="6" t="s">
        <v>6788</v>
      </c>
      <c r="B766" s="6" t="s">
        <v>6800</v>
      </c>
      <c r="C766" s="6" t="s">
        <v>6803</v>
      </c>
      <c r="D766" s="6" t="s">
        <v>4380</v>
      </c>
      <c r="E766" s="6" t="s">
        <v>4381</v>
      </c>
      <c r="F766" s="6" t="s">
        <v>13</v>
      </c>
      <c r="G766" s="6"/>
      <c r="H766" s="6" t="s">
        <v>54</v>
      </c>
      <c r="I766" s="6" t="s">
        <v>1368</v>
      </c>
      <c r="J766" s="6"/>
      <c r="K766" s="6" t="s">
        <v>4382</v>
      </c>
      <c r="L766" s="6" t="s">
        <v>4383</v>
      </c>
      <c r="M766" s="6"/>
      <c r="N766" s="6" t="s">
        <v>4384</v>
      </c>
      <c r="O766" s="6" t="str">
        <f>HYPERLINK("https://ceds.ed.gov/cedselementdetails.aspx?termid=6485")</f>
        <v>https://ceds.ed.gov/cedselementdetails.aspx?termid=6485</v>
      </c>
      <c r="P766" s="6" t="str">
        <f>HYPERLINK("https://ceds.ed.gov/elementComment.aspx?elementName=Other Last Name &amp;elementID=6485", "Click here to submit comment")</f>
        <v>Click here to submit comment</v>
      </c>
    </row>
    <row r="767" spans="1:16" ht="30">
      <c r="A767" s="6" t="s">
        <v>6788</v>
      </c>
      <c r="B767" s="6" t="s">
        <v>6800</v>
      </c>
      <c r="C767" s="6" t="s">
        <v>6803</v>
      </c>
      <c r="D767" s="6" t="s">
        <v>4385</v>
      </c>
      <c r="E767" s="6" t="s">
        <v>4386</v>
      </c>
      <c r="F767" s="6" t="s">
        <v>13</v>
      </c>
      <c r="G767" s="6"/>
      <c r="H767" s="6" t="s">
        <v>54</v>
      </c>
      <c r="I767" s="6" t="s">
        <v>1368</v>
      </c>
      <c r="J767" s="6"/>
      <c r="K767" s="6" t="s">
        <v>4387</v>
      </c>
      <c r="L767" s="6" t="s">
        <v>4388</v>
      </c>
      <c r="M767" s="6"/>
      <c r="N767" s="6" t="s">
        <v>4389</v>
      </c>
      <c r="O767" s="6" t="str">
        <f>HYPERLINK("https://ceds.ed.gov/cedselementdetails.aspx?termid=6487")</f>
        <v>https://ceds.ed.gov/cedselementdetails.aspx?termid=6487</v>
      </c>
      <c r="P767" s="6" t="str">
        <f>HYPERLINK("https://ceds.ed.gov/elementComment.aspx?elementName=Other Middle Name &amp;elementID=6487", "Click here to submit comment")</f>
        <v>Click here to submit comment</v>
      </c>
    </row>
    <row r="768" spans="1:16" ht="150">
      <c r="A768" s="6" t="s">
        <v>6788</v>
      </c>
      <c r="B768" s="6" t="s">
        <v>6800</v>
      </c>
      <c r="C768" s="6" t="s">
        <v>6803</v>
      </c>
      <c r="D768" s="6" t="s">
        <v>4390</v>
      </c>
      <c r="E768" s="6" t="s">
        <v>4391</v>
      </c>
      <c r="F768" s="6" t="s">
        <v>13</v>
      </c>
      <c r="G768" s="6" t="s">
        <v>6179</v>
      </c>
      <c r="H768" s="6" t="s">
        <v>3</v>
      </c>
      <c r="I768" s="6" t="s">
        <v>149</v>
      </c>
      <c r="J768" s="6"/>
      <c r="K768" s="6"/>
      <c r="L768" s="6" t="s">
        <v>4392</v>
      </c>
      <c r="M768" s="6"/>
      <c r="N768" s="6" t="s">
        <v>4393</v>
      </c>
      <c r="O768" s="6" t="str">
        <f>HYPERLINK("https://ceds.ed.gov/cedselementdetails.aspx?termid=5206")</f>
        <v>https://ceds.ed.gov/cedselementdetails.aspx?termid=5206</v>
      </c>
      <c r="P768" s="6" t="str">
        <f>HYPERLINK("https://ceds.ed.gov/elementComment.aspx?elementName=Other Name &amp;elementID=5206", "Click here to submit comment")</f>
        <v>Click here to submit comment</v>
      </c>
    </row>
    <row r="769" spans="1:16" ht="90">
      <c r="A769" s="6" t="s">
        <v>6788</v>
      </c>
      <c r="B769" s="6" t="s">
        <v>6800</v>
      </c>
      <c r="C769" s="6" t="s">
        <v>6803</v>
      </c>
      <c r="D769" s="6" t="s">
        <v>4394</v>
      </c>
      <c r="E769" s="6" t="s">
        <v>4395</v>
      </c>
      <c r="F769" s="7" t="s">
        <v>6593</v>
      </c>
      <c r="G769" s="6" t="s">
        <v>6273</v>
      </c>
      <c r="H769" s="6" t="s">
        <v>3</v>
      </c>
      <c r="I769" s="6" t="s">
        <v>100</v>
      </c>
      <c r="J769" s="6"/>
      <c r="K769" s="6"/>
      <c r="L769" s="6" t="s">
        <v>4396</v>
      </c>
      <c r="M769" s="6"/>
      <c r="N769" s="6" t="s">
        <v>4397</v>
      </c>
      <c r="O769" s="6" t="str">
        <f>HYPERLINK("https://ceds.ed.gov/cedselementdetails.aspx?termid=5627")</f>
        <v>https://ceds.ed.gov/cedselementdetails.aspx?termid=5627</v>
      </c>
      <c r="P769" s="6" t="str">
        <f>HYPERLINK("https://ceds.ed.gov/elementComment.aspx?elementName=Other Name Type &amp;elementID=5627", "Click here to submit comment")</f>
        <v>Click here to submit comment</v>
      </c>
    </row>
    <row r="770" spans="1:16" ht="90">
      <c r="A770" s="6" t="s">
        <v>6788</v>
      </c>
      <c r="B770" s="6" t="s">
        <v>6800</v>
      </c>
      <c r="C770" s="6" t="s">
        <v>6721</v>
      </c>
      <c r="D770" s="6" t="s">
        <v>5727</v>
      </c>
      <c r="E770" s="6" t="s">
        <v>5728</v>
      </c>
      <c r="F770" s="6" t="s">
        <v>13</v>
      </c>
      <c r="G770" s="6" t="s">
        <v>5968</v>
      </c>
      <c r="H770" s="6" t="s">
        <v>3</v>
      </c>
      <c r="I770" s="6" t="s">
        <v>5729</v>
      </c>
      <c r="J770" s="6"/>
      <c r="K770" s="6"/>
      <c r="L770" s="6" t="s">
        <v>5730</v>
      </c>
      <c r="M770" s="6"/>
      <c r="N770" s="6" t="s">
        <v>5731</v>
      </c>
      <c r="O770" s="6" t="str">
        <f>HYPERLINK("https://ceds.ed.gov/cedselementdetails.aspx?termid=5279")</f>
        <v>https://ceds.ed.gov/cedselementdetails.aspx?termid=5279</v>
      </c>
      <c r="P770" s="6" t="str">
        <f>HYPERLINK("https://ceds.ed.gov/elementComment.aspx?elementName=Telephone Number &amp;elementID=5279", "Click here to submit comment")</f>
        <v>Click here to submit comment</v>
      </c>
    </row>
    <row r="771" spans="1:16" ht="135">
      <c r="A771" s="6" t="s">
        <v>6788</v>
      </c>
      <c r="B771" s="6" t="s">
        <v>6800</v>
      </c>
      <c r="C771" s="6" t="s">
        <v>6721</v>
      </c>
      <c r="D771" s="6" t="s">
        <v>5732</v>
      </c>
      <c r="E771" s="6" t="s">
        <v>5733</v>
      </c>
      <c r="F771" s="7" t="s">
        <v>6675</v>
      </c>
      <c r="G771" s="6" t="s">
        <v>5968</v>
      </c>
      <c r="H771" s="6" t="s">
        <v>3</v>
      </c>
      <c r="I771" s="6" t="s">
        <v>2844</v>
      </c>
      <c r="J771" s="6"/>
      <c r="K771" s="6"/>
      <c r="L771" s="6" t="s">
        <v>5734</v>
      </c>
      <c r="M771" s="6"/>
      <c r="N771" s="6" t="s">
        <v>5735</v>
      </c>
      <c r="O771" s="6" t="str">
        <f>HYPERLINK("https://ceds.ed.gov/cedselementdetails.aspx?termid=5280")</f>
        <v>https://ceds.ed.gov/cedselementdetails.aspx?termid=5280</v>
      </c>
      <c r="P771" s="6" t="str">
        <f>HYPERLINK("https://ceds.ed.gov/elementComment.aspx?elementName=Telephone Number Type &amp;elementID=5280", "Click here to submit comment")</f>
        <v>Click here to submit comment</v>
      </c>
    </row>
    <row r="772" spans="1:16" ht="90">
      <c r="A772" s="6" t="s">
        <v>6788</v>
      </c>
      <c r="B772" s="6" t="s">
        <v>6800</v>
      </c>
      <c r="C772" s="6" t="s">
        <v>6721</v>
      </c>
      <c r="D772" s="6" t="s">
        <v>4591</v>
      </c>
      <c r="E772" s="6" t="s">
        <v>4592</v>
      </c>
      <c r="F772" s="6" t="s">
        <v>5963</v>
      </c>
      <c r="G772" s="6" t="s">
        <v>5968</v>
      </c>
      <c r="H772" s="6" t="s">
        <v>3</v>
      </c>
      <c r="I772" s="6"/>
      <c r="J772" s="6"/>
      <c r="K772" s="6"/>
      <c r="L772" s="6" t="s">
        <v>4593</v>
      </c>
      <c r="M772" s="6"/>
      <c r="N772" s="6" t="s">
        <v>4594</v>
      </c>
      <c r="O772" s="6" t="str">
        <f>HYPERLINK("https://ceds.ed.gov/cedselementdetails.aspx?termid=5219")</f>
        <v>https://ceds.ed.gov/cedselementdetails.aspx?termid=5219</v>
      </c>
      <c r="P772" s="6" t="str">
        <f>HYPERLINK("https://ceds.ed.gov/elementComment.aspx?elementName=Primary Telephone Number Indicator &amp;elementID=5219", "Click here to submit comment")</f>
        <v>Click here to submit comment</v>
      </c>
    </row>
    <row r="773" spans="1:16" ht="120">
      <c r="A773" s="6" t="s">
        <v>6788</v>
      </c>
      <c r="B773" s="6" t="s">
        <v>6800</v>
      </c>
      <c r="C773" s="6" t="s">
        <v>6737</v>
      </c>
      <c r="D773" s="6" t="s">
        <v>2670</v>
      </c>
      <c r="E773" s="6" t="s">
        <v>2671</v>
      </c>
      <c r="F773" s="7" t="s">
        <v>6508</v>
      </c>
      <c r="G773" s="6"/>
      <c r="H773" s="6" t="s">
        <v>54</v>
      </c>
      <c r="I773" s="6"/>
      <c r="J773" s="6"/>
      <c r="K773" s="6"/>
      <c r="L773" s="6" t="s">
        <v>2672</v>
      </c>
      <c r="M773" s="6"/>
      <c r="N773" s="6" t="s">
        <v>2673</v>
      </c>
      <c r="O773" s="6" t="str">
        <f>HYPERLINK("https://ceds.ed.gov/cedselementdetails.aspx?termid=6312")</f>
        <v>https://ceds.ed.gov/cedselementdetails.aspx?termid=6312</v>
      </c>
      <c r="P773" s="6" t="str">
        <f>HYPERLINK("https://ceds.ed.gov/elementComment.aspx?elementName=Financial Account Category &amp;elementID=6312", "Click here to submit comment")</f>
        <v>Click here to submit comment</v>
      </c>
    </row>
    <row r="774" spans="1:16" ht="45">
      <c r="A774" s="6" t="s">
        <v>6788</v>
      </c>
      <c r="B774" s="6" t="s">
        <v>6800</v>
      </c>
      <c r="C774" s="6" t="s">
        <v>6737</v>
      </c>
      <c r="D774" s="6" t="s">
        <v>2674</v>
      </c>
      <c r="E774" s="6" t="s">
        <v>2675</v>
      </c>
      <c r="F774" s="6" t="s">
        <v>13</v>
      </c>
      <c r="G774" s="6"/>
      <c r="H774" s="6" t="s">
        <v>54</v>
      </c>
      <c r="I774" s="6" t="s">
        <v>93</v>
      </c>
      <c r="J774" s="6"/>
      <c r="K774" s="6"/>
      <c r="L774" s="6" t="s">
        <v>2676</v>
      </c>
      <c r="M774" s="6"/>
      <c r="N774" s="6" t="s">
        <v>2677</v>
      </c>
      <c r="O774" s="6" t="str">
        <f>HYPERLINK("https://ceds.ed.gov/cedselementdetails.aspx?termid=6313")</f>
        <v>https://ceds.ed.gov/cedselementdetails.aspx?termid=6313</v>
      </c>
      <c r="P774" s="6" t="str">
        <f>HYPERLINK("https://ceds.ed.gov/elementComment.aspx?elementName=Financial Account Description &amp;elementID=6313", "Click here to submit comment")</f>
        <v>Click here to submit comment</v>
      </c>
    </row>
    <row r="775" spans="1:16" ht="150">
      <c r="A775" s="6" t="s">
        <v>6788</v>
      </c>
      <c r="B775" s="6" t="s">
        <v>6800</v>
      </c>
      <c r="C775" s="6" t="s">
        <v>6737</v>
      </c>
      <c r="D775" s="6" t="s">
        <v>2678</v>
      </c>
      <c r="E775" s="6" t="s">
        <v>2679</v>
      </c>
      <c r="F775" s="7" t="s">
        <v>6509</v>
      </c>
      <c r="G775" s="6"/>
      <c r="H775" s="6" t="s">
        <v>54</v>
      </c>
      <c r="I775" s="6"/>
      <c r="J775" s="6"/>
      <c r="K775" s="6" t="s">
        <v>2680</v>
      </c>
      <c r="L775" s="6" t="s">
        <v>2681</v>
      </c>
      <c r="M775" s="6"/>
      <c r="N775" s="6" t="s">
        <v>2682</v>
      </c>
      <c r="O775" s="6" t="str">
        <f>HYPERLINK("https://ceds.ed.gov/cedselementdetails.aspx?termid=6314")</f>
        <v>https://ceds.ed.gov/cedselementdetails.aspx?termid=6314</v>
      </c>
      <c r="P775" s="6" t="str">
        <f>HYPERLINK("https://ceds.ed.gov/elementComment.aspx?elementName=Financial Account Fund Classification &amp;elementID=6314", "Click here to submit comment")</f>
        <v>Click here to submit comment</v>
      </c>
    </row>
    <row r="776" spans="1:16" ht="45">
      <c r="A776" s="6" t="s">
        <v>6788</v>
      </c>
      <c r="B776" s="6" t="s">
        <v>6800</v>
      </c>
      <c r="C776" s="6" t="s">
        <v>6737</v>
      </c>
      <c r="D776" s="6" t="s">
        <v>2683</v>
      </c>
      <c r="E776" s="6" t="s">
        <v>2684</v>
      </c>
      <c r="F776" s="6" t="s">
        <v>13</v>
      </c>
      <c r="G776" s="6"/>
      <c r="H776" s="6" t="s">
        <v>54</v>
      </c>
      <c r="I776" s="6" t="s">
        <v>745</v>
      </c>
      <c r="J776" s="6"/>
      <c r="K776" s="6"/>
      <c r="L776" s="6" t="s">
        <v>2685</v>
      </c>
      <c r="M776" s="6"/>
      <c r="N776" s="6" t="s">
        <v>2686</v>
      </c>
      <c r="O776" s="6" t="str">
        <f>HYPERLINK("https://ceds.ed.gov/cedselementdetails.aspx?termid=6315")</f>
        <v>https://ceds.ed.gov/cedselementdetails.aspx?termid=6315</v>
      </c>
      <c r="P776" s="6" t="str">
        <f>HYPERLINK("https://ceds.ed.gov/elementComment.aspx?elementName=Financial Account Name &amp;elementID=6315", "Click here to submit comment")</f>
        <v>Click here to submit comment</v>
      </c>
    </row>
    <row r="777" spans="1:16" ht="315">
      <c r="A777" s="6" t="s">
        <v>6788</v>
      </c>
      <c r="B777" s="6" t="s">
        <v>6800</v>
      </c>
      <c r="C777" s="6" t="s">
        <v>6737</v>
      </c>
      <c r="D777" s="6" t="s">
        <v>2687</v>
      </c>
      <c r="E777" s="6" t="s">
        <v>2688</v>
      </c>
      <c r="F777" s="7" t="s">
        <v>6510</v>
      </c>
      <c r="G777" s="6"/>
      <c r="H777" s="6" t="s">
        <v>54</v>
      </c>
      <c r="I777" s="6"/>
      <c r="J777" s="6"/>
      <c r="K777" s="6"/>
      <c r="L777" s="6" t="s">
        <v>2689</v>
      </c>
      <c r="M777" s="6"/>
      <c r="N777" s="6" t="s">
        <v>2690</v>
      </c>
      <c r="O777" s="6" t="str">
        <f>HYPERLINK("https://ceds.ed.gov/cedselementdetails.aspx?termid=6316")</f>
        <v>https://ceds.ed.gov/cedselementdetails.aspx?termid=6316</v>
      </c>
      <c r="P777" s="6" t="str">
        <f>HYPERLINK("https://ceds.ed.gov/elementComment.aspx?elementName=Financial Account Program Code &amp;elementID=6316", "Click here to submit comment")</f>
        <v>Click here to submit comment</v>
      </c>
    </row>
    <row r="778" spans="1:16" ht="45">
      <c r="A778" s="6" t="s">
        <v>6788</v>
      </c>
      <c r="B778" s="6" t="s">
        <v>6800</v>
      </c>
      <c r="C778" s="6" t="s">
        <v>6737</v>
      </c>
      <c r="D778" s="6" t="s">
        <v>2691</v>
      </c>
      <c r="E778" s="6" t="s">
        <v>2692</v>
      </c>
      <c r="F778" s="6" t="s">
        <v>13</v>
      </c>
      <c r="G778" s="6"/>
      <c r="H778" s="6" t="s">
        <v>54</v>
      </c>
      <c r="I778" s="6" t="s">
        <v>1461</v>
      </c>
      <c r="J778" s="6"/>
      <c r="K778" s="6"/>
      <c r="L778" s="6" t="s">
        <v>2693</v>
      </c>
      <c r="M778" s="6"/>
      <c r="N778" s="6" t="s">
        <v>2694</v>
      </c>
      <c r="O778" s="6" t="str">
        <f>HYPERLINK("https://ceds.ed.gov/cedselementdetails.aspx?termid=6317")</f>
        <v>https://ceds.ed.gov/cedselementdetails.aspx?termid=6317</v>
      </c>
      <c r="P778" s="6" t="str">
        <f>HYPERLINK("https://ceds.ed.gov/elementComment.aspx?elementName=Financial Accounting Period Actual Value &amp;elementID=6317", "Click here to submit comment")</f>
        <v>Click here to submit comment</v>
      </c>
    </row>
    <row r="779" spans="1:16" ht="45">
      <c r="A779" s="6" t="s">
        <v>6788</v>
      </c>
      <c r="B779" s="6" t="s">
        <v>6800</v>
      </c>
      <c r="C779" s="6" t="s">
        <v>6737</v>
      </c>
      <c r="D779" s="6" t="s">
        <v>2695</v>
      </c>
      <c r="E779" s="6" t="s">
        <v>2696</v>
      </c>
      <c r="F779" s="6" t="s">
        <v>13</v>
      </c>
      <c r="G779" s="6"/>
      <c r="H779" s="6" t="s">
        <v>54</v>
      </c>
      <c r="I779" s="6" t="s">
        <v>1461</v>
      </c>
      <c r="J779" s="6"/>
      <c r="K779" s="6"/>
      <c r="L779" s="6" t="s">
        <v>2697</v>
      </c>
      <c r="M779" s="6"/>
      <c r="N779" s="6" t="s">
        <v>2698</v>
      </c>
      <c r="O779" s="6" t="str">
        <f>HYPERLINK("https://ceds.ed.gov/cedselementdetails.aspx?termid=6318")</f>
        <v>https://ceds.ed.gov/cedselementdetails.aspx?termid=6318</v>
      </c>
      <c r="P779" s="6" t="str">
        <f>HYPERLINK("https://ceds.ed.gov/elementComment.aspx?elementName=Financial Accounting Period Budgeted Value &amp;elementID=6318", "Click here to submit comment")</f>
        <v>Click here to submit comment</v>
      </c>
    </row>
    <row r="780" spans="1:16" ht="409.5">
      <c r="A780" s="6" t="s">
        <v>6788</v>
      </c>
      <c r="B780" s="6" t="s">
        <v>6800</v>
      </c>
      <c r="C780" s="6" t="s">
        <v>6737</v>
      </c>
      <c r="D780" s="6" t="s">
        <v>2730</v>
      </c>
      <c r="E780" s="6" t="s">
        <v>2731</v>
      </c>
      <c r="F780" s="7" t="s">
        <v>6513</v>
      </c>
      <c r="G780" s="6"/>
      <c r="H780" s="6" t="s">
        <v>54</v>
      </c>
      <c r="I780" s="6"/>
      <c r="J780" s="6"/>
      <c r="K780" s="6" t="s">
        <v>2732</v>
      </c>
      <c r="L780" s="6" t="s">
        <v>2733</v>
      </c>
      <c r="M780" s="6"/>
      <c r="N780" s="6" t="s">
        <v>2734</v>
      </c>
      <c r="O780" s="6" t="str">
        <f>HYPERLINK("https://ceds.ed.gov/cedselementdetails.aspx?termid=6320")</f>
        <v>https://ceds.ed.gov/cedselementdetails.aspx?termid=6320</v>
      </c>
      <c r="P780" s="6" t="str">
        <f>HYPERLINK("https://ceds.ed.gov/elementComment.aspx?elementName=Financial Balance Sheet Account Code &amp;elementID=6320", "Click here to submit comment")</f>
        <v>Click here to submit comment</v>
      </c>
    </row>
    <row r="781" spans="1:16" ht="409.5">
      <c r="A781" s="6" t="s">
        <v>6788</v>
      </c>
      <c r="B781" s="6" t="s">
        <v>6800</v>
      </c>
      <c r="C781" s="6" t="s">
        <v>6737</v>
      </c>
      <c r="D781" s="6" t="s">
        <v>2735</v>
      </c>
      <c r="E781" s="6" t="s">
        <v>2736</v>
      </c>
      <c r="F781" s="7" t="s">
        <v>6514</v>
      </c>
      <c r="G781" s="6"/>
      <c r="H781" s="6" t="s">
        <v>54</v>
      </c>
      <c r="I781" s="6"/>
      <c r="J781" s="6"/>
      <c r="K781" s="6" t="s">
        <v>2732</v>
      </c>
      <c r="L781" s="6" t="s">
        <v>2737</v>
      </c>
      <c r="M781" s="6"/>
      <c r="N781" s="6" t="s">
        <v>2738</v>
      </c>
      <c r="O781" s="6" t="str">
        <f>HYPERLINK("https://ceds.ed.gov/cedselementdetails.aspx?termid=6321")</f>
        <v>https://ceds.ed.gov/cedselementdetails.aspx?termid=6321</v>
      </c>
      <c r="P781" s="6" t="str">
        <f>HYPERLINK("https://ceds.ed.gov/elementComment.aspx?elementName=Financial Expenditure Function Code &amp;elementID=6321", "Click here to submit comment")</f>
        <v>Click here to submit comment</v>
      </c>
    </row>
    <row r="782" spans="1:16" ht="409.5">
      <c r="A782" s="6" t="s">
        <v>6788</v>
      </c>
      <c r="B782" s="6" t="s">
        <v>6800</v>
      </c>
      <c r="C782" s="6" t="s">
        <v>6737</v>
      </c>
      <c r="D782" s="6" t="s">
        <v>2739</v>
      </c>
      <c r="E782" s="6" t="s">
        <v>2740</v>
      </c>
      <c r="F782" s="7" t="s">
        <v>6515</v>
      </c>
      <c r="G782" s="6"/>
      <c r="H782" s="6" t="s">
        <v>54</v>
      </c>
      <c r="I782" s="6"/>
      <c r="J782" s="6"/>
      <c r="K782" s="6" t="s">
        <v>2741</v>
      </c>
      <c r="L782" s="6" t="s">
        <v>2742</v>
      </c>
      <c r="M782" s="6"/>
      <c r="N782" s="6" t="s">
        <v>2743</v>
      </c>
      <c r="O782" s="6" t="str">
        <f>HYPERLINK("https://ceds.ed.gov/cedselementdetails.aspx?termid=6322")</f>
        <v>https://ceds.ed.gov/cedselementdetails.aspx?termid=6322</v>
      </c>
      <c r="P782" s="6" t="str">
        <f>HYPERLINK("https://ceds.ed.gov/elementComment.aspx?elementName=Financial Expenditure Object Code &amp;elementID=6322", "Click here to submit comment")</f>
        <v>Click here to submit comment</v>
      </c>
    </row>
    <row r="783" spans="1:16" ht="75">
      <c r="A783" s="6" t="s">
        <v>6788</v>
      </c>
      <c r="B783" s="6" t="s">
        <v>6800</v>
      </c>
      <c r="C783" s="6" t="s">
        <v>6792</v>
      </c>
      <c r="D783" s="6" t="s">
        <v>216</v>
      </c>
      <c r="E783" s="6" t="s">
        <v>217</v>
      </c>
      <c r="F783" s="7" t="s">
        <v>6356</v>
      </c>
      <c r="G783" s="6" t="s">
        <v>218</v>
      </c>
      <c r="H783" s="6"/>
      <c r="I783" s="6"/>
      <c r="J783" s="6"/>
      <c r="K783" s="6"/>
      <c r="L783" s="6" t="s">
        <v>219</v>
      </c>
      <c r="M783" s="6" t="s">
        <v>220</v>
      </c>
      <c r="N783" s="6" t="s">
        <v>221</v>
      </c>
      <c r="O783" s="6" t="str">
        <f>HYPERLINK("https://ceds.ed.gov/cedselementdetails.aspx?termid=5011")</f>
        <v>https://ceds.ed.gov/cedselementdetails.aspx?termid=5011</v>
      </c>
      <c r="P783" s="6" t="str">
        <f>HYPERLINK("https://ceds.ed.gov/elementComment.aspx?elementName=Adequate Yearly Progress Status &amp;elementID=5011", "Click here to submit comment")</f>
        <v>Click here to submit comment</v>
      </c>
    </row>
    <row r="784" spans="1:16" ht="105">
      <c r="A784" s="6" t="s">
        <v>6788</v>
      </c>
      <c r="B784" s="6" t="s">
        <v>6800</v>
      </c>
      <c r="C784" s="6" t="s">
        <v>6792</v>
      </c>
      <c r="D784" s="6" t="s">
        <v>361</v>
      </c>
      <c r="E784" s="6" t="s">
        <v>362</v>
      </c>
      <c r="F784" s="7" t="s">
        <v>6374</v>
      </c>
      <c r="G784" s="6" t="s">
        <v>218</v>
      </c>
      <c r="H784" s="6"/>
      <c r="I784" s="6"/>
      <c r="J784" s="6"/>
      <c r="K784" s="6"/>
      <c r="L784" s="6" t="s">
        <v>363</v>
      </c>
      <c r="M784" s="6" t="s">
        <v>364</v>
      </c>
      <c r="N784" s="6" t="s">
        <v>365</v>
      </c>
      <c r="O784" s="6" t="str">
        <f>HYPERLINK("https://ceds.ed.gov/cedselementdetails.aspx?termid=5572")</f>
        <v>https://ceds.ed.gov/cedselementdetails.aspx?termid=5572</v>
      </c>
      <c r="P784" s="6" t="str">
        <f>HYPERLINK("https://ceds.ed.gov/elementComment.aspx?elementName=Annual Measurable Achievement Objective AYP Progress Attainment Status for LEP Students &amp;elementID=5572", "Click here to submit comment")</f>
        <v>Click here to submit comment</v>
      </c>
    </row>
    <row r="785" spans="1:16" ht="105">
      <c r="A785" s="6" t="s">
        <v>6788</v>
      </c>
      <c r="B785" s="6" t="s">
        <v>6800</v>
      </c>
      <c r="C785" s="6" t="s">
        <v>6792</v>
      </c>
      <c r="D785" s="6" t="s">
        <v>366</v>
      </c>
      <c r="E785" s="6" t="s">
        <v>367</v>
      </c>
      <c r="F785" s="7" t="s">
        <v>6374</v>
      </c>
      <c r="G785" s="6" t="s">
        <v>218</v>
      </c>
      <c r="H785" s="6"/>
      <c r="I785" s="6"/>
      <c r="J785" s="6"/>
      <c r="K785" s="6"/>
      <c r="L785" s="6" t="s">
        <v>368</v>
      </c>
      <c r="M785" s="6" t="s">
        <v>369</v>
      </c>
      <c r="N785" s="6" t="s">
        <v>370</v>
      </c>
      <c r="O785" s="6" t="str">
        <f>HYPERLINK("https://ceds.ed.gov/cedselementdetails.aspx?termid=5535")</f>
        <v>https://ceds.ed.gov/cedselementdetails.aspx?termid=5535</v>
      </c>
      <c r="P785" s="6" t="str">
        <f>HYPERLINK("https://ceds.ed.gov/elementComment.aspx?elementName=Annual Measurable Achievement Objective Proficiency Attainment Status for LEP Students &amp;elementID=5535", "Click here to submit comment")</f>
        <v>Click here to submit comment</v>
      </c>
    </row>
    <row r="786" spans="1:16" ht="105">
      <c r="A786" s="6" t="s">
        <v>6788</v>
      </c>
      <c r="B786" s="6" t="s">
        <v>6800</v>
      </c>
      <c r="C786" s="6" t="s">
        <v>6792</v>
      </c>
      <c r="D786" s="6" t="s">
        <v>371</v>
      </c>
      <c r="E786" s="6" t="s">
        <v>372</v>
      </c>
      <c r="F786" s="7" t="s">
        <v>6374</v>
      </c>
      <c r="G786" s="6" t="s">
        <v>218</v>
      </c>
      <c r="H786" s="6"/>
      <c r="I786" s="6"/>
      <c r="J786" s="6"/>
      <c r="K786" s="6"/>
      <c r="L786" s="6" t="s">
        <v>373</v>
      </c>
      <c r="M786" s="6" t="s">
        <v>374</v>
      </c>
      <c r="N786" s="6" t="s">
        <v>375</v>
      </c>
      <c r="O786" s="6" t="str">
        <f>HYPERLINK("https://ceds.ed.gov/cedselementdetails.aspx?termid=5545")</f>
        <v>https://ceds.ed.gov/cedselementdetails.aspx?termid=5545</v>
      </c>
      <c r="P786" s="6" t="str">
        <f>HYPERLINK("https://ceds.ed.gov/elementComment.aspx?elementName=Annual Measurable Achievement Objective Progress Attainment Status for LEP Students &amp;elementID=5545", "Click here to submit comment")</f>
        <v>Click here to submit comment</v>
      </c>
    </row>
    <row r="787" spans="1:16" ht="105">
      <c r="A787" s="6" t="s">
        <v>6788</v>
      </c>
      <c r="B787" s="6" t="s">
        <v>6800</v>
      </c>
      <c r="C787" s="6" t="s">
        <v>6792</v>
      </c>
      <c r="D787" s="6" t="s">
        <v>1556</v>
      </c>
      <c r="E787" s="6" t="s">
        <v>1557</v>
      </c>
      <c r="F787" s="7" t="s">
        <v>6414</v>
      </c>
      <c r="G787" s="6" t="s">
        <v>218</v>
      </c>
      <c r="H787" s="6"/>
      <c r="I787" s="6"/>
      <c r="J787" s="6"/>
      <c r="K787" s="6"/>
      <c r="L787" s="6" t="s">
        <v>1559</v>
      </c>
      <c r="M787" s="6" t="s">
        <v>1560</v>
      </c>
      <c r="N787" s="6" t="s">
        <v>1561</v>
      </c>
      <c r="O787" s="6" t="str">
        <f>HYPERLINK("https://ceds.ed.gov/cedselementdetails.aspx?termid=5075")</f>
        <v>https://ceds.ed.gov/cedselementdetails.aspx?termid=5075</v>
      </c>
      <c r="P787" s="6" t="str">
        <f>HYPERLINK("https://ceds.ed.gov/elementComment.aspx?elementName=Career and Technical Education Graduation Rate Inclusion &amp;elementID=5075", "Click here to submit comment")</f>
        <v>Click here to submit comment</v>
      </c>
    </row>
    <row r="788" spans="1:16" ht="75">
      <c r="A788" s="6" t="s">
        <v>6788</v>
      </c>
      <c r="B788" s="6" t="s">
        <v>6800</v>
      </c>
      <c r="C788" s="6" t="s">
        <v>6793</v>
      </c>
      <c r="D788" s="6" t="s">
        <v>2653</v>
      </c>
      <c r="E788" s="6" t="s">
        <v>2654</v>
      </c>
      <c r="F788" s="6" t="s">
        <v>13</v>
      </c>
      <c r="G788" s="6" t="s">
        <v>218</v>
      </c>
      <c r="H788" s="6" t="s">
        <v>3</v>
      </c>
      <c r="I788" s="6"/>
      <c r="J788" s="6"/>
      <c r="K788" s="6"/>
      <c r="L788" s="6" t="s">
        <v>2655</v>
      </c>
      <c r="M788" s="6"/>
      <c r="N788" s="6" t="s">
        <v>2656</v>
      </c>
      <c r="O788" s="6" t="str">
        <f>HYPERLINK("https://ceds.ed.gov/cedselementdetails.aspx?termid=5538")</f>
        <v>https://ceds.ed.gov/cedselementdetails.aspx?termid=5538</v>
      </c>
      <c r="P788" s="6" t="str">
        <f>HYPERLINK("https://ceds.ed.gov/elementComment.aspx?elementName=Federal Program Code &amp;elementID=5538", "Click here to submit comment")</f>
        <v>Click here to submit comment</v>
      </c>
    </row>
    <row r="789" spans="1:16" ht="135">
      <c r="A789" s="6" t="s">
        <v>6788</v>
      </c>
      <c r="B789" s="6" t="s">
        <v>6800</v>
      </c>
      <c r="C789" s="6" t="s">
        <v>6793</v>
      </c>
      <c r="D789" s="6" t="s">
        <v>2657</v>
      </c>
      <c r="E789" s="6" t="s">
        <v>2658</v>
      </c>
      <c r="F789" s="6" t="s">
        <v>13</v>
      </c>
      <c r="G789" s="6" t="s">
        <v>218</v>
      </c>
      <c r="H789" s="6" t="s">
        <v>3</v>
      </c>
      <c r="I789" s="6" t="s">
        <v>1461</v>
      </c>
      <c r="J789" s="6"/>
      <c r="K789" s="6"/>
      <c r="L789" s="6" t="s">
        <v>2659</v>
      </c>
      <c r="M789" s="6"/>
      <c r="N789" s="6" t="s">
        <v>2660</v>
      </c>
      <c r="O789" s="6" t="str">
        <f>HYPERLINK("https://ceds.ed.gov/cedselementdetails.aspx?termid=5540")</f>
        <v>https://ceds.ed.gov/cedselementdetails.aspx?termid=5540</v>
      </c>
      <c r="P789" s="6" t="str">
        <f>HYPERLINK("https://ceds.ed.gov/elementComment.aspx?elementName=Federal Programs Funding Allocation &amp;elementID=5540", "Click here to submit comment")</f>
        <v>Click here to submit comment</v>
      </c>
    </row>
    <row r="790" spans="1:16" ht="165">
      <c r="A790" s="6" t="s">
        <v>6788</v>
      </c>
      <c r="B790" s="6" t="s">
        <v>6800</v>
      </c>
      <c r="C790" s="6" t="s">
        <v>6793</v>
      </c>
      <c r="D790" s="6" t="s">
        <v>2661</v>
      </c>
      <c r="E790" s="6" t="s">
        <v>2662</v>
      </c>
      <c r="F790" s="7" t="s">
        <v>6507</v>
      </c>
      <c r="G790" s="6"/>
      <c r="H790" s="6"/>
      <c r="I790" s="6"/>
      <c r="J790" s="6"/>
      <c r="K790" s="6"/>
      <c r="L790" s="6" t="s">
        <v>2663</v>
      </c>
      <c r="M790" s="6"/>
      <c r="N790" s="6" t="s">
        <v>2664</v>
      </c>
      <c r="O790" s="6" t="str">
        <f>HYPERLINK("https://ceds.ed.gov/cedselementdetails.aspx?termid=5539")</f>
        <v>https://ceds.ed.gov/cedselementdetails.aspx?termid=5539</v>
      </c>
      <c r="P790" s="6" t="str">
        <f>HYPERLINK("https://ceds.ed.gov/elementComment.aspx?elementName=Federal Programs Funding Allocation Type &amp;elementID=5539", "Click here to submit comment")</f>
        <v>Click here to submit comment</v>
      </c>
    </row>
    <row r="791" spans="1:16" ht="45">
      <c r="A791" s="6" t="s">
        <v>6788</v>
      </c>
      <c r="B791" s="6" t="s">
        <v>6800</v>
      </c>
      <c r="C791" s="6" t="s">
        <v>6793</v>
      </c>
      <c r="D791" s="6" t="s">
        <v>5588</v>
      </c>
      <c r="E791" s="6" t="s">
        <v>5589</v>
      </c>
      <c r="F791" s="6" t="s">
        <v>5963</v>
      </c>
      <c r="G791" s="6" t="s">
        <v>207</v>
      </c>
      <c r="H791" s="6"/>
      <c r="I791" s="6"/>
      <c r="J791" s="6"/>
      <c r="K791" s="6"/>
      <c r="L791" s="6" t="s">
        <v>5590</v>
      </c>
      <c r="M791" s="6"/>
      <c r="N791" s="6" t="s">
        <v>5591</v>
      </c>
      <c r="O791" s="6" t="str">
        <f>HYPERLINK("https://ceds.ed.gov/cedselementdetails.aspx?termid=5435")</f>
        <v>https://ceds.ed.gov/cedselementdetails.aspx?termid=5435</v>
      </c>
      <c r="P791" s="6" t="str">
        <f>HYPERLINK("https://ceds.ed.gov/elementComment.aspx?elementName=State Transferability of Funds &amp;elementID=5435", "Click here to submit comment")</f>
        <v>Click here to submit comment</v>
      </c>
    </row>
    <row r="792" spans="1:16" ht="45">
      <c r="A792" s="6" t="s">
        <v>6788</v>
      </c>
      <c r="B792" s="6" t="s">
        <v>6800</v>
      </c>
      <c r="C792" s="6" t="s">
        <v>6793</v>
      </c>
      <c r="D792" s="6" t="s">
        <v>2101</v>
      </c>
      <c r="E792" s="6" t="s">
        <v>2102</v>
      </c>
      <c r="F792" s="6" t="s">
        <v>13</v>
      </c>
      <c r="G792" s="6" t="s">
        <v>207</v>
      </c>
      <c r="H792" s="6"/>
      <c r="I792" s="6" t="s">
        <v>73</v>
      </c>
      <c r="J792" s="6"/>
      <c r="K792" s="6"/>
      <c r="L792" s="6" t="s">
        <v>2104</v>
      </c>
      <c r="M792" s="6"/>
      <c r="N792" s="6" t="s">
        <v>2105</v>
      </c>
      <c r="O792" s="6" t="str">
        <f>HYPERLINK("https://ceds.ed.gov/cedselementdetails.aspx?termid=5445")</f>
        <v>https://ceds.ed.gov/cedselementdetails.aspx?termid=5445</v>
      </c>
      <c r="P792" s="6" t="str">
        <f>HYPERLINK("https://ceds.ed.gov/elementComment.aspx?elementName=Date State Received Title III Allocation &amp;elementID=5445", "Click here to submit comment")</f>
        <v>Click here to submit comment</v>
      </c>
    </row>
    <row r="793" spans="1:16" ht="45">
      <c r="A793" s="6" t="s">
        <v>6788</v>
      </c>
      <c r="B793" s="6" t="s">
        <v>6800</v>
      </c>
      <c r="C793" s="6" t="s">
        <v>6793</v>
      </c>
      <c r="D793" s="6" t="s">
        <v>2106</v>
      </c>
      <c r="E793" s="6" t="s">
        <v>2107</v>
      </c>
      <c r="F793" s="6" t="s">
        <v>13</v>
      </c>
      <c r="G793" s="6" t="s">
        <v>207</v>
      </c>
      <c r="H793" s="6"/>
      <c r="I793" s="6" t="s">
        <v>73</v>
      </c>
      <c r="J793" s="6"/>
      <c r="K793" s="6"/>
      <c r="L793" s="6" t="s">
        <v>2108</v>
      </c>
      <c r="M793" s="6"/>
      <c r="N793" s="6" t="s">
        <v>2109</v>
      </c>
      <c r="O793" s="6" t="str">
        <f>HYPERLINK("https://ceds.ed.gov/cedselementdetails.aspx?termid=5446")</f>
        <v>https://ceds.ed.gov/cedselementdetails.aspx?termid=5446</v>
      </c>
      <c r="P793" s="6" t="str">
        <f>HYPERLINK("https://ceds.ed.gov/elementComment.aspx?elementName=Date Title III Funds Available to Subgrantees &amp;elementID=5446", "Click here to submit comment")</f>
        <v>Click here to submit comment</v>
      </c>
    </row>
    <row r="794" spans="1:16" ht="90">
      <c r="A794" s="6" t="s">
        <v>6788</v>
      </c>
      <c r="B794" s="6" t="s">
        <v>6800</v>
      </c>
      <c r="C794" s="6" t="s">
        <v>6793</v>
      </c>
      <c r="D794" s="6" t="s">
        <v>4265</v>
      </c>
      <c r="E794" s="6" t="s">
        <v>4266</v>
      </c>
      <c r="F794" s="6" t="s">
        <v>13</v>
      </c>
      <c r="G794" s="6" t="s">
        <v>207</v>
      </c>
      <c r="H794" s="6"/>
      <c r="I794" s="6" t="s">
        <v>1461</v>
      </c>
      <c r="J794" s="6"/>
      <c r="K794" s="6"/>
      <c r="L794" s="6" t="s">
        <v>4267</v>
      </c>
      <c r="M794" s="6"/>
      <c r="N794" s="6" t="s">
        <v>4268</v>
      </c>
      <c r="O794" s="6" t="str">
        <f>HYPERLINK("https://ceds.ed.gov/cedselementdetails.aspx?termid=5447")</f>
        <v>https://ceds.ed.gov/cedselementdetails.aspx?termid=5447</v>
      </c>
      <c r="P794" s="6" t="str">
        <f>HYPERLINK("https://ceds.ed.gov/elementComment.aspx?elementName=Number of Days for Title III Subgrants &amp;elementID=5447", "Click here to submit comment")</f>
        <v>Click here to submit comment</v>
      </c>
    </row>
    <row r="795" spans="1:16" ht="409.5">
      <c r="A795" s="6" t="s">
        <v>6788</v>
      </c>
      <c r="B795" s="6" t="s">
        <v>6800</v>
      </c>
      <c r="C795" s="6" t="s">
        <v>6793</v>
      </c>
      <c r="D795" s="6" t="s">
        <v>5871</v>
      </c>
      <c r="E795" s="6" t="s">
        <v>5872</v>
      </c>
      <c r="F795" s="7" t="s">
        <v>6690</v>
      </c>
      <c r="G795" s="6" t="s">
        <v>207</v>
      </c>
      <c r="H795" s="6"/>
      <c r="I795" s="6"/>
      <c r="J795" s="6"/>
      <c r="K795" s="6"/>
      <c r="L795" s="6" t="s">
        <v>5873</v>
      </c>
      <c r="M795" s="6"/>
      <c r="N795" s="6" t="s">
        <v>5874</v>
      </c>
      <c r="O795" s="6" t="str">
        <f>HYPERLINK("https://ceds.ed.gov/cedselementdetails.aspx?termid=5449")</f>
        <v>https://ceds.ed.gov/cedselementdetails.aspx?termid=5449</v>
      </c>
      <c r="P795" s="6" t="str">
        <f>HYPERLINK("https://ceds.ed.gov/elementComment.aspx?elementName=Uses of Funds for Purposes other than Standards and Assessment Development &amp;elementID=5449", "Click here to submit comment")</f>
        <v>Click here to submit comment</v>
      </c>
    </row>
    <row r="796" spans="1:16" ht="195">
      <c r="A796" s="6" t="s">
        <v>6788</v>
      </c>
      <c r="B796" s="6" t="s">
        <v>6804</v>
      </c>
      <c r="C796" s="6" t="s">
        <v>6717</v>
      </c>
      <c r="D796" s="6" t="s">
        <v>2776</v>
      </c>
      <c r="E796" s="6" t="s">
        <v>2777</v>
      </c>
      <c r="F796" s="6" t="s">
        <v>13</v>
      </c>
      <c r="G796" s="6" t="s">
        <v>6176</v>
      </c>
      <c r="H796" s="6" t="s">
        <v>3</v>
      </c>
      <c r="I796" s="6" t="s">
        <v>1368</v>
      </c>
      <c r="J796" s="6"/>
      <c r="K796" s="6" t="s">
        <v>2778</v>
      </c>
      <c r="L796" s="6" t="s">
        <v>2779</v>
      </c>
      <c r="M796" s="6"/>
      <c r="N796" s="6" t="s">
        <v>2780</v>
      </c>
      <c r="O796" s="6" t="str">
        <f>HYPERLINK("https://ceds.ed.gov/cedselementdetails.aspx?termid=5115")</f>
        <v>https://ceds.ed.gov/cedselementdetails.aspx?termid=5115</v>
      </c>
      <c r="P796" s="6" t="str">
        <f>HYPERLINK("https://ceds.ed.gov/elementComment.aspx?elementName=First Name &amp;elementID=5115", "Click here to submit comment")</f>
        <v>Click here to submit comment</v>
      </c>
    </row>
    <row r="797" spans="1:16" ht="195">
      <c r="A797" s="6" t="s">
        <v>6788</v>
      </c>
      <c r="B797" s="6" t="s">
        <v>6804</v>
      </c>
      <c r="C797" s="6" t="s">
        <v>6717</v>
      </c>
      <c r="D797" s="6" t="s">
        <v>4088</v>
      </c>
      <c r="E797" s="6" t="s">
        <v>4089</v>
      </c>
      <c r="F797" s="6" t="s">
        <v>13</v>
      </c>
      <c r="G797" s="6" t="s">
        <v>6176</v>
      </c>
      <c r="H797" s="6" t="s">
        <v>3</v>
      </c>
      <c r="I797" s="6" t="s">
        <v>1368</v>
      </c>
      <c r="J797" s="6"/>
      <c r="K797" s="6" t="s">
        <v>2778</v>
      </c>
      <c r="L797" s="6" t="s">
        <v>4090</v>
      </c>
      <c r="M797" s="6"/>
      <c r="N797" s="6" t="s">
        <v>4091</v>
      </c>
      <c r="O797" s="6" t="str">
        <f>HYPERLINK("https://ceds.ed.gov/cedselementdetails.aspx?termid=5184")</f>
        <v>https://ceds.ed.gov/cedselementdetails.aspx?termid=5184</v>
      </c>
      <c r="P797" s="6" t="str">
        <f>HYPERLINK("https://ceds.ed.gov/elementComment.aspx?elementName=Middle Name &amp;elementID=5184", "Click here to submit comment")</f>
        <v>Click here to submit comment</v>
      </c>
    </row>
    <row r="798" spans="1:16" ht="195">
      <c r="A798" s="6" t="s">
        <v>6788</v>
      </c>
      <c r="B798" s="6" t="s">
        <v>6804</v>
      </c>
      <c r="C798" s="6" t="s">
        <v>6717</v>
      </c>
      <c r="D798" s="6" t="s">
        <v>3427</v>
      </c>
      <c r="E798" s="6" t="s">
        <v>3428</v>
      </c>
      <c r="F798" s="6" t="s">
        <v>13</v>
      </c>
      <c r="G798" s="6" t="s">
        <v>6176</v>
      </c>
      <c r="H798" s="6" t="s">
        <v>3</v>
      </c>
      <c r="I798" s="6" t="s">
        <v>1368</v>
      </c>
      <c r="J798" s="6"/>
      <c r="K798" s="6" t="s">
        <v>2778</v>
      </c>
      <c r="L798" s="6" t="s">
        <v>3429</v>
      </c>
      <c r="M798" s="6" t="s">
        <v>3430</v>
      </c>
      <c r="N798" s="6" t="s">
        <v>3431</v>
      </c>
      <c r="O798" s="6" t="str">
        <f>HYPERLINK("https://ceds.ed.gov/cedselementdetails.aspx?termid=5172")</f>
        <v>https://ceds.ed.gov/cedselementdetails.aspx?termid=5172</v>
      </c>
      <c r="P798" s="6" t="str">
        <f>HYPERLINK("https://ceds.ed.gov/elementComment.aspx?elementName=Last or Surname &amp;elementID=5172", "Click here to submit comment")</f>
        <v>Click here to submit comment</v>
      </c>
    </row>
    <row r="799" spans="1:16" ht="150">
      <c r="A799" s="6" t="s">
        <v>6788</v>
      </c>
      <c r="B799" s="6" t="s">
        <v>6804</v>
      </c>
      <c r="C799" s="6" t="s">
        <v>6717</v>
      </c>
      <c r="D799" s="6" t="s">
        <v>2829</v>
      </c>
      <c r="E799" s="6" t="s">
        <v>2830</v>
      </c>
      <c r="F799" s="6" t="s">
        <v>13</v>
      </c>
      <c r="G799" s="6" t="s">
        <v>6179</v>
      </c>
      <c r="H799" s="6" t="s">
        <v>3</v>
      </c>
      <c r="I799" s="6" t="s">
        <v>2031</v>
      </c>
      <c r="J799" s="6"/>
      <c r="K799" s="6" t="s">
        <v>2778</v>
      </c>
      <c r="L799" s="6" t="s">
        <v>2831</v>
      </c>
      <c r="M799" s="6"/>
      <c r="N799" s="6" t="s">
        <v>2832</v>
      </c>
      <c r="O799" s="6" t="str">
        <f>HYPERLINK("https://ceds.ed.gov/cedselementdetails.aspx?termid=5121")</f>
        <v>https://ceds.ed.gov/cedselementdetails.aspx?termid=5121</v>
      </c>
      <c r="P799" s="6" t="str">
        <f>HYPERLINK("https://ceds.ed.gov/elementComment.aspx?elementName=Generation Code or Suffix &amp;elementID=5121", "Click here to submit comment")</f>
        <v>Click here to submit comment</v>
      </c>
    </row>
    <row r="800" spans="1:16" ht="105">
      <c r="A800" s="6" t="s">
        <v>6788</v>
      </c>
      <c r="B800" s="6" t="s">
        <v>6804</v>
      </c>
      <c r="C800" s="6" t="s">
        <v>6717</v>
      </c>
      <c r="D800" s="6" t="s">
        <v>4498</v>
      </c>
      <c r="E800" s="6" t="s">
        <v>4499</v>
      </c>
      <c r="F800" s="6" t="s">
        <v>13</v>
      </c>
      <c r="G800" s="6" t="s">
        <v>6280</v>
      </c>
      <c r="H800" s="6" t="s">
        <v>3</v>
      </c>
      <c r="I800" s="6" t="s">
        <v>100</v>
      </c>
      <c r="J800" s="6"/>
      <c r="K800" s="6"/>
      <c r="L800" s="6" t="s">
        <v>4500</v>
      </c>
      <c r="M800" s="6" t="s">
        <v>4501</v>
      </c>
      <c r="N800" s="6" t="s">
        <v>4502</v>
      </c>
      <c r="O800" s="6" t="str">
        <f>HYPERLINK("https://ceds.ed.gov/cedselementdetails.aspx?termid=5212")</f>
        <v>https://ceds.ed.gov/cedselementdetails.aspx?termid=5212</v>
      </c>
      <c r="P800" s="6" t="str">
        <f>HYPERLINK("https://ceds.ed.gov/elementComment.aspx?elementName=Personal Title or Prefix &amp;elementID=5212", "Click here to submit comment")</f>
        <v>Click here to submit comment</v>
      </c>
    </row>
    <row r="801" spans="1:16" ht="30">
      <c r="A801" s="6" t="s">
        <v>6788</v>
      </c>
      <c r="B801" s="6" t="s">
        <v>6804</v>
      </c>
      <c r="C801" s="6" t="s">
        <v>6718</v>
      </c>
      <c r="D801" s="6" t="s">
        <v>4375</v>
      </c>
      <c r="E801" s="6" t="s">
        <v>4376</v>
      </c>
      <c r="F801" s="6" t="s">
        <v>13</v>
      </c>
      <c r="G801" s="6"/>
      <c r="H801" s="6" t="s">
        <v>54</v>
      </c>
      <c r="I801" s="6" t="s">
        <v>1368</v>
      </c>
      <c r="J801" s="6"/>
      <c r="K801" s="6" t="s">
        <v>4377</v>
      </c>
      <c r="L801" s="6" t="s">
        <v>4378</v>
      </c>
      <c r="M801" s="6"/>
      <c r="N801" s="6" t="s">
        <v>4379</v>
      </c>
      <c r="O801" s="6" t="str">
        <f>HYPERLINK("https://ceds.ed.gov/cedselementdetails.aspx?termid=6486")</f>
        <v>https://ceds.ed.gov/cedselementdetails.aspx?termid=6486</v>
      </c>
      <c r="P801" s="6" t="str">
        <f>HYPERLINK("https://ceds.ed.gov/elementComment.aspx?elementName=Other First Name &amp;elementID=6486", "Click here to submit comment")</f>
        <v>Click here to submit comment</v>
      </c>
    </row>
    <row r="802" spans="1:16" ht="30">
      <c r="A802" s="6" t="s">
        <v>6788</v>
      </c>
      <c r="B802" s="6" t="s">
        <v>6804</v>
      </c>
      <c r="C802" s="6" t="s">
        <v>6718</v>
      </c>
      <c r="D802" s="6" t="s">
        <v>4380</v>
      </c>
      <c r="E802" s="6" t="s">
        <v>4381</v>
      </c>
      <c r="F802" s="6" t="s">
        <v>13</v>
      </c>
      <c r="G802" s="6"/>
      <c r="H802" s="6" t="s">
        <v>54</v>
      </c>
      <c r="I802" s="6" t="s">
        <v>1368</v>
      </c>
      <c r="J802" s="6"/>
      <c r="K802" s="6" t="s">
        <v>4382</v>
      </c>
      <c r="L802" s="6" t="s">
        <v>4383</v>
      </c>
      <c r="M802" s="6"/>
      <c r="N802" s="6" t="s">
        <v>4384</v>
      </c>
      <c r="O802" s="6" t="str">
        <f>HYPERLINK("https://ceds.ed.gov/cedselementdetails.aspx?termid=6485")</f>
        <v>https://ceds.ed.gov/cedselementdetails.aspx?termid=6485</v>
      </c>
      <c r="P802" s="6" t="str">
        <f>HYPERLINK("https://ceds.ed.gov/elementComment.aspx?elementName=Other Last Name &amp;elementID=6485", "Click here to submit comment")</f>
        <v>Click here to submit comment</v>
      </c>
    </row>
    <row r="803" spans="1:16" ht="30">
      <c r="A803" s="6" t="s">
        <v>6788</v>
      </c>
      <c r="B803" s="6" t="s">
        <v>6804</v>
      </c>
      <c r="C803" s="6" t="s">
        <v>6718</v>
      </c>
      <c r="D803" s="6" t="s">
        <v>4385</v>
      </c>
      <c r="E803" s="6" t="s">
        <v>4386</v>
      </c>
      <c r="F803" s="6" t="s">
        <v>13</v>
      </c>
      <c r="G803" s="6"/>
      <c r="H803" s="6" t="s">
        <v>54</v>
      </c>
      <c r="I803" s="6" t="s">
        <v>1368</v>
      </c>
      <c r="J803" s="6"/>
      <c r="K803" s="6" t="s">
        <v>4387</v>
      </c>
      <c r="L803" s="6" t="s">
        <v>4388</v>
      </c>
      <c r="M803" s="6"/>
      <c r="N803" s="6" t="s">
        <v>4389</v>
      </c>
      <c r="O803" s="6" t="str">
        <f>HYPERLINK("https://ceds.ed.gov/cedselementdetails.aspx?termid=6487")</f>
        <v>https://ceds.ed.gov/cedselementdetails.aspx?termid=6487</v>
      </c>
      <c r="P803" s="6" t="str">
        <f>HYPERLINK("https://ceds.ed.gov/elementComment.aspx?elementName=Other Middle Name &amp;elementID=6487", "Click here to submit comment")</f>
        <v>Click here to submit comment</v>
      </c>
    </row>
    <row r="804" spans="1:16" ht="150">
      <c r="A804" s="6" t="s">
        <v>6788</v>
      </c>
      <c r="B804" s="6" t="s">
        <v>6804</v>
      </c>
      <c r="C804" s="6" t="s">
        <v>6718</v>
      </c>
      <c r="D804" s="6" t="s">
        <v>4390</v>
      </c>
      <c r="E804" s="6" t="s">
        <v>4391</v>
      </c>
      <c r="F804" s="6" t="s">
        <v>13</v>
      </c>
      <c r="G804" s="6" t="s">
        <v>6179</v>
      </c>
      <c r="H804" s="6" t="s">
        <v>3</v>
      </c>
      <c r="I804" s="6" t="s">
        <v>149</v>
      </c>
      <c r="J804" s="6"/>
      <c r="K804" s="6"/>
      <c r="L804" s="6" t="s">
        <v>4392</v>
      </c>
      <c r="M804" s="6"/>
      <c r="N804" s="6" t="s">
        <v>4393</v>
      </c>
      <c r="O804" s="6" t="str">
        <f>HYPERLINK("https://ceds.ed.gov/cedselementdetails.aspx?termid=5206")</f>
        <v>https://ceds.ed.gov/cedselementdetails.aspx?termid=5206</v>
      </c>
      <c r="P804" s="6" t="str">
        <f>HYPERLINK("https://ceds.ed.gov/elementComment.aspx?elementName=Other Name &amp;elementID=5206", "Click here to submit comment")</f>
        <v>Click here to submit comment</v>
      </c>
    </row>
    <row r="805" spans="1:16" ht="90">
      <c r="A805" s="6" t="s">
        <v>6788</v>
      </c>
      <c r="B805" s="6" t="s">
        <v>6804</v>
      </c>
      <c r="C805" s="6" t="s">
        <v>6718</v>
      </c>
      <c r="D805" s="6" t="s">
        <v>4394</v>
      </c>
      <c r="E805" s="6" t="s">
        <v>4395</v>
      </c>
      <c r="F805" s="7" t="s">
        <v>6593</v>
      </c>
      <c r="G805" s="6" t="s">
        <v>6273</v>
      </c>
      <c r="H805" s="6" t="s">
        <v>3</v>
      </c>
      <c r="I805" s="6" t="s">
        <v>100</v>
      </c>
      <c r="J805" s="6"/>
      <c r="K805" s="6"/>
      <c r="L805" s="6" t="s">
        <v>4396</v>
      </c>
      <c r="M805" s="6"/>
      <c r="N805" s="6" t="s">
        <v>4397</v>
      </c>
      <c r="O805" s="6" t="str">
        <f>HYPERLINK("https://ceds.ed.gov/cedselementdetails.aspx?termid=5627")</f>
        <v>https://ceds.ed.gov/cedselementdetails.aspx?termid=5627</v>
      </c>
      <c r="P805" s="6" t="str">
        <f>HYPERLINK("https://ceds.ed.gov/elementComment.aspx?elementName=Other Name Type &amp;elementID=5627", "Click here to submit comment")</f>
        <v>Click here to submit comment</v>
      </c>
    </row>
    <row r="806" spans="1:16" ht="135">
      <c r="A806" s="6" t="s">
        <v>6788</v>
      </c>
      <c r="B806" s="6" t="s">
        <v>6804</v>
      </c>
      <c r="C806" s="6" t="s">
        <v>6719</v>
      </c>
      <c r="D806" s="6" t="s">
        <v>5614</v>
      </c>
      <c r="E806" s="6" t="s">
        <v>5615</v>
      </c>
      <c r="F806" s="6" t="s">
        <v>13</v>
      </c>
      <c r="G806" s="6" t="s">
        <v>6330</v>
      </c>
      <c r="H806" s="6"/>
      <c r="I806" s="6" t="s">
        <v>100</v>
      </c>
      <c r="J806" s="6"/>
      <c r="K806" s="6"/>
      <c r="L806" s="6" t="s">
        <v>5616</v>
      </c>
      <c r="M806" s="6"/>
      <c r="N806" s="6" t="s">
        <v>5617</v>
      </c>
      <c r="O806" s="6" t="str">
        <f>HYPERLINK("https://ceds.ed.gov/cedselementdetails.aspx?termid=5157")</f>
        <v>https://ceds.ed.gov/cedselementdetails.aspx?termid=5157</v>
      </c>
      <c r="P806" s="6" t="str">
        <f>HYPERLINK("https://ceds.ed.gov/elementComment.aspx?elementName=Student Identifier &amp;elementID=5157", "Click here to submit comment")</f>
        <v>Click here to submit comment</v>
      </c>
    </row>
    <row r="807" spans="1:16" ht="285">
      <c r="A807" s="6" t="s">
        <v>6788</v>
      </c>
      <c r="B807" s="6" t="s">
        <v>6804</v>
      </c>
      <c r="C807" s="6" t="s">
        <v>6719</v>
      </c>
      <c r="D807" s="6" t="s">
        <v>5610</v>
      </c>
      <c r="E807" s="6" t="s">
        <v>5611</v>
      </c>
      <c r="F807" s="7" t="s">
        <v>6665</v>
      </c>
      <c r="G807" s="6" t="s">
        <v>6330</v>
      </c>
      <c r="H807" s="6"/>
      <c r="I807" s="6"/>
      <c r="J807" s="6"/>
      <c r="K807" s="6"/>
      <c r="L807" s="6" t="s">
        <v>5612</v>
      </c>
      <c r="M807" s="6"/>
      <c r="N807" s="6" t="s">
        <v>5613</v>
      </c>
      <c r="O807" s="6" t="str">
        <f>HYPERLINK("https://ceds.ed.gov/cedselementdetails.aspx?termid=5163")</f>
        <v>https://ceds.ed.gov/cedselementdetails.aspx?termid=5163</v>
      </c>
      <c r="P807" s="6" t="str">
        <f>HYPERLINK("https://ceds.ed.gov/elementComment.aspx?elementName=Student Identification System &amp;elementID=5163", "Click here to submit comment")</f>
        <v>Click here to submit comment</v>
      </c>
    </row>
    <row r="808" spans="1:16" ht="390">
      <c r="A808" s="6" t="s">
        <v>6788</v>
      </c>
      <c r="B808" s="6" t="s">
        <v>6804</v>
      </c>
      <c r="C808" s="6" t="s">
        <v>6719</v>
      </c>
      <c r="D808" s="6" t="s">
        <v>5383</v>
      </c>
      <c r="E808" s="6" t="s">
        <v>5384</v>
      </c>
      <c r="F808" s="6" t="s">
        <v>13</v>
      </c>
      <c r="G808" s="6" t="s">
        <v>6315</v>
      </c>
      <c r="H808" s="6" t="s">
        <v>3</v>
      </c>
      <c r="I808" s="6" t="s">
        <v>5385</v>
      </c>
      <c r="J808" s="6"/>
      <c r="K808" s="6" t="s">
        <v>5386</v>
      </c>
      <c r="L808" s="6" t="s">
        <v>5387</v>
      </c>
      <c r="M808" s="6" t="s">
        <v>5388</v>
      </c>
      <c r="N808" s="6" t="s">
        <v>5389</v>
      </c>
      <c r="O808" s="6" t="str">
        <f>HYPERLINK("https://ceds.ed.gov/cedselementdetails.aspx?termid=5259")</f>
        <v>https://ceds.ed.gov/cedselementdetails.aspx?termid=5259</v>
      </c>
      <c r="P808" s="6" t="str">
        <f>HYPERLINK("https://ceds.ed.gov/elementComment.aspx?elementName=Social Security Number &amp;elementID=5259", "Click here to submit comment")</f>
        <v>Click here to submit comment</v>
      </c>
    </row>
    <row r="809" spans="1:16" ht="375">
      <c r="A809" s="6" t="s">
        <v>6788</v>
      </c>
      <c r="B809" s="6" t="s">
        <v>6804</v>
      </c>
      <c r="C809" s="6" t="s">
        <v>6719</v>
      </c>
      <c r="D809" s="6" t="s">
        <v>4494</v>
      </c>
      <c r="E809" s="6" t="s">
        <v>4495</v>
      </c>
      <c r="F809" s="7" t="s">
        <v>6599</v>
      </c>
      <c r="G809" s="6"/>
      <c r="H809" s="6" t="s">
        <v>3</v>
      </c>
      <c r="I809" s="6"/>
      <c r="J809" s="6"/>
      <c r="K809" s="6"/>
      <c r="L809" s="6" t="s">
        <v>4496</v>
      </c>
      <c r="M809" s="6"/>
      <c r="N809" s="6" t="s">
        <v>4497</v>
      </c>
      <c r="O809" s="6" t="str">
        <f>HYPERLINK("https://ceds.ed.gov/cedselementdetails.aspx?termid=5611")</f>
        <v>https://ceds.ed.gov/cedselementdetails.aspx?termid=5611</v>
      </c>
      <c r="P809" s="6" t="str">
        <f>HYPERLINK("https://ceds.ed.gov/elementComment.aspx?elementName=Personal Information Verification &amp;elementID=5611", "Click here to submit comment")</f>
        <v>Click here to submit comment</v>
      </c>
    </row>
    <row r="810" spans="1:16" ht="285">
      <c r="A810" s="6" t="s">
        <v>6788</v>
      </c>
      <c r="B810" s="6" t="s">
        <v>6804</v>
      </c>
      <c r="C810" s="6" t="s">
        <v>6720</v>
      </c>
      <c r="D810" s="6" t="s">
        <v>191</v>
      </c>
      <c r="E810" s="6" t="s">
        <v>192</v>
      </c>
      <c r="F810" s="7" t="s">
        <v>6353</v>
      </c>
      <c r="G810" s="6" t="s">
        <v>5976</v>
      </c>
      <c r="H810" s="6" t="s">
        <v>66</v>
      </c>
      <c r="I810" s="6" t="s">
        <v>100</v>
      </c>
      <c r="J810" s="6" t="s">
        <v>193</v>
      </c>
      <c r="K810" s="6"/>
      <c r="L810" s="6" t="s">
        <v>194</v>
      </c>
      <c r="M810" s="6"/>
      <c r="N810" s="6" t="s">
        <v>195</v>
      </c>
      <c r="O810" s="6" t="str">
        <f>HYPERLINK("https://ceds.ed.gov/cedselementdetails.aspx?termid=5358")</f>
        <v>https://ceds.ed.gov/cedselementdetails.aspx?termid=5358</v>
      </c>
      <c r="P810" s="6" t="str">
        <f>HYPERLINK("https://ceds.ed.gov/elementComment.aspx?elementName=Address Type for Learner or Family &amp;elementID=5358", "Click here to submit comment")</f>
        <v>Click here to submit comment</v>
      </c>
    </row>
    <row r="811" spans="1:16" ht="225">
      <c r="A811" s="6" t="s">
        <v>6788</v>
      </c>
      <c r="B811" s="6" t="s">
        <v>6804</v>
      </c>
      <c r="C811" s="6" t="s">
        <v>6720</v>
      </c>
      <c r="D811" s="6" t="s">
        <v>187</v>
      </c>
      <c r="E811" s="6" t="s">
        <v>188</v>
      </c>
      <c r="F811" s="6" t="s">
        <v>13</v>
      </c>
      <c r="G811" s="6" t="s">
        <v>5973</v>
      </c>
      <c r="H811" s="6" t="s">
        <v>3</v>
      </c>
      <c r="I811" s="6" t="s">
        <v>149</v>
      </c>
      <c r="J811" s="6"/>
      <c r="K811" s="6"/>
      <c r="L811" s="6" t="s">
        <v>189</v>
      </c>
      <c r="M811" s="6"/>
      <c r="N811" s="6" t="s">
        <v>190</v>
      </c>
      <c r="O811" s="6" t="str">
        <f>HYPERLINK("https://ceds.ed.gov/cedselementdetails.aspx?termid=5269")</f>
        <v>https://ceds.ed.gov/cedselementdetails.aspx?termid=5269</v>
      </c>
      <c r="P811" s="6" t="str">
        <f>HYPERLINK("https://ceds.ed.gov/elementComment.aspx?elementName=Address Street Number and Name &amp;elementID=5269", "Click here to submit comment")</f>
        <v>Click here to submit comment</v>
      </c>
    </row>
    <row r="812" spans="1:16" ht="225">
      <c r="A812" s="6" t="s">
        <v>6788</v>
      </c>
      <c r="B812" s="6" t="s">
        <v>6804</v>
      </c>
      <c r="C812" s="6" t="s">
        <v>6720</v>
      </c>
      <c r="D812" s="6" t="s">
        <v>170</v>
      </c>
      <c r="E812" s="6" t="s">
        <v>171</v>
      </c>
      <c r="F812" s="6" t="s">
        <v>13</v>
      </c>
      <c r="G812" s="6" t="s">
        <v>5973</v>
      </c>
      <c r="H812" s="6" t="s">
        <v>3</v>
      </c>
      <c r="I812" s="6" t="s">
        <v>100</v>
      </c>
      <c r="J812" s="6"/>
      <c r="K812" s="6"/>
      <c r="L812" s="6" t="s">
        <v>172</v>
      </c>
      <c r="M812" s="6"/>
      <c r="N812" s="6" t="s">
        <v>173</v>
      </c>
      <c r="O812" s="6" t="str">
        <f>HYPERLINK("https://ceds.ed.gov/cedselementdetails.aspx?termid=5019")</f>
        <v>https://ceds.ed.gov/cedselementdetails.aspx?termid=5019</v>
      </c>
      <c r="P812" s="6" t="str">
        <f>HYPERLINK("https://ceds.ed.gov/elementComment.aspx?elementName=Address Apartment Room or Suite Number &amp;elementID=5019", "Click here to submit comment")</f>
        <v>Click here to submit comment</v>
      </c>
    </row>
    <row r="813" spans="1:16" ht="225">
      <c r="A813" s="6" t="s">
        <v>6788</v>
      </c>
      <c r="B813" s="6" t="s">
        <v>6804</v>
      </c>
      <c r="C813" s="6" t="s">
        <v>6720</v>
      </c>
      <c r="D813" s="6" t="s">
        <v>174</v>
      </c>
      <c r="E813" s="6" t="s">
        <v>175</v>
      </c>
      <c r="F813" s="6" t="s">
        <v>13</v>
      </c>
      <c r="G813" s="6" t="s">
        <v>5973</v>
      </c>
      <c r="H813" s="6" t="s">
        <v>3</v>
      </c>
      <c r="I813" s="6" t="s">
        <v>100</v>
      </c>
      <c r="J813" s="6"/>
      <c r="K813" s="6"/>
      <c r="L813" s="6" t="s">
        <v>176</v>
      </c>
      <c r="M813" s="6"/>
      <c r="N813" s="6" t="s">
        <v>177</v>
      </c>
      <c r="O813" s="6" t="str">
        <f>HYPERLINK("https://ceds.ed.gov/cedselementdetails.aspx?termid=5040")</f>
        <v>https://ceds.ed.gov/cedselementdetails.aspx?termid=5040</v>
      </c>
      <c r="P813" s="6" t="str">
        <f>HYPERLINK("https://ceds.ed.gov/elementComment.aspx?elementName=Address City &amp;elementID=5040", "Click here to submit comment")</f>
        <v>Click here to submit comment</v>
      </c>
    </row>
    <row r="814" spans="1:16" ht="409.5">
      <c r="A814" s="6" t="s">
        <v>6788</v>
      </c>
      <c r="B814" s="6" t="s">
        <v>6804</v>
      </c>
      <c r="C814" s="6" t="s">
        <v>6720</v>
      </c>
      <c r="D814" s="6" t="s">
        <v>5533</v>
      </c>
      <c r="E814" s="6" t="s">
        <v>5534</v>
      </c>
      <c r="F814" s="7" t="s">
        <v>6633</v>
      </c>
      <c r="G814" s="6" t="s">
        <v>6324</v>
      </c>
      <c r="H814" s="6" t="s">
        <v>3</v>
      </c>
      <c r="I814" s="6"/>
      <c r="J814" s="6"/>
      <c r="K814" s="6"/>
      <c r="L814" s="6" t="s">
        <v>5535</v>
      </c>
      <c r="M814" s="6"/>
      <c r="N814" s="6" t="s">
        <v>5536</v>
      </c>
      <c r="O814" s="6" t="str">
        <f>HYPERLINK("https://ceds.ed.gov/cedselementdetails.aspx?termid=5267")</f>
        <v>https://ceds.ed.gov/cedselementdetails.aspx?termid=5267</v>
      </c>
      <c r="P814" s="6" t="str">
        <f>HYPERLINK("https://ceds.ed.gov/elementComment.aspx?elementName=State Abbreviation &amp;elementID=5267", "Click here to submit comment")</f>
        <v>Click here to submit comment</v>
      </c>
    </row>
    <row r="815" spans="1:16" ht="225">
      <c r="A815" s="6" t="s">
        <v>6788</v>
      </c>
      <c r="B815" s="6" t="s">
        <v>6804</v>
      </c>
      <c r="C815" s="6" t="s">
        <v>6720</v>
      </c>
      <c r="D815" s="6" t="s">
        <v>182</v>
      </c>
      <c r="E815" s="6" t="s">
        <v>183</v>
      </c>
      <c r="F815" s="6" t="s">
        <v>13</v>
      </c>
      <c r="G815" s="6" t="s">
        <v>5973</v>
      </c>
      <c r="H815" s="6" t="s">
        <v>3</v>
      </c>
      <c r="I815" s="6" t="s">
        <v>184</v>
      </c>
      <c r="J815" s="6"/>
      <c r="K815" s="6"/>
      <c r="L815" s="6" t="s">
        <v>185</v>
      </c>
      <c r="M815" s="6"/>
      <c r="N815" s="6" t="s">
        <v>186</v>
      </c>
      <c r="O815" s="6" t="str">
        <f>HYPERLINK("https://ceds.ed.gov/cedselementdetails.aspx?termid=5214")</f>
        <v>https://ceds.ed.gov/cedselementdetails.aspx?termid=5214</v>
      </c>
      <c r="P815" s="6" t="str">
        <f>HYPERLINK("https://ceds.ed.gov/elementComment.aspx?elementName=Address Postal Code &amp;elementID=5214", "Click here to submit comment")</f>
        <v>Click here to submit comment</v>
      </c>
    </row>
    <row r="816" spans="1:16" ht="225">
      <c r="A816" s="6" t="s">
        <v>6788</v>
      </c>
      <c r="B816" s="6" t="s">
        <v>6804</v>
      </c>
      <c r="C816" s="6" t="s">
        <v>6720</v>
      </c>
      <c r="D816" s="6" t="s">
        <v>178</v>
      </c>
      <c r="E816" s="6" t="s">
        <v>179</v>
      </c>
      <c r="F816" s="6" t="s">
        <v>13</v>
      </c>
      <c r="G816" s="6" t="s">
        <v>5973</v>
      </c>
      <c r="H816" s="6" t="s">
        <v>3</v>
      </c>
      <c r="I816" s="6" t="s">
        <v>100</v>
      </c>
      <c r="J816" s="6"/>
      <c r="K816" s="6"/>
      <c r="L816" s="6" t="s">
        <v>180</v>
      </c>
      <c r="M816" s="6"/>
      <c r="N816" s="6" t="s">
        <v>181</v>
      </c>
      <c r="O816" s="6" t="str">
        <f>HYPERLINK("https://ceds.ed.gov/cedselementdetails.aspx?termid=5190")</f>
        <v>https://ceds.ed.gov/cedselementdetails.aspx?termid=5190</v>
      </c>
      <c r="P816" s="6" t="str">
        <f>HYPERLINK("https://ceds.ed.gov/elementComment.aspx?elementName=Address County Name &amp;elementID=5190", "Click here to submit comment")</f>
        <v>Click here to submit comment</v>
      </c>
    </row>
    <row r="817" spans="1:16" ht="409.5">
      <c r="A817" s="6" t="s">
        <v>6788</v>
      </c>
      <c r="B817" s="6" t="s">
        <v>6804</v>
      </c>
      <c r="C817" s="6" t="s">
        <v>6720</v>
      </c>
      <c r="D817" s="6" t="s">
        <v>1809</v>
      </c>
      <c r="E817" s="6" t="s">
        <v>1810</v>
      </c>
      <c r="F817" s="7" t="s">
        <v>6433</v>
      </c>
      <c r="G817" s="6" t="s">
        <v>6107</v>
      </c>
      <c r="H817" s="6" t="s">
        <v>3</v>
      </c>
      <c r="I817" s="6"/>
      <c r="J817" s="6"/>
      <c r="K817" s="6"/>
      <c r="L817" s="6" t="s">
        <v>1811</v>
      </c>
      <c r="M817" s="6"/>
      <c r="N817" s="6" t="s">
        <v>1812</v>
      </c>
      <c r="O817" s="6" t="str">
        <f>HYPERLINK("https://ceds.ed.gov/cedselementdetails.aspx?termid=5050")</f>
        <v>https://ceds.ed.gov/cedselementdetails.aspx?termid=5050</v>
      </c>
      <c r="P817" s="6" t="str">
        <f>HYPERLINK("https://ceds.ed.gov/elementComment.aspx?elementName=Country Code &amp;elementID=5050", "Click here to submit comment")</f>
        <v>Click here to submit comment</v>
      </c>
    </row>
    <row r="818" spans="1:16" ht="135">
      <c r="A818" s="6" t="s">
        <v>6788</v>
      </c>
      <c r="B818" s="6" t="s">
        <v>6804</v>
      </c>
      <c r="C818" s="6" t="s">
        <v>6721</v>
      </c>
      <c r="D818" s="6" t="s">
        <v>5732</v>
      </c>
      <c r="E818" s="6" t="s">
        <v>5733</v>
      </c>
      <c r="F818" s="7" t="s">
        <v>6675</v>
      </c>
      <c r="G818" s="6" t="s">
        <v>5968</v>
      </c>
      <c r="H818" s="6" t="s">
        <v>3</v>
      </c>
      <c r="I818" s="6" t="s">
        <v>2844</v>
      </c>
      <c r="J818" s="6"/>
      <c r="K818" s="6"/>
      <c r="L818" s="6" t="s">
        <v>5734</v>
      </c>
      <c r="M818" s="6"/>
      <c r="N818" s="6" t="s">
        <v>5735</v>
      </c>
      <c r="O818" s="6" t="str">
        <f>HYPERLINK("https://ceds.ed.gov/cedselementdetails.aspx?termid=5280")</f>
        <v>https://ceds.ed.gov/cedselementdetails.aspx?termid=5280</v>
      </c>
      <c r="P818" s="6" t="str">
        <f>HYPERLINK("https://ceds.ed.gov/elementComment.aspx?elementName=Telephone Number Type &amp;elementID=5280", "Click here to submit comment")</f>
        <v>Click here to submit comment</v>
      </c>
    </row>
    <row r="819" spans="1:16" ht="90">
      <c r="A819" s="6" t="s">
        <v>6788</v>
      </c>
      <c r="B819" s="6" t="s">
        <v>6804</v>
      </c>
      <c r="C819" s="6" t="s">
        <v>6721</v>
      </c>
      <c r="D819" s="6" t="s">
        <v>4591</v>
      </c>
      <c r="E819" s="6" t="s">
        <v>4592</v>
      </c>
      <c r="F819" s="6" t="s">
        <v>5963</v>
      </c>
      <c r="G819" s="6" t="s">
        <v>5968</v>
      </c>
      <c r="H819" s="6" t="s">
        <v>3</v>
      </c>
      <c r="I819" s="6"/>
      <c r="J819" s="6"/>
      <c r="K819" s="6"/>
      <c r="L819" s="6" t="s">
        <v>4593</v>
      </c>
      <c r="M819" s="6"/>
      <c r="N819" s="6" t="s">
        <v>4594</v>
      </c>
      <c r="O819" s="6" t="str">
        <f>HYPERLINK("https://ceds.ed.gov/cedselementdetails.aspx?termid=5219")</f>
        <v>https://ceds.ed.gov/cedselementdetails.aspx?termid=5219</v>
      </c>
      <c r="P819" s="6" t="str">
        <f>HYPERLINK("https://ceds.ed.gov/elementComment.aspx?elementName=Primary Telephone Number Indicator &amp;elementID=5219", "Click here to submit comment")</f>
        <v>Click here to submit comment</v>
      </c>
    </row>
    <row r="820" spans="1:16" ht="90">
      <c r="A820" s="6" t="s">
        <v>6788</v>
      </c>
      <c r="B820" s="6" t="s">
        <v>6804</v>
      </c>
      <c r="C820" s="6" t="s">
        <v>6721</v>
      </c>
      <c r="D820" s="6" t="s">
        <v>5727</v>
      </c>
      <c r="E820" s="6" t="s">
        <v>5728</v>
      </c>
      <c r="F820" s="6" t="s">
        <v>13</v>
      </c>
      <c r="G820" s="6" t="s">
        <v>5968</v>
      </c>
      <c r="H820" s="6" t="s">
        <v>3</v>
      </c>
      <c r="I820" s="6" t="s">
        <v>5729</v>
      </c>
      <c r="J820" s="6"/>
      <c r="K820" s="6"/>
      <c r="L820" s="6" t="s">
        <v>5730</v>
      </c>
      <c r="M820" s="6"/>
      <c r="N820" s="6" t="s">
        <v>5731</v>
      </c>
      <c r="O820" s="6" t="str">
        <f>HYPERLINK("https://ceds.ed.gov/cedselementdetails.aspx?termid=5279")</f>
        <v>https://ceds.ed.gov/cedselementdetails.aspx?termid=5279</v>
      </c>
      <c r="P820" s="6" t="str">
        <f>HYPERLINK("https://ceds.ed.gov/elementComment.aspx?elementName=Telephone Number &amp;elementID=5279", "Click here to submit comment")</f>
        <v>Click here to submit comment</v>
      </c>
    </row>
    <row r="821" spans="1:16" ht="105">
      <c r="A821" s="6" t="s">
        <v>6788</v>
      </c>
      <c r="B821" s="6" t="s">
        <v>6804</v>
      </c>
      <c r="C821" s="6" t="s">
        <v>6742</v>
      </c>
      <c r="D821" s="6" t="s">
        <v>2457</v>
      </c>
      <c r="E821" s="6" t="s">
        <v>2458</v>
      </c>
      <c r="F821" s="7" t="s">
        <v>6489</v>
      </c>
      <c r="G821" s="6" t="s">
        <v>5968</v>
      </c>
      <c r="H821" s="6" t="s">
        <v>3</v>
      </c>
      <c r="I821" s="6"/>
      <c r="J821" s="6"/>
      <c r="K821" s="6"/>
      <c r="L821" s="6" t="s">
        <v>2459</v>
      </c>
      <c r="M821" s="6" t="s">
        <v>2460</v>
      </c>
      <c r="N821" s="6" t="s">
        <v>2461</v>
      </c>
      <c r="O821" s="6" t="str">
        <f>HYPERLINK("https://ceds.ed.gov/cedselementdetails.aspx?termid=5089")</f>
        <v>https://ceds.ed.gov/cedselementdetails.aspx?termid=5089</v>
      </c>
      <c r="P821" s="6" t="str">
        <f>HYPERLINK("https://ceds.ed.gov/elementComment.aspx?elementName=Electronic Mail Address Type &amp;elementID=5089", "Click here to submit comment")</f>
        <v>Click here to submit comment</v>
      </c>
    </row>
    <row r="822" spans="1:16" ht="90">
      <c r="A822" s="6" t="s">
        <v>6788</v>
      </c>
      <c r="B822" s="6" t="s">
        <v>6804</v>
      </c>
      <c r="C822" s="6" t="s">
        <v>6742</v>
      </c>
      <c r="D822" s="6" t="s">
        <v>2451</v>
      </c>
      <c r="E822" s="6" t="s">
        <v>2452</v>
      </c>
      <c r="F822" s="6" t="s">
        <v>13</v>
      </c>
      <c r="G822" s="6" t="s">
        <v>5968</v>
      </c>
      <c r="H822" s="6" t="s">
        <v>3</v>
      </c>
      <c r="I822" s="6" t="s">
        <v>2453</v>
      </c>
      <c r="J822" s="6"/>
      <c r="K822" s="6"/>
      <c r="L822" s="6" t="s">
        <v>2454</v>
      </c>
      <c r="M822" s="6" t="s">
        <v>2455</v>
      </c>
      <c r="N822" s="6" t="s">
        <v>2456</v>
      </c>
      <c r="O822" s="6" t="str">
        <f>HYPERLINK("https://ceds.ed.gov/cedselementdetails.aspx?termid=5088")</f>
        <v>https://ceds.ed.gov/cedselementdetails.aspx?termid=5088</v>
      </c>
      <c r="P822" s="6" t="str">
        <f>HYPERLINK("https://ceds.ed.gov/elementComment.aspx?elementName=Electronic Mail Address &amp;elementID=5088", "Click here to submit comment")</f>
        <v>Click here to submit comment</v>
      </c>
    </row>
    <row r="823" spans="1:16" ht="240">
      <c r="A823" s="6" t="s">
        <v>6788</v>
      </c>
      <c r="B823" s="6" t="s">
        <v>6804</v>
      </c>
      <c r="C823" s="6" t="s">
        <v>6722</v>
      </c>
      <c r="D823" s="6" t="s">
        <v>1474</v>
      </c>
      <c r="E823" s="6" t="s">
        <v>1475</v>
      </c>
      <c r="F823" s="6" t="s">
        <v>13</v>
      </c>
      <c r="G823" s="6" t="s">
        <v>6080</v>
      </c>
      <c r="H823" s="6" t="s">
        <v>3</v>
      </c>
      <c r="I823" s="6" t="s">
        <v>73</v>
      </c>
      <c r="J823" s="6"/>
      <c r="K823" s="6"/>
      <c r="L823" s="6" t="s">
        <v>1476</v>
      </c>
      <c r="M823" s="6"/>
      <c r="N823" s="6" t="s">
        <v>1474</v>
      </c>
      <c r="O823" s="6" t="str">
        <f>HYPERLINK("https://ceds.ed.gov/cedselementdetails.aspx?termid=5033")</f>
        <v>https://ceds.ed.gov/cedselementdetails.aspx?termid=5033</v>
      </c>
      <c r="P823" s="6" t="str">
        <f>HYPERLINK("https://ceds.ed.gov/elementComment.aspx?elementName=Birthdate &amp;elementID=5033", "Click here to submit comment")</f>
        <v>Click here to submit comment</v>
      </c>
    </row>
    <row r="824" spans="1:16" ht="255">
      <c r="A824" s="6" t="s">
        <v>6788</v>
      </c>
      <c r="B824" s="6" t="s">
        <v>6804</v>
      </c>
      <c r="C824" s="6" t="s">
        <v>6722</v>
      </c>
      <c r="D824" s="6" t="s">
        <v>5353</v>
      </c>
      <c r="E824" s="6" t="s">
        <v>5354</v>
      </c>
      <c r="F824" s="7" t="s">
        <v>6656</v>
      </c>
      <c r="G824" s="6" t="s">
        <v>6312</v>
      </c>
      <c r="H824" s="6" t="s">
        <v>3</v>
      </c>
      <c r="I824" s="6"/>
      <c r="J824" s="6"/>
      <c r="K824" s="6" t="s">
        <v>5355</v>
      </c>
      <c r="L824" s="6" t="s">
        <v>5356</v>
      </c>
      <c r="M824" s="6"/>
      <c r="N824" s="6" t="s">
        <v>5353</v>
      </c>
      <c r="O824" s="6" t="str">
        <f>HYPERLINK("https://ceds.ed.gov/cedselementdetails.aspx?termid=5255")</f>
        <v>https://ceds.ed.gov/cedselementdetails.aspx?termid=5255</v>
      </c>
      <c r="P824" s="6" t="str">
        <f>HYPERLINK("https://ceds.ed.gov/elementComment.aspx?elementName=Sex &amp;elementID=5255", "Click here to submit comment")</f>
        <v>Click here to submit comment</v>
      </c>
    </row>
    <row r="825" spans="1:16" ht="225">
      <c r="A825" s="6" t="s">
        <v>6788</v>
      </c>
      <c r="B825" s="6" t="s">
        <v>6804</v>
      </c>
      <c r="C825" s="6" t="s">
        <v>6722</v>
      </c>
      <c r="D825" s="6" t="s">
        <v>351</v>
      </c>
      <c r="E825" s="6" t="s">
        <v>352</v>
      </c>
      <c r="F825" s="7" t="s">
        <v>6373</v>
      </c>
      <c r="G825" s="6" t="s">
        <v>5986</v>
      </c>
      <c r="H825" s="6"/>
      <c r="I825" s="6"/>
      <c r="J825" s="6"/>
      <c r="K825" s="6" t="s">
        <v>353</v>
      </c>
      <c r="L825" s="6" t="s">
        <v>354</v>
      </c>
      <c r="M825" s="6"/>
      <c r="N825" s="6" t="s">
        <v>355</v>
      </c>
      <c r="O825" s="6" t="str">
        <f>HYPERLINK("https://ceds.ed.gov/cedselementdetails.aspx?termid=5655")</f>
        <v>https://ceds.ed.gov/cedselementdetails.aspx?termid=5655</v>
      </c>
      <c r="P825" s="6" t="str">
        <f>HYPERLINK("https://ceds.ed.gov/elementComment.aspx?elementName=American Indian or Alaska Native &amp;elementID=5655", "Click here to submit comment")</f>
        <v>Click here to submit comment</v>
      </c>
    </row>
    <row r="826" spans="1:16" ht="225">
      <c r="A826" s="6" t="s">
        <v>6788</v>
      </c>
      <c r="B826" s="6" t="s">
        <v>6804</v>
      </c>
      <c r="C826" s="6" t="s">
        <v>6722</v>
      </c>
      <c r="D826" s="6" t="s">
        <v>392</v>
      </c>
      <c r="E826" s="6" t="s">
        <v>393</v>
      </c>
      <c r="F826" s="7" t="s">
        <v>6373</v>
      </c>
      <c r="G826" s="6" t="s">
        <v>5986</v>
      </c>
      <c r="H826" s="6"/>
      <c r="I826" s="6"/>
      <c r="J826" s="6"/>
      <c r="K826" s="6" t="s">
        <v>353</v>
      </c>
      <c r="L826" s="6" t="s">
        <v>394</v>
      </c>
      <c r="M826" s="6"/>
      <c r="N826" s="6" t="s">
        <v>392</v>
      </c>
      <c r="O826" s="6" t="str">
        <f>HYPERLINK("https://ceds.ed.gov/cedselementdetails.aspx?termid=5656")</f>
        <v>https://ceds.ed.gov/cedselementdetails.aspx?termid=5656</v>
      </c>
      <c r="P826" s="6" t="str">
        <f>HYPERLINK("https://ceds.ed.gov/elementComment.aspx?elementName=Asian &amp;elementID=5656", "Click here to submit comment")</f>
        <v>Click here to submit comment</v>
      </c>
    </row>
    <row r="827" spans="1:16" ht="225">
      <c r="A827" s="6" t="s">
        <v>6788</v>
      </c>
      <c r="B827" s="6" t="s">
        <v>6804</v>
      </c>
      <c r="C827" s="6" t="s">
        <v>6722</v>
      </c>
      <c r="D827" s="6" t="s">
        <v>1483</v>
      </c>
      <c r="E827" s="6" t="s">
        <v>1484</v>
      </c>
      <c r="F827" s="7" t="s">
        <v>6373</v>
      </c>
      <c r="G827" s="6" t="s">
        <v>5986</v>
      </c>
      <c r="H827" s="6"/>
      <c r="I827" s="6"/>
      <c r="J827" s="6"/>
      <c r="K827" s="6" t="s">
        <v>353</v>
      </c>
      <c r="L827" s="6" t="s">
        <v>1485</v>
      </c>
      <c r="M827" s="6"/>
      <c r="N827" s="6" t="s">
        <v>1486</v>
      </c>
      <c r="O827" s="6" t="str">
        <f>HYPERLINK("https://ceds.ed.gov/cedselementdetails.aspx?termid=5657")</f>
        <v>https://ceds.ed.gov/cedselementdetails.aspx?termid=5657</v>
      </c>
      <c r="P827" s="6" t="str">
        <f>HYPERLINK("https://ceds.ed.gov/elementComment.aspx?elementName=Black or African American &amp;elementID=5657", "Click here to submit comment")</f>
        <v>Click here to submit comment</v>
      </c>
    </row>
    <row r="828" spans="1:16" ht="225">
      <c r="A828" s="6" t="s">
        <v>6788</v>
      </c>
      <c r="B828" s="6" t="s">
        <v>6804</v>
      </c>
      <c r="C828" s="6" t="s">
        <v>6722</v>
      </c>
      <c r="D828" s="6" t="s">
        <v>4202</v>
      </c>
      <c r="E828" s="6" t="s">
        <v>4203</v>
      </c>
      <c r="F828" s="7" t="s">
        <v>6373</v>
      </c>
      <c r="G828" s="6" t="s">
        <v>5986</v>
      </c>
      <c r="H828" s="6"/>
      <c r="I828" s="6"/>
      <c r="J828" s="6"/>
      <c r="K828" s="6" t="s">
        <v>353</v>
      </c>
      <c r="L828" s="6" t="s">
        <v>4204</v>
      </c>
      <c r="M828" s="6"/>
      <c r="N828" s="6" t="s">
        <v>4205</v>
      </c>
      <c r="O828" s="6" t="str">
        <f>HYPERLINK("https://ceds.ed.gov/cedselementdetails.aspx?termid=5658")</f>
        <v>https://ceds.ed.gov/cedselementdetails.aspx?termid=5658</v>
      </c>
      <c r="P828" s="6" t="str">
        <f>HYPERLINK("https://ceds.ed.gov/elementComment.aspx?elementName=Native Hawaiian or Other Pacific Islander &amp;elementID=5658", "Click here to submit comment")</f>
        <v>Click here to submit comment</v>
      </c>
    </row>
    <row r="829" spans="1:16" ht="225">
      <c r="A829" s="6" t="s">
        <v>6788</v>
      </c>
      <c r="B829" s="6" t="s">
        <v>6804</v>
      </c>
      <c r="C829" s="6" t="s">
        <v>6722</v>
      </c>
      <c r="D829" s="6" t="s">
        <v>5925</v>
      </c>
      <c r="E829" s="6" t="s">
        <v>5926</v>
      </c>
      <c r="F829" s="7" t="s">
        <v>6373</v>
      </c>
      <c r="G829" s="6" t="s">
        <v>5986</v>
      </c>
      <c r="H829" s="6"/>
      <c r="I829" s="6"/>
      <c r="J829" s="6"/>
      <c r="K829" s="6" t="s">
        <v>353</v>
      </c>
      <c r="L829" s="6" t="s">
        <v>5927</v>
      </c>
      <c r="M829" s="6"/>
      <c r="N829" s="6" t="s">
        <v>5925</v>
      </c>
      <c r="O829" s="6" t="str">
        <f>HYPERLINK("https://ceds.ed.gov/cedselementdetails.aspx?termid=5659")</f>
        <v>https://ceds.ed.gov/cedselementdetails.aspx?termid=5659</v>
      </c>
      <c r="P829" s="6" t="str">
        <f>HYPERLINK("https://ceds.ed.gov/elementComment.aspx?elementName=White &amp;elementID=5659", "Click here to submit comment")</f>
        <v>Click here to submit comment</v>
      </c>
    </row>
    <row r="830" spans="1:16" ht="75">
      <c r="A830" s="6" t="s">
        <v>6788</v>
      </c>
      <c r="B830" s="6" t="s">
        <v>6804</v>
      </c>
      <c r="C830" s="6" t="s">
        <v>6722</v>
      </c>
      <c r="D830" s="6" t="s">
        <v>2139</v>
      </c>
      <c r="E830" s="6" t="s">
        <v>2140</v>
      </c>
      <c r="F830" s="6" t="s">
        <v>5963</v>
      </c>
      <c r="G830" s="6"/>
      <c r="H830" s="6"/>
      <c r="I830" s="6"/>
      <c r="J830" s="6"/>
      <c r="K830" s="6" t="s">
        <v>2141</v>
      </c>
      <c r="L830" s="6" t="s">
        <v>2142</v>
      </c>
      <c r="M830" s="6"/>
      <c r="N830" s="6" t="s">
        <v>2143</v>
      </c>
      <c r="O830" s="6" t="str">
        <f>HYPERLINK("https://ceds.ed.gov/cedselementdetails.aspx?termid=5974")</f>
        <v>https://ceds.ed.gov/cedselementdetails.aspx?termid=5974</v>
      </c>
      <c r="P830" s="6" t="str">
        <f>HYPERLINK("https://ceds.ed.gov/elementComment.aspx?elementName=Demographic Race Two or More Races &amp;elementID=5974", "Click here to submit comment")</f>
        <v>Click here to submit comment</v>
      </c>
    </row>
    <row r="831" spans="1:16" ht="225">
      <c r="A831" s="6" t="s">
        <v>6788</v>
      </c>
      <c r="B831" s="6" t="s">
        <v>6804</v>
      </c>
      <c r="C831" s="6" t="s">
        <v>6722</v>
      </c>
      <c r="D831" s="6" t="s">
        <v>2985</v>
      </c>
      <c r="E831" s="6" t="s">
        <v>2986</v>
      </c>
      <c r="F831" s="7" t="s">
        <v>6373</v>
      </c>
      <c r="G831" s="6" t="s">
        <v>5986</v>
      </c>
      <c r="H831" s="6"/>
      <c r="I831" s="6"/>
      <c r="J831" s="6"/>
      <c r="K831" s="6" t="s">
        <v>353</v>
      </c>
      <c r="L831" s="6" t="s">
        <v>2987</v>
      </c>
      <c r="M831" s="6"/>
      <c r="N831" s="6" t="s">
        <v>2988</v>
      </c>
      <c r="O831" s="6" t="str">
        <f>HYPERLINK("https://ceds.ed.gov/cedselementdetails.aspx?termid=5144")</f>
        <v>https://ceds.ed.gov/cedselementdetails.aspx?termid=5144</v>
      </c>
      <c r="P831" s="6" t="str">
        <f>HYPERLINK("https://ceds.ed.gov/elementComment.aspx?elementName=Hispanic or Latino Ethnicity &amp;elementID=5144", "Click here to submit comment")</f>
        <v>Click here to submit comment</v>
      </c>
    </row>
    <row r="832" spans="1:16" ht="409.5">
      <c r="A832" s="6" t="s">
        <v>6788</v>
      </c>
      <c r="B832" s="6" t="s">
        <v>6804</v>
      </c>
      <c r="C832" s="6" t="s">
        <v>6722</v>
      </c>
      <c r="D832" s="6" t="s">
        <v>1813</v>
      </c>
      <c r="E832" s="6" t="s">
        <v>1814</v>
      </c>
      <c r="F832" s="7" t="s">
        <v>6433</v>
      </c>
      <c r="G832" s="6" t="s">
        <v>6108</v>
      </c>
      <c r="H832" s="6"/>
      <c r="I832" s="6"/>
      <c r="J832" s="6"/>
      <c r="K832" s="6"/>
      <c r="L832" s="6" t="s">
        <v>1815</v>
      </c>
      <c r="M832" s="6"/>
      <c r="N832" s="6" t="s">
        <v>1816</v>
      </c>
      <c r="O832" s="6" t="str">
        <f>HYPERLINK("https://ceds.ed.gov/cedselementdetails.aspx?termid=5051")</f>
        <v>https://ceds.ed.gov/cedselementdetails.aspx?termid=5051</v>
      </c>
      <c r="P832" s="6" t="str">
        <f>HYPERLINK("https://ceds.ed.gov/elementComment.aspx?elementName=Country of Birth Code &amp;elementID=5051", "Click here to submit comment")</f>
        <v>Click here to submit comment</v>
      </c>
    </row>
    <row r="833" spans="1:16" ht="409.5">
      <c r="A833" s="6" t="s">
        <v>6788</v>
      </c>
      <c r="B833" s="6" t="s">
        <v>6804</v>
      </c>
      <c r="C833" s="6" t="s">
        <v>6722</v>
      </c>
      <c r="D833" s="6" t="s">
        <v>5575</v>
      </c>
      <c r="E833" s="6" t="s">
        <v>5576</v>
      </c>
      <c r="F833" s="7" t="s">
        <v>6633</v>
      </c>
      <c r="G833" s="6" t="s">
        <v>1480</v>
      </c>
      <c r="H833" s="6"/>
      <c r="I833" s="6"/>
      <c r="J833" s="6"/>
      <c r="K833" s="6"/>
      <c r="L833" s="6" t="s">
        <v>5577</v>
      </c>
      <c r="M833" s="6"/>
      <c r="N833" s="6" t="s">
        <v>5578</v>
      </c>
      <c r="O833" s="6" t="str">
        <f>HYPERLINK("https://ceds.ed.gov/cedselementdetails.aspx?termid=5417")</f>
        <v>https://ceds.ed.gov/cedselementdetails.aspx?termid=5417</v>
      </c>
      <c r="P833" s="6" t="str">
        <f>HYPERLINK("https://ceds.ed.gov/elementComment.aspx?elementName=State of Birth Abbreviation &amp;elementID=5417", "Click here to submit comment")</f>
        <v>Click here to submit comment</v>
      </c>
    </row>
    <row r="834" spans="1:16" ht="30">
      <c r="A834" s="6" t="s">
        <v>6788</v>
      </c>
      <c r="B834" s="6" t="s">
        <v>6804</v>
      </c>
      <c r="C834" s="6" t="s">
        <v>6722</v>
      </c>
      <c r="D834" s="6" t="s">
        <v>1673</v>
      </c>
      <c r="E834" s="6" t="s">
        <v>1674</v>
      </c>
      <c r="F834" s="6" t="s">
        <v>13</v>
      </c>
      <c r="G834" s="6" t="s">
        <v>1480</v>
      </c>
      <c r="H834" s="6"/>
      <c r="I834" s="6" t="s">
        <v>100</v>
      </c>
      <c r="J834" s="6"/>
      <c r="K834" s="6"/>
      <c r="L834" s="6" t="s">
        <v>1676</v>
      </c>
      <c r="M834" s="6"/>
      <c r="N834" s="6" t="s">
        <v>1677</v>
      </c>
      <c r="O834" s="6" t="str">
        <f>HYPERLINK("https://ceds.ed.gov/cedselementdetails.aspx?termid=5416")</f>
        <v>https://ceds.ed.gov/cedselementdetails.aspx?termid=5416</v>
      </c>
      <c r="P834" s="6" t="str">
        <f>HYPERLINK("https://ceds.ed.gov/elementComment.aspx?elementName=City of Birth &amp;elementID=5416", "Click here to submit comment")</f>
        <v>Click here to submit comment</v>
      </c>
    </row>
    <row r="835" spans="1:16" ht="255">
      <c r="A835" s="6" t="s">
        <v>6788</v>
      </c>
      <c r="B835" s="6" t="s">
        <v>6804</v>
      </c>
      <c r="C835" s="6" t="s">
        <v>6722</v>
      </c>
      <c r="D835" s="6" t="s">
        <v>4895</v>
      </c>
      <c r="E835" s="6" t="s">
        <v>4896</v>
      </c>
      <c r="F835" s="7" t="s">
        <v>6631</v>
      </c>
      <c r="G835" s="6"/>
      <c r="H835" s="6"/>
      <c r="I835" s="6"/>
      <c r="J835" s="6"/>
      <c r="K835" s="6"/>
      <c r="L835" s="6" t="s">
        <v>4897</v>
      </c>
      <c r="M835" s="6"/>
      <c r="N835" s="6" t="s">
        <v>4898</v>
      </c>
      <c r="O835" s="6" t="str">
        <f>HYPERLINK("https://ceds.ed.gov/cedselementdetails.aspx?termid=5523")</f>
        <v>https://ceds.ed.gov/cedselementdetails.aspx?termid=5523</v>
      </c>
      <c r="P835" s="6" t="str">
        <f>HYPERLINK("https://ceds.ed.gov/elementComment.aspx?elementName=Public School Residence Status &amp;elementID=5523", "Click here to submit comment")</f>
        <v>Click here to submit comment</v>
      </c>
    </row>
    <row r="836" spans="1:16" ht="120">
      <c r="A836" s="6" t="s">
        <v>6788</v>
      </c>
      <c r="B836" s="6" t="s">
        <v>6804</v>
      </c>
      <c r="C836" s="6" t="s">
        <v>6805</v>
      </c>
      <c r="D836" s="6" t="s">
        <v>4022</v>
      </c>
      <c r="E836" s="6" t="s">
        <v>4023</v>
      </c>
      <c r="F836" s="6" t="s">
        <v>13</v>
      </c>
      <c r="G836" s="6" t="s">
        <v>6252</v>
      </c>
      <c r="H836" s="6"/>
      <c r="I836" s="6" t="s">
        <v>100</v>
      </c>
      <c r="J836" s="6"/>
      <c r="K836" s="6"/>
      <c r="L836" s="6" t="s">
        <v>4024</v>
      </c>
      <c r="M836" s="6" t="s">
        <v>4025</v>
      </c>
      <c r="N836" s="6" t="s">
        <v>4026</v>
      </c>
      <c r="O836" s="6" t="str">
        <f>HYPERLINK("https://ceds.ed.gov/cedselementdetails.aspx?termid=5153")</f>
        <v>https://ceds.ed.gov/cedselementdetails.aspx?termid=5153</v>
      </c>
      <c r="P836" s="6" t="str">
        <f>HYPERLINK("https://ceds.ed.gov/elementComment.aspx?elementName=Local Education Agency Identifier &amp;elementID=5153", "Click here to submit comment")</f>
        <v>Click here to submit comment</v>
      </c>
    </row>
    <row r="837" spans="1:16" ht="285">
      <c r="A837" s="6" t="s">
        <v>6788</v>
      </c>
      <c r="B837" s="6" t="s">
        <v>6804</v>
      </c>
      <c r="C837" s="6" t="s">
        <v>6805</v>
      </c>
      <c r="D837" s="6" t="s">
        <v>4017</v>
      </c>
      <c r="E837" s="6" t="s">
        <v>4018</v>
      </c>
      <c r="F837" s="7" t="s">
        <v>6577</v>
      </c>
      <c r="G837" s="6" t="s">
        <v>6252</v>
      </c>
      <c r="H837" s="6"/>
      <c r="I837" s="6"/>
      <c r="J837" s="6"/>
      <c r="K837" s="6"/>
      <c r="L837" s="6" t="s">
        <v>4019</v>
      </c>
      <c r="M837" s="6" t="s">
        <v>4020</v>
      </c>
      <c r="N837" s="6" t="s">
        <v>4021</v>
      </c>
      <c r="O837" s="6" t="str">
        <f>HYPERLINK("https://ceds.ed.gov/cedselementdetails.aspx?termid=5159")</f>
        <v>https://ceds.ed.gov/cedselementdetails.aspx?termid=5159</v>
      </c>
      <c r="P837" s="6" t="str">
        <f>HYPERLINK("https://ceds.ed.gov/elementComment.aspx?elementName=Local Education Agency Identification System &amp;elementID=5159", "Click here to submit comment")</f>
        <v>Click here to submit comment</v>
      </c>
    </row>
    <row r="838" spans="1:16" ht="165">
      <c r="A838" s="6" t="s">
        <v>6788</v>
      </c>
      <c r="B838" s="6" t="s">
        <v>6804</v>
      </c>
      <c r="C838" s="6" t="s">
        <v>6805</v>
      </c>
      <c r="D838" s="6" t="s">
        <v>5224</v>
      </c>
      <c r="E838" s="6" t="s">
        <v>269</v>
      </c>
      <c r="F838" s="6" t="s">
        <v>13</v>
      </c>
      <c r="G838" s="6" t="s">
        <v>6308</v>
      </c>
      <c r="H838" s="6"/>
      <c r="I838" s="6" t="s">
        <v>100</v>
      </c>
      <c r="J838" s="6"/>
      <c r="K838" s="6"/>
      <c r="L838" s="6" t="s">
        <v>5225</v>
      </c>
      <c r="M838" s="6"/>
      <c r="N838" s="6" t="s">
        <v>5226</v>
      </c>
      <c r="O838" s="6" t="str">
        <f>HYPERLINK("https://ceds.ed.gov/cedselementdetails.aspx?termid=5155")</f>
        <v>https://ceds.ed.gov/cedselementdetails.aspx?termid=5155</v>
      </c>
      <c r="P838" s="6" t="str">
        <f>HYPERLINK("https://ceds.ed.gov/elementComment.aspx?elementName=School Identifier &amp;elementID=5155", "Click here to submit comment")</f>
        <v>Click here to submit comment</v>
      </c>
    </row>
    <row r="839" spans="1:16" ht="360">
      <c r="A839" s="6" t="s">
        <v>6788</v>
      </c>
      <c r="B839" s="6" t="s">
        <v>6804</v>
      </c>
      <c r="C839" s="6" t="s">
        <v>6805</v>
      </c>
      <c r="D839" s="6" t="s">
        <v>5221</v>
      </c>
      <c r="E839" s="6" t="s">
        <v>265</v>
      </c>
      <c r="F839" s="7" t="s">
        <v>6645</v>
      </c>
      <c r="G839" s="6" t="s">
        <v>6308</v>
      </c>
      <c r="H839" s="6"/>
      <c r="I839" s="6"/>
      <c r="J839" s="6"/>
      <c r="K839" s="6"/>
      <c r="L839" s="6" t="s">
        <v>5222</v>
      </c>
      <c r="M839" s="6"/>
      <c r="N839" s="6" t="s">
        <v>5223</v>
      </c>
      <c r="O839" s="6" t="str">
        <f>HYPERLINK("https://ceds.ed.gov/cedselementdetails.aspx?termid=5161")</f>
        <v>https://ceds.ed.gov/cedselementdetails.aspx?termid=5161</v>
      </c>
      <c r="P839" s="6" t="str">
        <f>HYPERLINK("https://ceds.ed.gov/elementComment.aspx?elementName=School Identification System &amp;elementID=5161", "Click here to submit comment")</f>
        <v>Click here to submit comment</v>
      </c>
    </row>
    <row r="840" spans="1:16" ht="45">
      <c r="A840" s="6" t="s">
        <v>6788</v>
      </c>
      <c r="B840" s="6" t="s">
        <v>6804</v>
      </c>
      <c r="C840" s="6" t="s">
        <v>6805</v>
      </c>
      <c r="D840" s="6" t="s">
        <v>5045</v>
      </c>
      <c r="E840" s="6" t="s">
        <v>5046</v>
      </c>
      <c r="F840" s="6" t="s">
        <v>13</v>
      </c>
      <c r="G840" s="6" t="s">
        <v>218</v>
      </c>
      <c r="H840" s="6"/>
      <c r="I840" s="6" t="s">
        <v>100</v>
      </c>
      <c r="J840" s="6"/>
      <c r="K840" s="6"/>
      <c r="L840" s="6" t="s">
        <v>5047</v>
      </c>
      <c r="M840" s="6"/>
      <c r="N840" s="6" t="s">
        <v>5048</v>
      </c>
      <c r="O840" s="6" t="str">
        <f>HYPERLINK("https://ceds.ed.gov/cedselementdetails.aspx?termid=5639")</f>
        <v>https://ceds.ed.gov/cedselementdetails.aspx?termid=5639</v>
      </c>
      <c r="P840" s="6" t="str">
        <f>HYPERLINK("https://ceds.ed.gov/elementComment.aspx?elementName=Responsible District Identifier &amp;elementID=5639", "Click here to submit comment")</f>
        <v>Click here to submit comment</v>
      </c>
    </row>
    <row r="841" spans="1:16" ht="165">
      <c r="A841" s="6" t="s">
        <v>6788</v>
      </c>
      <c r="B841" s="6" t="s">
        <v>6804</v>
      </c>
      <c r="C841" s="6" t="s">
        <v>6805</v>
      </c>
      <c r="D841" s="6" t="s">
        <v>5049</v>
      </c>
      <c r="E841" s="6" t="s">
        <v>5050</v>
      </c>
      <c r="F841" s="7" t="s">
        <v>6641</v>
      </c>
      <c r="G841" s="6" t="s">
        <v>218</v>
      </c>
      <c r="H841" s="6" t="s">
        <v>3</v>
      </c>
      <c r="I841" s="6"/>
      <c r="J841" s="6"/>
      <c r="K841" s="6"/>
      <c r="L841" s="6" t="s">
        <v>5051</v>
      </c>
      <c r="M841" s="6"/>
      <c r="N841" s="6" t="s">
        <v>5052</v>
      </c>
      <c r="O841" s="6" t="str">
        <f>HYPERLINK("https://ceds.ed.gov/cedselementdetails.aspx?termid=5587")</f>
        <v>https://ceds.ed.gov/cedselementdetails.aspx?termid=5587</v>
      </c>
      <c r="P841" s="6" t="str">
        <f>HYPERLINK("https://ceds.ed.gov/elementComment.aspx?elementName=Responsible District Type &amp;elementID=5587", "Click here to submit comment")</f>
        <v>Click here to submit comment</v>
      </c>
    </row>
    <row r="842" spans="1:16" ht="45">
      <c r="A842" s="6" t="s">
        <v>6788</v>
      </c>
      <c r="B842" s="6" t="s">
        <v>6804</v>
      </c>
      <c r="C842" s="6" t="s">
        <v>6805</v>
      </c>
      <c r="D842" s="6" t="s">
        <v>5066</v>
      </c>
      <c r="E842" s="6" t="s">
        <v>5067</v>
      </c>
      <c r="F842" s="6" t="s">
        <v>13</v>
      </c>
      <c r="G842" s="6" t="s">
        <v>218</v>
      </c>
      <c r="H842" s="6"/>
      <c r="I842" s="6" t="s">
        <v>100</v>
      </c>
      <c r="J842" s="6"/>
      <c r="K842" s="6"/>
      <c r="L842" s="6" t="s">
        <v>5068</v>
      </c>
      <c r="M842" s="6"/>
      <c r="N842" s="6" t="s">
        <v>5069</v>
      </c>
      <c r="O842" s="6" t="str">
        <f>HYPERLINK("https://ceds.ed.gov/cedselementdetails.aspx?termid=5640")</f>
        <v>https://ceds.ed.gov/cedselementdetails.aspx?termid=5640</v>
      </c>
      <c r="P842" s="6" t="str">
        <f>HYPERLINK("https://ceds.ed.gov/elementComment.aspx?elementName=Responsible School Identifier &amp;elementID=5640", "Click here to submit comment")</f>
        <v>Click here to submit comment</v>
      </c>
    </row>
    <row r="843" spans="1:16" ht="165">
      <c r="A843" s="6" t="s">
        <v>6788</v>
      </c>
      <c r="B843" s="6" t="s">
        <v>6804</v>
      </c>
      <c r="C843" s="6" t="s">
        <v>6805</v>
      </c>
      <c r="D843" s="6" t="s">
        <v>2554</v>
      </c>
      <c r="E843" s="6" t="s">
        <v>2555</v>
      </c>
      <c r="F843" s="6" t="s">
        <v>13</v>
      </c>
      <c r="G843" s="6" t="s">
        <v>6159</v>
      </c>
      <c r="H843" s="6"/>
      <c r="I843" s="6" t="s">
        <v>73</v>
      </c>
      <c r="J843" s="6"/>
      <c r="K843" s="6"/>
      <c r="L843" s="6" t="s">
        <v>2556</v>
      </c>
      <c r="M843" s="6"/>
      <c r="N843" s="6" t="s">
        <v>2557</v>
      </c>
      <c r="O843" s="6" t="str">
        <f>HYPERLINK("https://ceds.ed.gov/cedselementdetails.aspx?termid=5097")</f>
        <v>https://ceds.ed.gov/cedselementdetails.aspx?termid=5097</v>
      </c>
      <c r="P843" s="6" t="str">
        <f>HYPERLINK("https://ceds.ed.gov/elementComment.aspx?elementName=Enrollment Entry Date &amp;elementID=5097", "Click here to submit comment")</f>
        <v>Click here to submit comment</v>
      </c>
    </row>
    <row r="844" spans="1:16" ht="165">
      <c r="A844" s="6" t="s">
        <v>6788</v>
      </c>
      <c r="B844" s="6" t="s">
        <v>6804</v>
      </c>
      <c r="C844" s="6" t="s">
        <v>6805</v>
      </c>
      <c r="D844" s="6" t="s">
        <v>5070</v>
      </c>
      <c r="E844" s="6" t="s">
        <v>5071</v>
      </c>
      <c r="F844" s="7" t="s">
        <v>6641</v>
      </c>
      <c r="G844" s="6" t="s">
        <v>218</v>
      </c>
      <c r="H844" s="6" t="s">
        <v>66</v>
      </c>
      <c r="I844" s="6"/>
      <c r="J844" s="6" t="s">
        <v>94</v>
      </c>
      <c r="K844" s="6"/>
      <c r="L844" s="6" t="s">
        <v>5072</v>
      </c>
      <c r="M844" s="6"/>
      <c r="N844" s="6" t="s">
        <v>5073</v>
      </c>
      <c r="O844" s="6" t="str">
        <f>HYPERLINK("https://ceds.ed.gov/cedselementdetails.aspx?termid=5588")</f>
        <v>https://ceds.ed.gov/cedselementdetails.aspx?termid=5588</v>
      </c>
      <c r="P844" s="6" t="str">
        <f>HYPERLINK("https://ceds.ed.gov/elementComment.aspx?elementName=Responsible School Type &amp;elementID=5588", "Click here to submit comment")</f>
        <v>Click here to submit comment</v>
      </c>
    </row>
    <row r="845" spans="1:16" ht="120">
      <c r="A845" s="6" t="s">
        <v>6788</v>
      </c>
      <c r="B845" s="6" t="s">
        <v>6804</v>
      </c>
      <c r="C845" s="6" t="s">
        <v>6805</v>
      </c>
      <c r="D845" s="6" t="s">
        <v>3402</v>
      </c>
      <c r="E845" s="6" t="s">
        <v>3403</v>
      </c>
      <c r="F845" s="7" t="s">
        <v>6562</v>
      </c>
      <c r="G845" s="6"/>
      <c r="H845" s="6"/>
      <c r="I845" s="6"/>
      <c r="J845" s="6"/>
      <c r="K845" s="6"/>
      <c r="L845" s="6" t="s">
        <v>3404</v>
      </c>
      <c r="M845" s="6"/>
      <c r="N845" s="6" t="s">
        <v>3405</v>
      </c>
      <c r="O845" s="6" t="str">
        <f>HYPERLINK("https://ceds.ed.gov/cedselementdetails.aspx?termid=5690")</f>
        <v>https://ceds.ed.gov/cedselementdetails.aspx?termid=5690</v>
      </c>
      <c r="P845" s="6" t="str">
        <f>HYPERLINK("https://ceds.ed.gov/elementComment.aspx?elementName=Kindergarten Program Participation Type &amp;elementID=5690", "Click here to submit comment")</f>
        <v>Click here to submit comment</v>
      </c>
    </row>
    <row r="846" spans="1:16" ht="90">
      <c r="A846" s="6" t="s">
        <v>6788</v>
      </c>
      <c r="B846" s="6" t="s">
        <v>6804</v>
      </c>
      <c r="C846" s="6" t="s">
        <v>6805</v>
      </c>
      <c r="D846" s="6" t="s">
        <v>2833</v>
      </c>
      <c r="E846" s="6" t="s">
        <v>2834</v>
      </c>
      <c r="F846" s="6" t="s">
        <v>6180</v>
      </c>
      <c r="G846" s="6" t="s">
        <v>5968</v>
      </c>
      <c r="H846" s="6" t="s">
        <v>66</v>
      </c>
      <c r="I846" s="6"/>
      <c r="J846" s="6" t="s">
        <v>2835</v>
      </c>
      <c r="K846" s="6"/>
      <c r="L846" s="6" t="s">
        <v>2836</v>
      </c>
      <c r="M846" s="6"/>
      <c r="N846" s="6" t="s">
        <v>2837</v>
      </c>
      <c r="O846" s="6" t="str">
        <f>HYPERLINK("https://ceds.ed.gov/cedselementdetails.aspx?termid=5122")</f>
        <v>https://ceds.ed.gov/cedselementdetails.aspx?termid=5122</v>
      </c>
      <c r="P846" s="6" t="str">
        <f>HYPERLINK("https://ceds.ed.gov/elementComment.aspx?elementName=Gifted and Talented Indicator &amp;elementID=5122", "Click here to submit comment")</f>
        <v>Click here to submit comment</v>
      </c>
    </row>
    <row r="847" spans="1:16" ht="120">
      <c r="A847" s="6" t="s">
        <v>6788</v>
      </c>
      <c r="B847" s="6" t="s">
        <v>6804</v>
      </c>
      <c r="C847" s="6" t="s">
        <v>6805</v>
      </c>
      <c r="D847" s="6" t="s">
        <v>2562</v>
      </c>
      <c r="E847" s="6" t="s">
        <v>2563</v>
      </c>
      <c r="F847" s="7" t="s">
        <v>6498</v>
      </c>
      <c r="G847" s="6" t="s">
        <v>218</v>
      </c>
      <c r="H847" s="6"/>
      <c r="I847" s="6"/>
      <c r="J847" s="6"/>
      <c r="K847" s="6"/>
      <c r="L847" s="6" t="s">
        <v>2564</v>
      </c>
      <c r="M847" s="6"/>
      <c r="N847" s="6" t="s">
        <v>2565</v>
      </c>
      <c r="O847" s="6" t="str">
        <f>HYPERLINK("https://ceds.ed.gov/cedselementdetails.aspx?termid=5094")</f>
        <v>https://ceds.ed.gov/cedselementdetails.aspx?termid=5094</v>
      </c>
      <c r="P847" s="6" t="str">
        <f>HYPERLINK("https://ceds.ed.gov/elementComment.aspx?elementName=Enrollment Status &amp;elementID=5094", "Click here to submit comment")</f>
        <v>Click here to submit comment</v>
      </c>
    </row>
    <row r="848" spans="1:16" ht="345">
      <c r="A848" s="6" t="s">
        <v>6788</v>
      </c>
      <c r="B848" s="6" t="s">
        <v>6804</v>
      </c>
      <c r="C848" s="6" t="s">
        <v>6805</v>
      </c>
      <c r="D848" s="6" t="s">
        <v>2570</v>
      </c>
      <c r="E848" s="6" t="s">
        <v>2571</v>
      </c>
      <c r="F848" s="7" t="s">
        <v>6499</v>
      </c>
      <c r="G848" s="6" t="s">
        <v>6084</v>
      </c>
      <c r="H848" s="6" t="s">
        <v>3</v>
      </c>
      <c r="I848" s="6"/>
      <c r="J848" s="6"/>
      <c r="K848" s="6"/>
      <c r="L848" s="6" t="s">
        <v>2572</v>
      </c>
      <c r="M848" s="6"/>
      <c r="N848" s="6" t="s">
        <v>2573</v>
      </c>
      <c r="O848" s="6" t="str">
        <f>HYPERLINK("https://ceds.ed.gov/cedselementdetails.aspx?termid=5100")</f>
        <v>https://ceds.ed.gov/cedselementdetails.aspx?termid=5100</v>
      </c>
      <c r="P848" s="6" t="str">
        <f>HYPERLINK("https://ceds.ed.gov/elementComment.aspx?elementName=Entry Grade Level &amp;elementID=5100", "Click here to submit comment")</f>
        <v>Click here to submit comment</v>
      </c>
    </row>
    <row r="849" spans="1:16" ht="409.5">
      <c r="A849" s="6" t="s">
        <v>6788</v>
      </c>
      <c r="B849" s="6" t="s">
        <v>6804</v>
      </c>
      <c r="C849" s="6" t="s">
        <v>6805</v>
      </c>
      <c r="D849" s="6" t="s">
        <v>2574</v>
      </c>
      <c r="E849" s="6" t="s">
        <v>2575</v>
      </c>
      <c r="F849" s="7" t="s">
        <v>6500</v>
      </c>
      <c r="G849" s="6" t="s">
        <v>5968</v>
      </c>
      <c r="H849" s="6"/>
      <c r="I849" s="6"/>
      <c r="J849" s="6"/>
      <c r="K849" s="6"/>
      <c r="L849" s="6" t="s">
        <v>2576</v>
      </c>
      <c r="M849" s="6"/>
      <c r="N849" s="6" t="s">
        <v>2577</v>
      </c>
      <c r="O849" s="6" t="str">
        <f>HYPERLINK("https://ceds.ed.gov/cedselementdetails.aspx?termid=5099")</f>
        <v>https://ceds.ed.gov/cedselementdetails.aspx?termid=5099</v>
      </c>
      <c r="P849" s="6" t="str">
        <f>HYPERLINK("https://ceds.ed.gov/elementComment.aspx?elementName=Entry Type &amp;elementID=5099", "Click here to submit comment")</f>
        <v>Click here to submit comment</v>
      </c>
    </row>
    <row r="850" spans="1:16" ht="60">
      <c r="A850" s="6" t="s">
        <v>6788</v>
      </c>
      <c r="B850" s="6" t="s">
        <v>6804</v>
      </c>
      <c r="C850" s="6" t="s">
        <v>6805</v>
      </c>
      <c r="D850" s="6" t="s">
        <v>2578</v>
      </c>
      <c r="E850" s="6" t="s">
        <v>2579</v>
      </c>
      <c r="F850" s="6" t="s">
        <v>13</v>
      </c>
      <c r="G850" s="6" t="s">
        <v>24</v>
      </c>
      <c r="H850" s="6"/>
      <c r="I850" s="6" t="s">
        <v>73</v>
      </c>
      <c r="J850" s="6"/>
      <c r="K850" s="6"/>
      <c r="L850" s="6" t="s">
        <v>2580</v>
      </c>
      <c r="M850" s="6"/>
      <c r="N850" s="6" t="s">
        <v>2581</v>
      </c>
      <c r="O850" s="6" t="str">
        <f>HYPERLINK("https://ceds.ed.gov/cedselementdetails.aspx?termid=5107")</f>
        <v>https://ceds.ed.gov/cedselementdetails.aspx?termid=5107</v>
      </c>
      <c r="P850" s="6" t="str">
        <f>HYPERLINK("https://ceds.ed.gov/elementComment.aspx?elementName=Exit Date &amp;elementID=5107", "Click here to submit comment")</f>
        <v>Click here to submit comment</v>
      </c>
    </row>
    <row r="851" spans="1:16" ht="345">
      <c r="A851" s="6" t="s">
        <v>6788</v>
      </c>
      <c r="B851" s="6" t="s">
        <v>6804</v>
      </c>
      <c r="C851" s="6" t="s">
        <v>6805</v>
      </c>
      <c r="D851" s="6" t="s">
        <v>2582</v>
      </c>
      <c r="E851" s="6" t="s">
        <v>2583</v>
      </c>
      <c r="F851" s="7" t="s">
        <v>6499</v>
      </c>
      <c r="G851" s="6"/>
      <c r="H851" s="6" t="s">
        <v>3</v>
      </c>
      <c r="I851" s="6"/>
      <c r="J851" s="6"/>
      <c r="K851" s="6"/>
      <c r="L851" s="6" t="s">
        <v>2584</v>
      </c>
      <c r="M851" s="6"/>
      <c r="N851" s="6" t="s">
        <v>2585</v>
      </c>
      <c r="O851" s="6" t="str">
        <f>HYPERLINK("https://ceds.ed.gov/cedselementdetails.aspx?termid=6177")</f>
        <v>https://ceds.ed.gov/cedselementdetails.aspx?termid=6177</v>
      </c>
      <c r="P851" s="6" t="str">
        <f>HYPERLINK("https://ceds.ed.gov/elementComment.aspx?elementName=Exit Grade Level &amp;elementID=6177", "Click here to submit comment")</f>
        <v>Click here to submit comment</v>
      </c>
    </row>
    <row r="852" spans="1:16" ht="409.5">
      <c r="A852" s="6" t="s">
        <v>6788</v>
      </c>
      <c r="B852" s="6" t="s">
        <v>6804</v>
      </c>
      <c r="C852" s="6" t="s">
        <v>6805</v>
      </c>
      <c r="D852" s="6" t="s">
        <v>2590</v>
      </c>
      <c r="E852" s="6" t="s">
        <v>2591</v>
      </c>
      <c r="F852" s="7" t="s">
        <v>6501</v>
      </c>
      <c r="G852" s="6" t="s">
        <v>6165</v>
      </c>
      <c r="H852" s="6"/>
      <c r="I852" s="6"/>
      <c r="J852" s="6"/>
      <c r="K852" s="6"/>
      <c r="L852" s="6" t="s">
        <v>2592</v>
      </c>
      <c r="M852" s="6"/>
      <c r="N852" s="6" t="s">
        <v>2593</v>
      </c>
      <c r="O852" s="6" t="str">
        <f>HYPERLINK("https://ceds.ed.gov/cedselementdetails.aspx?termid=5110")</f>
        <v>https://ceds.ed.gov/cedselementdetails.aspx?termid=5110</v>
      </c>
      <c r="P852" s="6" t="str">
        <f>HYPERLINK("https://ceds.ed.gov/elementComment.aspx?elementName=Exit or Withdrawal Type &amp;elementID=5110", "Click here to submit comment")</f>
        <v>Click here to submit comment</v>
      </c>
    </row>
    <row r="853" spans="1:16" ht="60">
      <c r="A853" s="6" t="s">
        <v>6788</v>
      </c>
      <c r="B853" s="6" t="s">
        <v>6804</v>
      </c>
      <c r="C853" s="6" t="s">
        <v>6805</v>
      </c>
      <c r="D853" s="6" t="s">
        <v>2586</v>
      </c>
      <c r="E853" s="6" t="s">
        <v>2587</v>
      </c>
      <c r="F853" s="6" t="s">
        <v>6163</v>
      </c>
      <c r="G853" s="6" t="s">
        <v>1990</v>
      </c>
      <c r="H853" s="6"/>
      <c r="I853" s="6"/>
      <c r="J853" s="6"/>
      <c r="K853" s="6"/>
      <c r="L853" s="6" t="s">
        <v>2588</v>
      </c>
      <c r="M853" s="6"/>
      <c r="N853" s="6" t="s">
        <v>2589</v>
      </c>
      <c r="O853" s="6" t="str">
        <f>HYPERLINK("https://ceds.ed.gov/cedselementdetails.aspx?termid=5108")</f>
        <v>https://ceds.ed.gov/cedselementdetails.aspx?termid=5108</v>
      </c>
      <c r="P853" s="6" t="str">
        <f>HYPERLINK("https://ceds.ed.gov/elementComment.aspx?elementName=Exit or Withdrawal Status &amp;elementID=5108", "Click here to submit comment")</f>
        <v>Click here to submit comment</v>
      </c>
    </row>
    <row r="854" spans="1:16" ht="60">
      <c r="A854" s="6" t="s">
        <v>6788</v>
      </c>
      <c r="B854" s="6" t="s">
        <v>6804</v>
      </c>
      <c r="C854" s="6" t="s">
        <v>6805</v>
      </c>
      <c r="D854" s="6" t="s">
        <v>1739</v>
      </c>
      <c r="E854" s="6" t="s">
        <v>1740</v>
      </c>
      <c r="F854" s="6" t="s">
        <v>13</v>
      </c>
      <c r="G854" s="6" t="s">
        <v>6093</v>
      </c>
      <c r="H854" s="6"/>
      <c r="I854" s="6" t="s">
        <v>1736</v>
      </c>
      <c r="J854" s="6"/>
      <c r="K854" s="6"/>
      <c r="L854" s="6" t="s">
        <v>1741</v>
      </c>
      <c r="M854" s="6"/>
      <c r="N854" s="6" t="s">
        <v>1742</v>
      </c>
      <c r="O854" s="6" t="str">
        <f>HYPERLINK("https://ceds.ed.gov/cedselementdetails.aspx?termid=5046")</f>
        <v>https://ceds.ed.gov/cedselementdetails.aspx?termid=5046</v>
      </c>
      <c r="P854" s="6" t="str">
        <f>HYPERLINK("https://ceds.ed.gov/elementComment.aspx?elementName=Cohort Year &amp;elementID=5046", "Click here to submit comment")</f>
        <v>Click here to submit comment</v>
      </c>
    </row>
    <row r="855" spans="1:16" ht="45">
      <c r="A855" s="6" t="s">
        <v>6788</v>
      </c>
      <c r="B855" s="6" t="s">
        <v>6804</v>
      </c>
      <c r="C855" s="6" t="s">
        <v>6805</v>
      </c>
      <c r="D855" s="6" t="s">
        <v>1734</v>
      </c>
      <c r="E855" s="6" t="s">
        <v>1735</v>
      </c>
      <c r="F855" s="6" t="s">
        <v>13</v>
      </c>
      <c r="G855" s="6" t="s">
        <v>6101</v>
      </c>
      <c r="H855" s="6" t="s">
        <v>3</v>
      </c>
      <c r="I855" s="6" t="s">
        <v>1736</v>
      </c>
      <c r="J855" s="6"/>
      <c r="K855" s="6"/>
      <c r="L855" s="6" t="s">
        <v>1737</v>
      </c>
      <c r="M855" s="6"/>
      <c r="N855" s="6" t="s">
        <v>1738</v>
      </c>
      <c r="O855" s="6" t="str">
        <f>HYPERLINK("https://ceds.ed.gov/cedselementdetails.aspx?termid=5577")</f>
        <v>https://ceds.ed.gov/cedselementdetails.aspx?termid=5577</v>
      </c>
      <c r="P855" s="6" t="str">
        <f>HYPERLINK("https://ceds.ed.gov/elementComment.aspx?elementName=Cohort Graduation Year &amp;elementID=5577", "Click here to submit comment")</f>
        <v>Click here to submit comment</v>
      </c>
    </row>
    <row r="856" spans="1:16" ht="90">
      <c r="A856" s="6" t="s">
        <v>6788</v>
      </c>
      <c r="B856" s="6" t="s">
        <v>6804</v>
      </c>
      <c r="C856" s="6" t="s">
        <v>6805</v>
      </c>
      <c r="D856" s="6" t="s">
        <v>161</v>
      </c>
      <c r="E856" s="6" t="s">
        <v>162</v>
      </c>
      <c r="F856" s="6" t="s">
        <v>13</v>
      </c>
      <c r="G856" s="6" t="s">
        <v>5968</v>
      </c>
      <c r="H856" s="6"/>
      <c r="I856" s="6" t="s">
        <v>106</v>
      </c>
      <c r="J856" s="6"/>
      <c r="K856" s="6"/>
      <c r="L856" s="6" t="s">
        <v>163</v>
      </c>
      <c r="M856" s="6"/>
      <c r="N856" s="6" t="s">
        <v>164</v>
      </c>
      <c r="O856" s="6" t="str">
        <f>HYPERLINK("https://ceds.ed.gov/cedselementdetails.aspx?termid=5009")</f>
        <v>https://ceds.ed.gov/cedselementdetails.aspx?termid=5009</v>
      </c>
      <c r="P856" s="6" t="str">
        <f>HYPERLINK("https://ceds.ed.gov/elementComment.aspx?elementName=Activity Title &amp;elementID=5009", "Click here to submit comment")</f>
        <v>Click here to submit comment</v>
      </c>
    </row>
    <row r="857" spans="1:16" ht="90">
      <c r="A857" s="6" t="s">
        <v>6788</v>
      </c>
      <c r="B857" s="6" t="s">
        <v>6804</v>
      </c>
      <c r="C857" s="6" t="s">
        <v>6805</v>
      </c>
      <c r="D857" s="6" t="s">
        <v>147</v>
      </c>
      <c r="E857" s="6" t="s">
        <v>148</v>
      </c>
      <c r="F857" s="6" t="s">
        <v>13</v>
      </c>
      <c r="G857" s="6" t="s">
        <v>5968</v>
      </c>
      <c r="H857" s="6"/>
      <c r="I857" s="6" t="s">
        <v>149</v>
      </c>
      <c r="J857" s="6"/>
      <c r="K857" s="6"/>
      <c r="L857" s="6" t="s">
        <v>150</v>
      </c>
      <c r="M857" s="6"/>
      <c r="N857" s="6" t="s">
        <v>151</v>
      </c>
      <c r="O857" s="6" t="str">
        <f>HYPERLINK("https://ceds.ed.gov/cedselementdetails.aspx?termid=5006")</f>
        <v>https://ceds.ed.gov/cedselementdetails.aspx?termid=5006</v>
      </c>
      <c r="P857" s="6" t="str">
        <f>HYPERLINK("https://ceds.ed.gov/elementComment.aspx?elementName=Activity Identifier &amp;elementID=5006", "Click here to submit comment")</f>
        <v>Click here to submit comment</v>
      </c>
    </row>
    <row r="858" spans="1:16" ht="90">
      <c r="A858" s="6" t="s">
        <v>6788</v>
      </c>
      <c r="B858" s="6" t="s">
        <v>6804</v>
      </c>
      <c r="C858" s="6" t="s">
        <v>6805</v>
      </c>
      <c r="D858" s="6" t="s">
        <v>152</v>
      </c>
      <c r="E858" s="6" t="s">
        <v>153</v>
      </c>
      <c r="F858" s="6" t="s">
        <v>13</v>
      </c>
      <c r="G858" s="6" t="s">
        <v>5968</v>
      </c>
      <c r="H858" s="6"/>
      <c r="I858" s="6" t="s">
        <v>73</v>
      </c>
      <c r="J858" s="6"/>
      <c r="K858" s="6"/>
      <c r="L858" s="6" t="s">
        <v>155</v>
      </c>
      <c r="M858" s="6"/>
      <c r="N858" s="6" t="s">
        <v>156</v>
      </c>
      <c r="O858" s="6" t="str">
        <f>HYPERLINK("https://ceds.ed.gov/cedselementdetails.aspx?termid=5007")</f>
        <v>https://ceds.ed.gov/cedselementdetails.aspx?termid=5007</v>
      </c>
      <c r="P858" s="6" t="str">
        <f>HYPERLINK("https://ceds.ed.gov/elementComment.aspx?elementName=Activity Involvement Begin Date &amp;elementID=5007", "Click here to submit comment")</f>
        <v>Click here to submit comment</v>
      </c>
    </row>
    <row r="859" spans="1:16" ht="90">
      <c r="A859" s="6" t="s">
        <v>6788</v>
      </c>
      <c r="B859" s="6" t="s">
        <v>6804</v>
      </c>
      <c r="C859" s="6" t="s">
        <v>6805</v>
      </c>
      <c r="D859" s="6" t="s">
        <v>157</v>
      </c>
      <c r="E859" s="6" t="s">
        <v>158</v>
      </c>
      <c r="F859" s="6" t="s">
        <v>13</v>
      </c>
      <c r="G859" s="6" t="s">
        <v>5968</v>
      </c>
      <c r="H859" s="6"/>
      <c r="I859" s="6" t="s">
        <v>73</v>
      </c>
      <c r="J859" s="6"/>
      <c r="K859" s="6"/>
      <c r="L859" s="6" t="s">
        <v>159</v>
      </c>
      <c r="M859" s="6"/>
      <c r="N859" s="6" t="s">
        <v>160</v>
      </c>
      <c r="O859" s="6" t="str">
        <f>HYPERLINK("https://ceds.ed.gov/cedselementdetails.aspx?termid=5008")</f>
        <v>https://ceds.ed.gov/cedselementdetails.aspx?termid=5008</v>
      </c>
      <c r="P859" s="6" t="str">
        <f>HYPERLINK("https://ceds.ed.gov/elementComment.aspx?elementName=Activity Involvement End Date &amp;elementID=5008", "Click here to submit comment")</f>
        <v>Click here to submit comment</v>
      </c>
    </row>
    <row r="860" spans="1:16" ht="60">
      <c r="A860" s="6" t="s">
        <v>6788</v>
      </c>
      <c r="B860" s="6" t="s">
        <v>6804</v>
      </c>
      <c r="C860" s="6" t="s">
        <v>6805</v>
      </c>
      <c r="D860" s="6" t="s">
        <v>2825</v>
      </c>
      <c r="E860" s="6" t="s">
        <v>2826</v>
      </c>
      <c r="F860" s="6" t="s">
        <v>5963</v>
      </c>
      <c r="G860" s="6" t="s">
        <v>2</v>
      </c>
      <c r="H860" s="6"/>
      <c r="I860" s="6"/>
      <c r="J860" s="6"/>
      <c r="K860" s="6"/>
      <c r="L860" s="6" t="s">
        <v>2827</v>
      </c>
      <c r="M860" s="6"/>
      <c r="N860" s="6" t="s">
        <v>2828</v>
      </c>
      <c r="O860" s="6" t="str">
        <f>HYPERLINK("https://ceds.ed.gov/cedselementdetails.aspx?termid=5120")</f>
        <v>https://ceds.ed.gov/cedselementdetails.aspx?termid=5120</v>
      </c>
      <c r="P860" s="6" t="str">
        <f>HYPERLINK("https://ceds.ed.gov/elementComment.aspx?elementName=GED Preparation Program Participation Status &amp;elementID=5120", "Click here to submit comment")</f>
        <v>Click here to submit comment</v>
      </c>
    </row>
    <row r="861" spans="1:16" ht="45">
      <c r="A861" s="6" t="s">
        <v>6788</v>
      </c>
      <c r="B861" s="6" t="s">
        <v>6804</v>
      </c>
      <c r="C861" s="6" t="s">
        <v>6805</v>
      </c>
      <c r="D861" s="6" t="s">
        <v>2251</v>
      </c>
      <c r="E861" s="6" t="s">
        <v>2252</v>
      </c>
      <c r="F861" s="6" t="s">
        <v>5963</v>
      </c>
      <c r="G861" s="6"/>
      <c r="H861" s="6"/>
      <c r="I861" s="6"/>
      <c r="J861" s="6"/>
      <c r="K861" s="6"/>
      <c r="L861" s="6" t="s">
        <v>2253</v>
      </c>
      <c r="M861" s="6"/>
      <c r="N861" s="6" t="s">
        <v>2254</v>
      </c>
      <c r="O861" s="6" t="str">
        <f>HYPERLINK("https://ceds.ed.gov/cedselementdetails.aspx?termid=5603")</f>
        <v>https://ceds.ed.gov/cedselementdetails.aspx?termid=5603</v>
      </c>
      <c r="P861" s="6" t="str">
        <f>HYPERLINK("https://ceds.ed.gov/elementComment.aspx?elementName=Displaced Student Status &amp;elementID=5603", "Click here to submit comment")</f>
        <v>Click here to submit comment</v>
      </c>
    </row>
    <row r="862" spans="1:16" ht="45">
      <c r="A862" s="6" t="s">
        <v>6788</v>
      </c>
      <c r="B862" s="6" t="s">
        <v>6804</v>
      </c>
      <c r="C862" s="6" t="s">
        <v>6805</v>
      </c>
      <c r="D862" s="6" t="s">
        <v>5837</v>
      </c>
      <c r="E862" s="6" t="s">
        <v>5838</v>
      </c>
      <c r="F862" s="6" t="s">
        <v>5963</v>
      </c>
      <c r="G862" s="6" t="s">
        <v>218</v>
      </c>
      <c r="H862" s="6"/>
      <c r="I862" s="6"/>
      <c r="J862" s="6"/>
      <c r="K862" s="6"/>
      <c r="L862" s="6" t="s">
        <v>5839</v>
      </c>
      <c r="M862" s="6"/>
      <c r="N862" s="6" t="s">
        <v>5840</v>
      </c>
      <c r="O862" s="6" t="str">
        <f>HYPERLINK("https://ceds.ed.gov/cedselementdetails.aspx?termid=5561")</f>
        <v>https://ceds.ed.gov/cedselementdetails.aspx?termid=5561</v>
      </c>
      <c r="P862" s="6" t="str">
        <f>HYPERLINK("https://ceds.ed.gov/elementComment.aspx?elementName=Truant Status &amp;elementID=5561", "Click here to submit comment")</f>
        <v>Click here to submit comment</v>
      </c>
    </row>
    <row r="863" spans="1:16" ht="409.5">
      <c r="A863" s="6" t="s">
        <v>6788</v>
      </c>
      <c r="B863" s="6" t="s">
        <v>6804</v>
      </c>
      <c r="C863" s="6" t="s">
        <v>6805</v>
      </c>
      <c r="D863" s="6" t="s">
        <v>4788</v>
      </c>
      <c r="E863" s="6" t="s">
        <v>4789</v>
      </c>
      <c r="F863" s="7" t="s">
        <v>6623</v>
      </c>
      <c r="G863" s="6"/>
      <c r="H863" s="6" t="s">
        <v>66</v>
      </c>
      <c r="I863" s="6"/>
      <c r="J863" s="6" t="s">
        <v>94</v>
      </c>
      <c r="K863" s="6"/>
      <c r="L863" s="6" t="s">
        <v>4790</v>
      </c>
      <c r="M863" s="6"/>
      <c r="N863" s="6" t="s">
        <v>4791</v>
      </c>
      <c r="O863" s="6" t="str">
        <f>HYPERLINK("https://ceds.ed.gov/cedselementdetails.aspx?termid=6210")</f>
        <v>https://ceds.ed.gov/cedselementdetails.aspx?termid=6210</v>
      </c>
      <c r="P863" s="6" t="str">
        <f>HYPERLINK("https://ceds.ed.gov/elementComment.aspx?elementName=Program Gifted Eligibility Criteria &amp;elementID=6210", "Click here to submit comment")</f>
        <v>Click here to submit comment</v>
      </c>
    </row>
    <row r="864" spans="1:16" ht="135">
      <c r="A864" s="6" t="s">
        <v>6788</v>
      </c>
      <c r="B864" s="6" t="s">
        <v>6804</v>
      </c>
      <c r="C864" s="6" t="s">
        <v>6806</v>
      </c>
      <c r="D864" s="6" t="s">
        <v>1915</v>
      </c>
      <c r="E864" s="6" t="s">
        <v>1916</v>
      </c>
      <c r="F864" s="6" t="s">
        <v>13</v>
      </c>
      <c r="G864" s="6" t="s">
        <v>6116</v>
      </c>
      <c r="H864" s="6" t="s">
        <v>66</v>
      </c>
      <c r="I864" s="6" t="s">
        <v>1917</v>
      </c>
      <c r="J864" s="6" t="s">
        <v>1918</v>
      </c>
      <c r="K864" s="6"/>
      <c r="L864" s="6" t="s">
        <v>1919</v>
      </c>
      <c r="M864" s="6"/>
      <c r="N864" s="6" t="s">
        <v>1920</v>
      </c>
      <c r="O864" s="6" t="str">
        <f>HYPERLINK("https://ceds.ed.gov/cedselementdetails.aspx?termid=5055")</f>
        <v>https://ceds.ed.gov/cedselementdetails.aspx?termid=5055</v>
      </c>
      <c r="P864" s="6" t="str">
        <f>HYPERLINK("https://ceds.ed.gov/elementComment.aspx?elementName=Course Identifier &amp;elementID=5055", "Click here to submit comment")</f>
        <v>Click here to submit comment</v>
      </c>
    </row>
    <row r="865" spans="1:16" ht="285">
      <c r="A865" s="6" t="s">
        <v>6788</v>
      </c>
      <c r="B865" s="6" t="s">
        <v>6804</v>
      </c>
      <c r="C865" s="6" t="s">
        <v>6806</v>
      </c>
      <c r="D865" s="6" t="s">
        <v>1868</v>
      </c>
      <c r="E865" s="6" t="s">
        <v>1869</v>
      </c>
      <c r="F865" s="7" t="s">
        <v>6435</v>
      </c>
      <c r="G865" s="6" t="s">
        <v>6078</v>
      </c>
      <c r="H865" s="6"/>
      <c r="I865" s="6"/>
      <c r="J865" s="6"/>
      <c r="K865" s="6"/>
      <c r="L865" s="6" t="s">
        <v>1870</v>
      </c>
      <c r="M865" s="6"/>
      <c r="N865" s="6" t="s">
        <v>1871</v>
      </c>
      <c r="O865" s="6" t="str">
        <f>HYPERLINK("https://ceds.ed.gov/cedselementdetails.aspx?termid=5056")</f>
        <v>https://ceds.ed.gov/cedselementdetails.aspx?termid=5056</v>
      </c>
      <c r="P865" s="6" t="str">
        <f>HYPERLINK("https://ceds.ed.gov/elementComment.aspx?elementName=Course Code System &amp;elementID=5056", "Click here to submit comment")</f>
        <v>Click here to submit comment</v>
      </c>
    </row>
    <row r="866" spans="1:16" ht="225">
      <c r="A866" s="6" t="s">
        <v>6788</v>
      </c>
      <c r="B866" s="6" t="s">
        <v>6804</v>
      </c>
      <c r="C866" s="6" t="s">
        <v>6806</v>
      </c>
      <c r="D866" s="6" t="s">
        <v>2034</v>
      </c>
      <c r="E866" s="6" t="s">
        <v>2035</v>
      </c>
      <c r="F866" s="6" t="s">
        <v>13</v>
      </c>
      <c r="G866" s="6" t="s">
        <v>6078</v>
      </c>
      <c r="H866" s="6"/>
      <c r="I866" s="6" t="s">
        <v>106</v>
      </c>
      <c r="J866" s="6"/>
      <c r="K866" s="6"/>
      <c r="L866" s="6" t="s">
        <v>2036</v>
      </c>
      <c r="M866" s="6"/>
      <c r="N866" s="6" t="s">
        <v>2037</v>
      </c>
      <c r="O866" s="6" t="str">
        <f>HYPERLINK("https://ceds.ed.gov/cedselementdetails.aspx?termid=5067")</f>
        <v>https://ceds.ed.gov/cedselementdetails.aspx?termid=5067</v>
      </c>
      <c r="P866" s="6" t="str">
        <f>HYPERLINK("https://ceds.ed.gov/elementComment.aspx?elementName=Course Title &amp;elementID=5067", "Click here to submit comment")</f>
        <v>Click here to submit comment</v>
      </c>
    </row>
    <row r="867" spans="1:16" ht="345">
      <c r="A867" s="6" t="s">
        <v>6788</v>
      </c>
      <c r="B867" s="6" t="s">
        <v>6804</v>
      </c>
      <c r="C867" s="6" t="s">
        <v>6806</v>
      </c>
      <c r="D867" s="6" t="s">
        <v>2851</v>
      </c>
      <c r="E867" s="6" t="s">
        <v>2852</v>
      </c>
      <c r="F867" s="7" t="s">
        <v>6499</v>
      </c>
      <c r="G867" s="6" t="s">
        <v>5968</v>
      </c>
      <c r="H867" s="6"/>
      <c r="I867" s="6"/>
      <c r="J867" s="6"/>
      <c r="K867" s="6"/>
      <c r="L867" s="6" t="s">
        <v>2853</v>
      </c>
      <c r="M867" s="6"/>
      <c r="N867" s="6" t="s">
        <v>2854</v>
      </c>
      <c r="O867" s="6" t="str">
        <f>HYPERLINK("https://ceds.ed.gov/cedselementdetails.aspx?termid=5125")</f>
        <v>https://ceds.ed.gov/cedselementdetails.aspx?termid=5125</v>
      </c>
      <c r="P867" s="6" t="str">
        <f>HYPERLINK("https://ceds.ed.gov/elementComment.aspx?elementName=Grade Level When Course Taken &amp;elementID=5125", "Click here to submit comment")</f>
        <v>Click here to submit comment</v>
      </c>
    </row>
    <row r="868" spans="1:16" ht="285">
      <c r="A868" s="6" t="s">
        <v>6788</v>
      </c>
      <c r="B868" s="6" t="s">
        <v>6804</v>
      </c>
      <c r="C868" s="6" t="s">
        <v>6806</v>
      </c>
      <c r="D868" s="6" t="s">
        <v>1962</v>
      </c>
      <c r="E868" s="6" t="s">
        <v>1963</v>
      </c>
      <c r="F868" s="7" t="s">
        <v>6445</v>
      </c>
      <c r="G868" s="6" t="s">
        <v>5968</v>
      </c>
      <c r="H868" s="6" t="s">
        <v>3</v>
      </c>
      <c r="I868" s="6"/>
      <c r="J868" s="6"/>
      <c r="K868" s="6"/>
      <c r="L868" s="6" t="s">
        <v>1964</v>
      </c>
      <c r="M868" s="6"/>
      <c r="N868" s="6" t="s">
        <v>1965</v>
      </c>
      <c r="O868" s="6" t="str">
        <f>HYPERLINK("https://ceds.ed.gov/cedselementdetails.aspx?termid=5065")</f>
        <v>https://ceds.ed.gov/cedselementdetails.aspx?termid=5065</v>
      </c>
      <c r="P868" s="6" t="str">
        <f>HYPERLINK("https://ceds.ed.gov/elementComment.aspx?elementName=Course Repeat Code &amp;elementID=5065", "Click here to submit comment")</f>
        <v>Click here to submit comment</v>
      </c>
    </row>
    <row r="869" spans="1:16" ht="90">
      <c r="A869" s="6" t="s">
        <v>6788</v>
      </c>
      <c r="B869" s="6" t="s">
        <v>6804</v>
      </c>
      <c r="C869" s="6" t="s">
        <v>6806</v>
      </c>
      <c r="D869" s="6" t="s">
        <v>4253</v>
      </c>
      <c r="E869" s="6" t="s">
        <v>4254</v>
      </c>
      <c r="F869" s="6" t="s">
        <v>13</v>
      </c>
      <c r="G869" s="6" t="s">
        <v>5968</v>
      </c>
      <c r="H869" s="6"/>
      <c r="I869" s="6" t="s">
        <v>1461</v>
      </c>
      <c r="J869" s="6"/>
      <c r="K869" s="6"/>
      <c r="L869" s="6" t="s">
        <v>4255</v>
      </c>
      <c r="M869" s="6"/>
      <c r="N869" s="6" t="s">
        <v>4256</v>
      </c>
      <c r="O869" s="6" t="str">
        <f>HYPERLINK("https://ceds.ed.gov/cedselementdetails.aspx?termid=5199")</f>
        <v>https://ceds.ed.gov/cedselementdetails.aspx?termid=5199</v>
      </c>
      <c r="P869" s="6" t="str">
        <f>HYPERLINK("https://ceds.ed.gov/elementComment.aspx?elementName=Number of Credits Attempted &amp;elementID=5199", "Click here to submit comment")</f>
        <v>Click here to submit comment</v>
      </c>
    </row>
    <row r="870" spans="1:16" ht="120">
      <c r="A870" s="6" t="s">
        <v>6788</v>
      </c>
      <c r="B870" s="6" t="s">
        <v>6804</v>
      </c>
      <c r="C870" s="6" t="s">
        <v>6806</v>
      </c>
      <c r="D870" s="6" t="s">
        <v>4257</v>
      </c>
      <c r="E870" s="6" t="s">
        <v>4258</v>
      </c>
      <c r="F870" s="6" t="s">
        <v>13</v>
      </c>
      <c r="G870" s="6" t="s">
        <v>6252</v>
      </c>
      <c r="H870" s="6" t="s">
        <v>66</v>
      </c>
      <c r="I870" s="6" t="s">
        <v>1461</v>
      </c>
      <c r="J870" s="6" t="s">
        <v>1820</v>
      </c>
      <c r="K870" s="6"/>
      <c r="L870" s="6" t="s">
        <v>4259</v>
      </c>
      <c r="M870" s="6"/>
      <c r="N870" s="6" t="s">
        <v>4260</v>
      </c>
      <c r="O870" s="6" t="str">
        <f>HYPERLINK("https://ceds.ed.gov/cedselementdetails.aspx?termid=5200")</f>
        <v>https://ceds.ed.gov/cedselementdetails.aspx?termid=5200</v>
      </c>
      <c r="P870" s="6" t="str">
        <f>HYPERLINK("https://ceds.ed.gov/elementComment.aspx?elementName=Number of Credits Earned &amp;elementID=5200", "Click here to submit comment")</f>
        <v>Click here to submit comment</v>
      </c>
    </row>
    <row r="871" spans="1:16" ht="90">
      <c r="A871" s="6" t="s">
        <v>6788</v>
      </c>
      <c r="B871" s="6" t="s">
        <v>6804</v>
      </c>
      <c r="C871" s="6" t="s">
        <v>6806</v>
      </c>
      <c r="D871" s="6" t="s">
        <v>2842</v>
      </c>
      <c r="E871" s="6" t="s">
        <v>2843</v>
      </c>
      <c r="F871" s="6" t="s">
        <v>13</v>
      </c>
      <c r="G871" s="6" t="s">
        <v>5968</v>
      </c>
      <c r="H871" s="6"/>
      <c r="I871" s="6" t="s">
        <v>2844</v>
      </c>
      <c r="J871" s="6"/>
      <c r="K871" s="6"/>
      <c r="L871" s="6" t="s">
        <v>2845</v>
      </c>
      <c r="M871" s="6"/>
      <c r="N871" s="6" t="s">
        <v>2846</v>
      </c>
      <c r="O871" s="6" t="str">
        <f>HYPERLINK("https://ceds.ed.gov/cedselementdetails.aspx?termid=5124")</f>
        <v>https://ceds.ed.gov/cedselementdetails.aspx?termid=5124</v>
      </c>
      <c r="P871" s="6" t="str">
        <f>HYPERLINK("https://ceds.ed.gov/elementComment.aspx?elementName=Grade Earned &amp;elementID=5124", "Click here to submit comment")</f>
        <v>Click here to submit comment</v>
      </c>
    </row>
    <row r="872" spans="1:16" ht="409.5">
      <c r="A872" s="6" t="s">
        <v>6788</v>
      </c>
      <c r="B872" s="6" t="s">
        <v>6804</v>
      </c>
      <c r="C872" s="6" t="s">
        <v>6806</v>
      </c>
      <c r="D872" s="6" t="s">
        <v>2058</v>
      </c>
      <c r="E872" s="6" t="s">
        <v>2059</v>
      </c>
      <c r="F872" s="7" t="s">
        <v>6451</v>
      </c>
      <c r="G872" s="6" t="s">
        <v>5968</v>
      </c>
      <c r="H872" s="6"/>
      <c r="I872" s="6"/>
      <c r="J872" s="6"/>
      <c r="K872" s="6"/>
      <c r="L872" s="6" t="s">
        <v>2060</v>
      </c>
      <c r="M872" s="6"/>
      <c r="N872" s="6" t="s">
        <v>2061</v>
      </c>
      <c r="O872" s="6" t="str">
        <f>HYPERLINK("https://ceds.ed.gov/cedselementdetails.aspx?termid=5072")</f>
        <v>https://ceds.ed.gov/cedselementdetails.aspx?termid=5072</v>
      </c>
      <c r="P872" s="6" t="str">
        <f>HYPERLINK("https://ceds.ed.gov/elementComment.aspx?elementName=Credit Type Earned &amp;elementID=5072", "Click here to submit comment")</f>
        <v>Click here to submit comment</v>
      </c>
    </row>
    <row r="873" spans="1:16" ht="135">
      <c r="A873" s="6" t="s">
        <v>6788</v>
      </c>
      <c r="B873" s="6" t="s">
        <v>6804</v>
      </c>
      <c r="C873" s="6" t="s">
        <v>6806</v>
      </c>
      <c r="D873" s="6" t="s">
        <v>2886</v>
      </c>
      <c r="E873" s="6" t="s">
        <v>2887</v>
      </c>
      <c r="F873" s="6" t="s">
        <v>13</v>
      </c>
      <c r="G873" s="6"/>
      <c r="H873" s="6"/>
      <c r="I873" s="6" t="s">
        <v>745</v>
      </c>
      <c r="J873" s="6"/>
      <c r="K873" s="6" t="s">
        <v>2888</v>
      </c>
      <c r="L873" s="6" t="s">
        <v>2889</v>
      </c>
      <c r="M873" s="6"/>
      <c r="N873" s="6" t="s">
        <v>2890</v>
      </c>
      <c r="O873" s="6" t="str">
        <f>HYPERLINK("https://ceds.ed.gov/cedselementdetails.aspx?termid=5609")</f>
        <v>https://ceds.ed.gov/cedselementdetails.aspx?termid=5609</v>
      </c>
      <c r="P873" s="6" t="str">
        <f>HYPERLINK("https://ceds.ed.gov/elementComment.aspx?elementName=Grade Value Qualifier &amp;elementID=5609", "Click here to submit comment")</f>
        <v>Click here to submit comment</v>
      </c>
    </row>
    <row r="874" spans="1:16" ht="105">
      <c r="A874" s="6" t="s">
        <v>6788</v>
      </c>
      <c r="B874" s="6" t="s">
        <v>6804</v>
      </c>
      <c r="C874" s="6" t="s">
        <v>6806</v>
      </c>
      <c r="D874" s="6" t="s">
        <v>2062</v>
      </c>
      <c r="E874" s="6" t="s">
        <v>2063</v>
      </c>
      <c r="F874" s="6" t="s">
        <v>13</v>
      </c>
      <c r="G874" s="6" t="s">
        <v>5968</v>
      </c>
      <c r="H874" s="6"/>
      <c r="I874" s="6" t="s">
        <v>1461</v>
      </c>
      <c r="J874" s="6"/>
      <c r="K874" s="6"/>
      <c r="L874" s="6" t="s">
        <v>2064</v>
      </c>
      <c r="M874" s="6"/>
      <c r="N874" s="6" t="s">
        <v>2065</v>
      </c>
      <c r="O874" s="6" t="str">
        <f>HYPERLINK("https://ceds.ed.gov/cedselementdetails.aspx?termid=5073")</f>
        <v>https://ceds.ed.gov/cedselementdetails.aspx?termid=5073</v>
      </c>
      <c r="P874" s="6" t="str">
        <f>HYPERLINK("https://ceds.ed.gov/elementComment.aspx?elementName=Credits Attempted Cumulative &amp;elementID=5073", "Click here to submit comment")</f>
        <v>Click here to submit comment</v>
      </c>
    </row>
    <row r="875" spans="1:16" ht="75">
      <c r="A875" s="6" t="s">
        <v>6788</v>
      </c>
      <c r="B875" s="6" t="s">
        <v>6804</v>
      </c>
      <c r="C875" s="6" t="s">
        <v>6806</v>
      </c>
      <c r="D875" s="6" t="s">
        <v>5719</v>
      </c>
      <c r="E875" s="6" t="s">
        <v>5720</v>
      </c>
      <c r="F875" s="7" t="s">
        <v>6674</v>
      </c>
      <c r="G875" s="6" t="s">
        <v>218</v>
      </c>
      <c r="H875" s="6"/>
      <c r="I875" s="6"/>
      <c r="J875" s="6"/>
      <c r="K875" s="6"/>
      <c r="L875" s="6" t="s">
        <v>5721</v>
      </c>
      <c r="M875" s="6"/>
      <c r="N875" s="6" t="s">
        <v>5722</v>
      </c>
      <c r="O875" s="6" t="str">
        <f>HYPERLINK("https://ceds.ed.gov/cedselementdetails.aspx?termid=5558")</f>
        <v>https://ceds.ed.gov/cedselementdetails.aspx?termid=5558</v>
      </c>
      <c r="P875" s="6" t="str">
        <f>HYPERLINK("https://ceds.ed.gov/elementComment.aspx?elementName=Technology Literacy Status in 8th Grade &amp;elementID=5558", "Click here to submit comment")</f>
        <v>Click here to submit comment</v>
      </c>
    </row>
    <row r="876" spans="1:16" ht="105">
      <c r="A876" s="6" t="s">
        <v>6788</v>
      </c>
      <c r="B876" s="6" t="s">
        <v>6804</v>
      </c>
      <c r="C876" s="6" t="s">
        <v>6806</v>
      </c>
      <c r="D876" s="6" t="s">
        <v>2066</v>
      </c>
      <c r="E876" s="6" t="s">
        <v>2067</v>
      </c>
      <c r="F876" s="6" t="s">
        <v>13</v>
      </c>
      <c r="G876" s="6" t="s">
        <v>5968</v>
      </c>
      <c r="H876" s="6"/>
      <c r="I876" s="6" t="s">
        <v>1461</v>
      </c>
      <c r="J876" s="6"/>
      <c r="K876" s="6"/>
      <c r="L876" s="6" t="s">
        <v>2068</v>
      </c>
      <c r="M876" s="6"/>
      <c r="N876" s="6" t="s">
        <v>2069</v>
      </c>
      <c r="O876" s="6" t="str">
        <f>HYPERLINK("https://ceds.ed.gov/cedselementdetails.aspx?termid=5074")</f>
        <v>https://ceds.ed.gov/cedselementdetails.aspx?termid=5074</v>
      </c>
      <c r="P876" s="6" t="str">
        <f>HYPERLINK("https://ceds.ed.gov/elementComment.aspx?elementName=Credits Earned Cumulative &amp;elementID=5074", "Click here to submit comment")</f>
        <v>Click here to submit comment</v>
      </c>
    </row>
    <row r="877" spans="1:16" ht="105">
      <c r="A877" s="6" t="s">
        <v>6788</v>
      </c>
      <c r="B877" s="6" t="s">
        <v>6804</v>
      </c>
      <c r="C877" s="6" t="s">
        <v>6806</v>
      </c>
      <c r="D877" s="6" t="s">
        <v>2882</v>
      </c>
      <c r="E877" s="6" t="s">
        <v>2883</v>
      </c>
      <c r="F877" s="6" t="s">
        <v>13</v>
      </c>
      <c r="G877" s="6" t="s">
        <v>5968</v>
      </c>
      <c r="H877" s="6"/>
      <c r="I877" s="6" t="s">
        <v>1461</v>
      </c>
      <c r="J877" s="6"/>
      <c r="K877" s="6"/>
      <c r="L877" s="6" t="s">
        <v>2884</v>
      </c>
      <c r="M877" s="6"/>
      <c r="N877" s="6" t="s">
        <v>2885</v>
      </c>
      <c r="O877" s="6" t="str">
        <f>HYPERLINK("https://ceds.ed.gov/cedselementdetails.aspx?termid=5130")</f>
        <v>https://ceds.ed.gov/cedselementdetails.aspx?termid=5130</v>
      </c>
      <c r="P877" s="6" t="str">
        <f>HYPERLINK("https://ceds.ed.gov/elementComment.aspx?elementName=Grade Points Earned Cumulative &amp;elementID=5130", "Click here to submit comment")</f>
        <v>Click here to submit comment</v>
      </c>
    </row>
    <row r="878" spans="1:16" ht="180">
      <c r="A878" s="6" t="s">
        <v>6788</v>
      </c>
      <c r="B878" s="6" t="s">
        <v>6804</v>
      </c>
      <c r="C878" s="6" t="s">
        <v>6806</v>
      </c>
      <c r="D878" s="6" t="s">
        <v>2860</v>
      </c>
      <c r="E878" s="6" t="s">
        <v>2861</v>
      </c>
      <c r="F878" s="6" t="s">
        <v>13</v>
      </c>
      <c r="G878" s="6" t="s">
        <v>6185</v>
      </c>
      <c r="H878" s="6"/>
      <c r="I878" s="6" t="s">
        <v>2857</v>
      </c>
      <c r="J878" s="6"/>
      <c r="K878" s="6" t="s">
        <v>2862</v>
      </c>
      <c r="L878" s="6" t="s">
        <v>2863</v>
      </c>
      <c r="M878" s="6" t="s">
        <v>2864</v>
      </c>
      <c r="N878" s="6" t="s">
        <v>2865</v>
      </c>
      <c r="O878" s="6" t="str">
        <f>HYPERLINK("https://ceds.ed.gov/cedselementdetails.aspx?termid=5128")</f>
        <v>https://ceds.ed.gov/cedselementdetails.aspx?termid=5128</v>
      </c>
      <c r="P878" s="6" t="str">
        <f>HYPERLINK("https://ceds.ed.gov/elementComment.aspx?elementName=Grade Point Average Cumulative &amp;elementID=5128", "Click here to submit comment")</f>
        <v>Click here to submit comment</v>
      </c>
    </row>
    <row r="879" spans="1:16" ht="90">
      <c r="A879" s="6" t="s">
        <v>6788</v>
      </c>
      <c r="B879" s="6" t="s">
        <v>6804</v>
      </c>
      <c r="C879" s="6" t="s">
        <v>6806</v>
      </c>
      <c r="D879" s="6" t="s">
        <v>2872</v>
      </c>
      <c r="E879" s="6" t="s">
        <v>2873</v>
      </c>
      <c r="F879" s="6" t="s">
        <v>13</v>
      </c>
      <c r="G879" s="6" t="s">
        <v>5968</v>
      </c>
      <c r="H879" s="6"/>
      <c r="I879" s="6" t="s">
        <v>2857</v>
      </c>
      <c r="J879" s="6"/>
      <c r="K879" s="6"/>
      <c r="L879" s="6" t="s">
        <v>2874</v>
      </c>
      <c r="M879" s="6" t="s">
        <v>2875</v>
      </c>
      <c r="N879" s="6" t="s">
        <v>2876</v>
      </c>
      <c r="O879" s="6" t="str">
        <f>HYPERLINK("https://ceds.ed.gov/cedselementdetails.aspx?termid=5129")</f>
        <v>https://ceds.ed.gov/cedselementdetails.aspx?termid=5129</v>
      </c>
      <c r="P879" s="6" t="str">
        <f>HYPERLINK("https://ceds.ed.gov/elementComment.aspx?elementName=Grade Point Average Given Session &amp;elementID=5129", "Click here to submit comment")</f>
        <v>Click here to submit comment</v>
      </c>
    </row>
    <row r="880" spans="1:16" ht="120">
      <c r="A880" s="6" t="s">
        <v>6788</v>
      </c>
      <c r="B880" s="6" t="s">
        <v>6804</v>
      </c>
      <c r="C880" s="6" t="s">
        <v>6806</v>
      </c>
      <c r="D880" s="6" t="s">
        <v>2962</v>
      </c>
      <c r="E880" s="6" t="s">
        <v>2963</v>
      </c>
      <c r="F880" s="6" t="s">
        <v>13</v>
      </c>
      <c r="G880" s="6" t="s">
        <v>6193</v>
      </c>
      <c r="H880" s="6"/>
      <c r="I880" s="6" t="s">
        <v>308</v>
      </c>
      <c r="J880" s="6"/>
      <c r="K880" s="6"/>
      <c r="L880" s="6" t="s">
        <v>2964</v>
      </c>
      <c r="M880" s="6"/>
      <c r="N880" s="6" t="s">
        <v>2965</v>
      </c>
      <c r="O880" s="6" t="str">
        <f>HYPERLINK("https://ceds.ed.gov/cedselementdetails.aspx?termid=5041")</f>
        <v>https://ceds.ed.gov/cedselementdetails.aspx?termid=5041</v>
      </c>
      <c r="P880" s="6" t="str">
        <f>HYPERLINK("https://ceds.ed.gov/elementComment.aspx?elementName=High School Student Class Rank &amp;elementID=5041", "Click here to submit comment")</f>
        <v>Click here to submit comment</v>
      </c>
    </row>
    <row r="881" spans="1:16" ht="120">
      <c r="A881" s="6" t="s">
        <v>6788</v>
      </c>
      <c r="B881" s="6" t="s">
        <v>6804</v>
      </c>
      <c r="C881" s="6" t="s">
        <v>6806</v>
      </c>
      <c r="D881" s="6" t="s">
        <v>5379</v>
      </c>
      <c r="E881" s="6" t="s">
        <v>5380</v>
      </c>
      <c r="F881" s="6" t="s">
        <v>13</v>
      </c>
      <c r="G881" s="6" t="s">
        <v>6193</v>
      </c>
      <c r="H881" s="6"/>
      <c r="I881" s="6" t="s">
        <v>308</v>
      </c>
      <c r="J881" s="6"/>
      <c r="K881" s="6"/>
      <c r="L881" s="6" t="s">
        <v>5381</v>
      </c>
      <c r="M881" s="6"/>
      <c r="N881" s="6" t="s">
        <v>5382</v>
      </c>
      <c r="O881" s="6" t="str">
        <f>HYPERLINK("https://ceds.ed.gov/cedselementdetails.aspx?termid=5294")</f>
        <v>https://ceds.ed.gov/cedselementdetails.aspx?termid=5294</v>
      </c>
      <c r="P881" s="6" t="str">
        <f>HYPERLINK("https://ceds.ed.gov/elementComment.aspx?elementName=Size of High School Graduating Class &amp;elementID=5294", "Click here to submit comment")</f>
        <v>Click here to submit comment</v>
      </c>
    </row>
    <row r="882" spans="1:16" ht="90">
      <c r="A882" s="6" t="s">
        <v>6788</v>
      </c>
      <c r="B882" s="6" t="s">
        <v>6804</v>
      </c>
      <c r="C882" s="6" t="s">
        <v>6806</v>
      </c>
      <c r="D882" s="6" t="s">
        <v>1695</v>
      </c>
      <c r="E882" s="6" t="s">
        <v>1696</v>
      </c>
      <c r="F882" s="6" t="s">
        <v>13</v>
      </c>
      <c r="G882" s="6" t="s">
        <v>5968</v>
      </c>
      <c r="H882" s="6"/>
      <c r="I882" s="6" t="s">
        <v>1697</v>
      </c>
      <c r="J882" s="6"/>
      <c r="K882" s="6"/>
      <c r="L882" s="6" t="s">
        <v>1698</v>
      </c>
      <c r="M882" s="6"/>
      <c r="N882" s="6" t="s">
        <v>1699</v>
      </c>
      <c r="O882" s="6" t="str">
        <f>HYPERLINK("https://ceds.ed.gov/cedselementdetails.aspx?termid=5042")</f>
        <v>https://ceds.ed.gov/cedselementdetails.aspx?termid=5042</v>
      </c>
      <c r="P882" s="6" t="str">
        <f>HYPERLINK("https://ceds.ed.gov/elementComment.aspx?elementName=Class Ranking Date &amp;elementID=5042", "Click here to submit comment")</f>
        <v>Click here to submit comment</v>
      </c>
    </row>
    <row r="883" spans="1:16" ht="90">
      <c r="A883" s="6" t="s">
        <v>6788</v>
      </c>
      <c r="B883" s="6" t="s">
        <v>6804</v>
      </c>
      <c r="C883" s="6" t="s">
        <v>6806</v>
      </c>
      <c r="D883" s="6" t="s">
        <v>4865</v>
      </c>
      <c r="E883" s="6" t="s">
        <v>4866</v>
      </c>
      <c r="F883" s="6" t="s">
        <v>13</v>
      </c>
      <c r="G883" s="6" t="s">
        <v>5968</v>
      </c>
      <c r="H883" s="6"/>
      <c r="I883" s="6" t="s">
        <v>2191</v>
      </c>
      <c r="J883" s="6"/>
      <c r="K883" s="6"/>
      <c r="L883" s="6" t="s">
        <v>4867</v>
      </c>
      <c r="M883" s="6"/>
      <c r="N883" s="6" t="s">
        <v>4868</v>
      </c>
      <c r="O883" s="6" t="str">
        <f>HYPERLINK("https://ceds.ed.gov/cedselementdetails.aspx?termid=5226")</f>
        <v>https://ceds.ed.gov/cedselementdetails.aspx?termid=5226</v>
      </c>
      <c r="P883" s="6" t="str">
        <f>HYPERLINK("https://ceds.ed.gov/elementComment.aspx?elementName=Projected Graduation Date &amp;elementID=5226", "Click here to submit comment")</f>
        <v>Click here to submit comment</v>
      </c>
    </row>
    <row r="884" spans="1:16" ht="135">
      <c r="A884" s="6" t="s">
        <v>6788</v>
      </c>
      <c r="B884" s="6" t="s">
        <v>6804</v>
      </c>
      <c r="C884" s="6" t="s">
        <v>6806</v>
      </c>
      <c r="D884" s="6" t="s">
        <v>2189</v>
      </c>
      <c r="E884" s="6" t="s">
        <v>2190</v>
      </c>
      <c r="F884" s="6" t="s">
        <v>13</v>
      </c>
      <c r="G884" s="6" t="s">
        <v>6135</v>
      </c>
      <c r="H884" s="6"/>
      <c r="I884" s="6" t="s">
        <v>2191</v>
      </c>
      <c r="J884" s="6"/>
      <c r="K884" s="6"/>
      <c r="L884" s="6" t="s">
        <v>2192</v>
      </c>
      <c r="M884" s="6"/>
      <c r="N884" s="6" t="s">
        <v>2193</v>
      </c>
      <c r="O884" s="6" t="str">
        <f>HYPERLINK("https://ceds.ed.gov/cedselementdetails.aspx?termid=5081")</f>
        <v>https://ceds.ed.gov/cedselementdetails.aspx?termid=5081</v>
      </c>
      <c r="P884" s="6" t="str">
        <f>HYPERLINK("https://ceds.ed.gov/elementComment.aspx?elementName=Diploma or Credential Award Date &amp;elementID=5081", "Click here to submit comment")</f>
        <v>Click here to submit comment</v>
      </c>
    </row>
    <row r="885" spans="1:16" ht="409.5">
      <c r="A885" s="6" t="s">
        <v>6788</v>
      </c>
      <c r="B885" s="6" t="s">
        <v>6804</v>
      </c>
      <c r="C885" s="6" t="s">
        <v>6806</v>
      </c>
      <c r="D885" s="6" t="s">
        <v>2949</v>
      </c>
      <c r="E885" s="6" t="s">
        <v>2950</v>
      </c>
      <c r="F885" s="7" t="s">
        <v>6528</v>
      </c>
      <c r="G885" s="6" t="s">
        <v>6191</v>
      </c>
      <c r="H885" s="6"/>
      <c r="I885" s="6"/>
      <c r="J885" s="6"/>
      <c r="K885" s="6"/>
      <c r="L885" s="6" t="s">
        <v>2951</v>
      </c>
      <c r="M885" s="6"/>
      <c r="N885" s="6" t="s">
        <v>2952</v>
      </c>
      <c r="O885" s="6" t="str">
        <f>HYPERLINK("https://ceds.ed.gov/cedselementdetails.aspx?termid=5138")</f>
        <v>https://ceds.ed.gov/cedselementdetails.aspx?termid=5138</v>
      </c>
      <c r="P885" s="6" t="str">
        <f>HYPERLINK("https://ceds.ed.gov/elementComment.aspx?elementName=High School Diploma Type &amp;elementID=5138", "Click here to submit comment")</f>
        <v>Click here to submit comment</v>
      </c>
    </row>
    <row r="886" spans="1:16" ht="409.5">
      <c r="A886" s="6" t="s">
        <v>6788</v>
      </c>
      <c r="B886" s="6" t="s">
        <v>6804</v>
      </c>
      <c r="C886" s="6" t="s">
        <v>6806</v>
      </c>
      <c r="D886" s="6" t="s">
        <v>28</v>
      </c>
      <c r="E886" s="6" t="s">
        <v>29</v>
      </c>
      <c r="F886" s="7" t="s">
        <v>6347</v>
      </c>
      <c r="G886" s="6" t="s">
        <v>5968</v>
      </c>
      <c r="H886" s="6"/>
      <c r="I886" s="6"/>
      <c r="J886" s="6"/>
      <c r="K886" s="6"/>
      <c r="L886" s="6" t="s">
        <v>31</v>
      </c>
      <c r="M886" s="6"/>
      <c r="N886" s="6" t="s">
        <v>32</v>
      </c>
      <c r="O886" s="6" t="str">
        <f>HYPERLINK("https://ceds.ed.gov/cedselementdetails.aspx?termid=5004")</f>
        <v>https://ceds.ed.gov/cedselementdetails.aspx?termid=5004</v>
      </c>
      <c r="P886" s="6" t="str">
        <f>HYPERLINK("https://ceds.ed.gov/elementComment.aspx?elementName=Academic Honors Type &amp;elementID=5004", "Click here to submit comment")</f>
        <v>Click here to submit comment</v>
      </c>
    </row>
    <row r="887" spans="1:16" ht="180">
      <c r="A887" s="6" t="s">
        <v>6788</v>
      </c>
      <c r="B887" s="6" t="s">
        <v>6804</v>
      </c>
      <c r="C887" s="6" t="s">
        <v>6806</v>
      </c>
      <c r="D887" s="6" t="s">
        <v>2945</v>
      </c>
      <c r="E887" s="6" t="s">
        <v>2946</v>
      </c>
      <c r="F887" s="7" t="s">
        <v>6527</v>
      </c>
      <c r="G887" s="6"/>
      <c r="H887" s="6"/>
      <c r="I887" s="6"/>
      <c r="J887" s="6"/>
      <c r="K887" s="6"/>
      <c r="L887" s="6" t="s">
        <v>2947</v>
      </c>
      <c r="M887" s="6"/>
      <c r="N887" s="6" t="s">
        <v>2948</v>
      </c>
      <c r="O887" s="6" t="str">
        <f>HYPERLINK("https://ceds.ed.gov/cedselementdetails.aspx?termid=5689")</f>
        <v>https://ceds.ed.gov/cedselementdetails.aspx?termid=5689</v>
      </c>
      <c r="P887" s="6" t="str">
        <f>HYPERLINK("https://ceds.ed.gov/elementComment.aspx?elementName=High School Diploma Distinction Type &amp;elementID=5689", "Click here to submit comment")</f>
        <v>Click here to submit comment</v>
      </c>
    </row>
    <row r="888" spans="1:16" ht="90">
      <c r="A888" s="6" t="s">
        <v>6788</v>
      </c>
      <c r="B888" s="6" t="s">
        <v>6804</v>
      </c>
      <c r="C888" s="6" t="s">
        <v>6806</v>
      </c>
      <c r="D888" s="6" t="s">
        <v>3006</v>
      </c>
      <c r="E888" s="6" t="s">
        <v>3007</v>
      </c>
      <c r="F888" s="6" t="s">
        <v>13</v>
      </c>
      <c r="G888" s="6" t="s">
        <v>5968</v>
      </c>
      <c r="H888" s="6"/>
      <c r="I888" s="6" t="s">
        <v>25</v>
      </c>
      <c r="J888" s="6"/>
      <c r="K888" s="6"/>
      <c r="L888" s="6" t="s">
        <v>3008</v>
      </c>
      <c r="M888" s="6"/>
      <c r="N888" s="6" t="s">
        <v>3009</v>
      </c>
      <c r="O888" s="6" t="str">
        <f>HYPERLINK("https://ceds.ed.gov/cedselementdetails.aspx?termid=5150")</f>
        <v>https://ceds.ed.gov/cedselementdetails.aspx?termid=5150</v>
      </c>
      <c r="P888" s="6" t="str">
        <f>HYPERLINK("https://ceds.ed.gov/elementComment.aspx?elementName=Honors Description &amp;elementID=5150", "Click here to submit comment")</f>
        <v>Click here to submit comment</v>
      </c>
    </row>
    <row r="889" spans="1:16" ht="105">
      <c r="A889" s="6" t="s">
        <v>6788</v>
      </c>
      <c r="B889" s="6" t="s">
        <v>6804</v>
      </c>
      <c r="C889" s="6" t="s">
        <v>6806</v>
      </c>
      <c r="D889" s="6" t="s">
        <v>1546</v>
      </c>
      <c r="E889" s="6" t="s">
        <v>1547</v>
      </c>
      <c r="F889" s="6" t="s">
        <v>5963</v>
      </c>
      <c r="G889" s="6" t="s">
        <v>6084</v>
      </c>
      <c r="H889" s="6"/>
      <c r="I889" s="6"/>
      <c r="J889" s="6"/>
      <c r="K889" s="6"/>
      <c r="L889" s="6" t="s">
        <v>1548</v>
      </c>
      <c r="M889" s="6" t="s">
        <v>1549</v>
      </c>
      <c r="N889" s="6" t="s">
        <v>1550</v>
      </c>
      <c r="O889" s="6" t="str">
        <f>HYPERLINK("https://ceds.ed.gov/cedselementdetails.aspx?termid=5036")</f>
        <v>https://ceds.ed.gov/cedselementdetails.aspx?termid=5036</v>
      </c>
      <c r="P889" s="6" t="str">
        <f>HYPERLINK("https://ceds.ed.gov/elementComment.aspx?elementName=Career and Technical Education Completer &amp;elementID=5036", "Click here to submit comment")</f>
        <v>Click here to submit comment</v>
      </c>
    </row>
    <row r="890" spans="1:16" ht="90">
      <c r="A890" s="6" t="s">
        <v>6788</v>
      </c>
      <c r="B890" s="6" t="s">
        <v>6804</v>
      </c>
      <c r="C890" s="6" t="s">
        <v>6806</v>
      </c>
      <c r="D890" s="6" t="s">
        <v>147</v>
      </c>
      <c r="E890" s="6" t="s">
        <v>148</v>
      </c>
      <c r="F890" s="6" t="s">
        <v>13</v>
      </c>
      <c r="G890" s="6" t="s">
        <v>5968</v>
      </c>
      <c r="H890" s="6"/>
      <c r="I890" s="6" t="s">
        <v>149</v>
      </c>
      <c r="J890" s="6"/>
      <c r="K890" s="6"/>
      <c r="L890" s="6" t="s">
        <v>150</v>
      </c>
      <c r="M890" s="6"/>
      <c r="N890" s="6" t="s">
        <v>151</v>
      </c>
      <c r="O890" s="6" t="str">
        <f>HYPERLINK("https://ceds.ed.gov/cedselementdetails.aspx?termid=5006")</f>
        <v>https://ceds.ed.gov/cedselementdetails.aspx?termid=5006</v>
      </c>
      <c r="P890" s="6" t="str">
        <f>HYPERLINK("https://ceds.ed.gov/elementComment.aspx?elementName=Activity Identifier &amp;elementID=5006", "Click here to submit comment")</f>
        <v>Click here to submit comment</v>
      </c>
    </row>
    <row r="891" spans="1:16" ht="90">
      <c r="A891" s="6" t="s">
        <v>6788</v>
      </c>
      <c r="B891" s="6" t="s">
        <v>6804</v>
      </c>
      <c r="C891" s="6" t="s">
        <v>6806</v>
      </c>
      <c r="D891" s="6" t="s">
        <v>161</v>
      </c>
      <c r="E891" s="6" t="s">
        <v>162</v>
      </c>
      <c r="F891" s="6" t="s">
        <v>13</v>
      </c>
      <c r="G891" s="6" t="s">
        <v>5968</v>
      </c>
      <c r="H891" s="6"/>
      <c r="I891" s="6" t="s">
        <v>106</v>
      </c>
      <c r="J891" s="6"/>
      <c r="K891" s="6"/>
      <c r="L891" s="6" t="s">
        <v>163</v>
      </c>
      <c r="M891" s="6"/>
      <c r="N891" s="6" t="s">
        <v>164</v>
      </c>
      <c r="O891" s="6" t="str">
        <f>HYPERLINK("https://ceds.ed.gov/cedselementdetails.aspx?termid=5009")</f>
        <v>https://ceds.ed.gov/cedselementdetails.aspx?termid=5009</v>
      </c>
      <c r="P891" s="6" t="str">
        <f>HYPERLINK("https://ceds.ed.gov/elementComment.aspx?elementName=Activity Title &amp;elementID=5009", "Click here to submit comment")</f>
        <v>Click here to submit comment</v>
      </c>
    </row>
    <row r="892" spans="1:16" ht="285">
      <c r="A892" s="6" t="s">
        <v>6788</v>
      </c>
      <c r="B892" s="6" t="s">
        <v>6804</v>
      </c>
      <c r="C892" s="6" t="s">
        <v>6806</v>
      </c>
      <c r="D892" s="6" t="s">
        <v>4983</v>
      </c>
      <c r="E892" s="6" t="s">
        <v>4984</v>
      </c>
      <c r="F892" s="7" t="s">
        <v>6638</v>
      </c>
      <c r="G892" s="6" t="s">
        <v>5968</v>
      </c>
      <c r="H892" s="6"/>
      <c r="I892" s="6"/>
      <c r="J892" s="6"/>
      <c r="K892" s="6"/>
      <c r="L892" s="6" t="s">
        <v>4985</v>
      </c>
      <c r="M892" s="6"/>
      <c r="N892" s="6" t="s">
        <v>4986</v>
      </c>
      <c r="O892" s="6" t="str">
        <f>HYPERLINK("https://ceds.ed.gov/cedselementdetails.aspx?termid=5229")</f>
        <v>https://ceds.ed.gov/cedselementdetails.aspx?termid=5229</v>
      </c>
      <c r="P892" s="6" t="str">
        <f>HYPERLINK("https://ceds.ed.gov/elementComment.aspx?elementName=Recognition for Participation or Performance in an Activity &amp;elementID=5229", "Click here to submit comment")</f>
        <v>Click here to submit comment</v>
      </c>
    </row>
    <row r="893" spans="1:16" ht="45">
      <c r="A893" s="6" t="s">
        <v>6788</v>
      </c>
      <c r="B893" s="6" t="s">
        <v>6804</v>
      </c>
      <c r="C893" s="6" t="s">
        <v>6806</v>
      </c>
      <c r="D893" s="6" t="s">
        <v>2546</v>
      </c>
      <c r="E893" s="6" t="s">
        <v>2547</v>
      </c>
      <c r="F893" s="6" t="s">
        <v>6156</v>
      </c>
      <c r="G893" s="6" t="s">
        <v>2</v>
      </c>
      <c r="H893" s="6"/>
      <c r="I893" s="6"/>
      <c r="J893" s="6"/>
      <c r="K893" s="6"/>
      <c r="L893" s="6" t="s">
        <v>2548</v>
      </c>
      <c r="M893" s="6"/>
      <c r="N893" s="6" t="s">
        <v>2549</v>
      </c>
      <c r="O893" s="6" t="str">
        <f>HYPERLINK("https://ceds.ed.gov/cedselementdetails.aspx?termid=5093")</f>
        <v>https://ceds.ed.gov/cedselementdetails.aspx?termid=5093</v>
      </c>
      <c r="P893" s="6" t="str">
        <f>HYPERLINK("https://ceds.ed.gov/elementComment.aspx?elementName=End of Term Status &amp;elementID=5093", "Click here to submit comment")</f>
        <v>Click here to submit comment</v>
      </c>
    </row>
    <row r="894" spans="1:16" ht="180">
      <c r="A894" s="6" t="s">
        <v>6788</v>
      </c>
      <c r="B894" s="6" t="s">
        <v>6804</v>
      </c>
      <c r="C894" s="6" t="s">
        <v>6806</v>
      </c>
      <c r="D894" s="6" t="s">
        <v>4869</v>
      </c>
      <c r="E894" s="6" t="s">
        <v>4870</v>
      </c>
      <c r="F894" s="7" t="s">
        <v>6628</v>
      </c>
      <c r="G894" s="6"/>
      <c r="H894" s="6"/>
      <c r="I894" s="6"/>
      <c r="J894" s="6"/>
      <c r="K894" s="6"/>
      <c r="L894" s="6" t="s">
        <v>4871</v>
      </c>
      <c r="M894" s="6"/>
      <c r="N894" s="6" t="s">
        <v>4872</v>
      </c>
      <c r="O894" s="6" t="str">
        <f>HYPERLINK("https://ceds.ed.gov/cedselementdetails.aspx?termid=5521")</f>
        <v>https://ceds.ed.gov/cedselementdetails.aspx?termid=5521</v>
      </c>
      <c r="P894" s="6" t="str">
        <f>HYPERLINK("https://ceds.ed.gov/elementComment.aspx?elementName=Promotion Reason &amp;elementID=5521", "Click here to submit comment")</f>
        <v>Click here to submit comment</v>
      </c>
    </row>
    <row r="895" spans="1:16" ht="195">
      <c r="A895" s="6" t="s">
        <v>6788</v>
      </c>
      <c r="B895" s="6" t="s">
        <v>6804</v>
      </c>
      <c r="C895" s="6" t="s">
        <v>6806</v>
      </c>
      <c r="D895" s="6" t="s">
        <v>4233</v>
      </c>
      <c r="E895" s="6" t="s">
        <v>4234</v>
      </c>
      <c r="F895" s="7" t="s">
        <v>6591</v>
      </c>
      <c r="G895" s="6"/>
      <c r="H895" s="6"/>
      <c r="I895" s="6"/>
      <c r="J895" s="6"/>
      <c r="K895" s="6"/>
      <c r="L895" s="6" t="s">
        <v>4235</v>
      </c>
      <c r="M895" s="6"/>
      <c r="N895" s="6" t="s">
        <v>4236</v>
      </c>
      <c r="O895" s="6" t="str">
        <f>HYPERLINK("https://ceds.ed.gov/cedselementdetails.aspx?termid=5522")</f>
        <v>https://ceds.ed.gov/cedselementdetails.aspx?termid=5522</v>
      </c>
      <c r="P895" s="6" t="str">
        <f>HYPERLINK("https://ceds.ed.gov/elementComment.aspx?elementName=Nonpromotion Reason &amp;elementID=5522", "Click here to submit comment")</f>
        <v>Click here to submit comment</v>
      </c>
    </row>
    <row r="896" spans="1:16" ht="255">
      <c r="A896" s="6" t="s">
        <v>6788</v>
      </c>
      <c r="B896" s="6" t="s">
        <v>6804</v>
      </c>
      <c r="C896" s="6" t="s">
        <v>6806</v>
      </c>
      <c r="D896" s="6" t="s">
        <v>3996</v>
      </c>
      <c r="E896" s="6" t="s">
        <v>3997</v>
      </c>
      <c r="F896" s="7" t="s">
        <v>6575</v>
      </c>
      <c r="G896" s="6" t="s">
        <v>207</v>
      </c>
      <c r="H896" s="6"/>
      <c r="I896" s="6"/>
      <c r="J896" s="6"/>
      <c r="K896" s="6"/>
      <c r="L896" s="6" t="s">
        <v>3998</v>
      </c>
      <c r="M896" s="6"/>
      <c r="N896" s="6" t="s">
        <v>3999</v>
      </c>
      <c r="O896" s="6" t="str">
        <f>HYPERLINK("https://ceds.ed.gov/cedselementdetails.aspx?termid=5456")</f>
        <v>https://ceds.ed.gov/cedselementdetails.aspx?termid=5456</v>
      </c>
      <c r="P896" s="6" t="str">
        <f>HYPERLINK("https://ceds.ed.gov/elementComment.aspx?elementName=Literacy Assessment Administered Type &amp;elementID=5456", "Click here to submit comment")</f>
        <v>Click here to submit comment</v>
      </c>
    </row>
    <row r="897" spans="1:16" ht="60">
      <c r="A897" s="6" t="s">
        <v>6788</v>
      </c>
      <c r="B897" s="6" t="s">
        <v>6804</v>
      </c>
      <c r="C897" s="6" t="s">
        <v>6806</v>
      </c>
      <c r="D897" s="6" t="s">
        <v>4000</v>
      </c>
      <c r="E897" s="6" t="s">
        <v>4001</v>
      </c>
      <c r="F897" s="6" t="s">
        <v>5963</v>
      </c>
      <c r="G897" s="6" t="s">
        <v>207</v>
      </c>
      <c r="H897" s="6"/>
      <c r="I897" s="6"/>
      <c r="J897" s="6"/>
      <c r="K897" s="6"/>
      <c r="L897" s="6" t="s">
        <v>4002</v>
      </c>
      <c r="M897" s="6"/>
      <c r="N897" s="6" t="s">
        <v>4003</v>
      </c>
      <c r="O897" s="6" t="str">
        <f>HYPERLINK("https://ceds.ed.gov/cedselementdetails.aspx?termid=5457")</f>
        <v>https://ceds.ed.gov/cedselementdetails.aspx?termid=5457</v>
      </c>
      <c r="P897" s="6" t="str">
        <f>HYPERLINK("https://ceds.ed.gov/elementComment.aspx?elementName=Literacy Goal Met Status &amp;elementID=5457", "Click here to submit comment")</f>
        <v>Click here to submit comment</v>
      </c>
    </row>
    <row r="898" spans="1:16" ht="45">
      <c r="A898" s="6" t="s">
        <v>6788</v>
      </c>
      <c r="B898" s="6" t="s">
        <v>6804</v>
      </c>
      <c r="C898" s="6" t="s">
        <v>6806</v>
      </c>
      <c r="D898" s="6" t="s">
        <v>4004</v>
      </c>
      <c r="E898" s="6" t="s">
        <v>4005</v>
      </c>
      <c r="F898" s="6" t="s">
        <v>5963</v>
      </c>
      <c r="G898" s="6" t="s">
        <v>207</v>
      </c>
      <c r="H898" s="6"/>
      <c r="I898" s="6"/>
      <c r="J898" s="6"/>
      <c r="K898" s="6"/>
      <c r="L898" s="6" t="s">
        <v>4006</v>
      </c>
      <c r="M898" s="6"/>
      <c r="N898" s="6" t="s">
        <v>4007</v>
      </c>
      <c r="O898" s="6" t="str">
        <f>HYPERLINK("https://ceds.ed.gov/cedselementdetails.aspx?termid=5458")</f>
        <v>https://ceds.ed.gov/cedselementdetails.aspx?termid=5458</v>
      </c>
      <c r="P898" s="6" t="str">
        <f>HYPERLINK("https://ceds.ed.gov/elementComment.aspx?elementName=Literacy Post Test Status &amp;elementID=5458", "Click here to submit comment")</f>
        <v>Click here to submit comment</v>
      </c>
    </row>
    <row r="899" spans="1:16" ht="45">
      <c r="A899" s="6" t="s">
        <v>6788</v>
      </c>
      <c r="B899" s="6" t="s">
        <v>6804</v>
      </c>
      <c r="C899" s="6" t="s">
        <v>6806</v>
      </c>
      <c r="D899" s="6" t="s">
        <v>4008</v>
      </c>
      <c r="E899" s="6" t="s">
        <v>4009</v>
      </c>
      <c r="F899" s="6" t="s">
        <v>5963</v>
      </c>
      <c r="G899" s="6" t="s">
        <v>207</v>
      </c>
      <c r="H899" s="6"/>
      <c r="I899" s="6"/>
      <c r="J899" s="6"/>
      <c r="K899" s="6"/>
      <c r="L899" s="6" t="s">
        <v>4010</v>
      </c>
      <c r="M899" s="6"/>
      <c r="N899" s="6" t="s">
        <v>4011</v>
      </c>
      <c r="O899" s="6" t="str">
        <f>HYPERLINK("https://ceds.ed.gov/cedselementdetails.aspx?termid=5459")</f>
        <v>https://ceds.ed.gov/cedselementdetails.aspx?termid=5459</v>
      </c>
      <c r="P899" s="6" t="str">
        <f>HYPERLINK("https://ceds.ed.gov/elementComment.aspx?elementName=Literacy Pre Test Status &amp;elementID=5459", "Click here to submit comment")</f>
        <v>Click here to submit comment</v>
      </c>
    </row>
    <row r="900" spans="1:16" ht="90">
      <c r="A900" s="6" t="s">
        <v>6788</v>
      </c>
      <c r="B900" s="6" t="s">
        <v>6804</v>
      </c>
      <c r="C900" s="6" t="s">
        <v>6806</v>
      </c>
      <c r="D900" s="6" t="s">
        <v>4524</v>
      </c>
      <c r="E900" s="6" t="s">
        <v>4525</v>
      </c>
      <c r="F900" s="7" t="s">
        <v>6362</v>
      </c>
      <c r="G900" s="6" t="s">
        <v>218</v>
      </c>
      <c r="H900" s="6"/>
      <c r="I900" s="6"/>
      <c r="J900" s="6"/>
      <c r="K900" s="6"/>
      <c r="L900" s="6" t="s">
        <v>4526</v>
      </c>
      <c r="M900" s="6"/>
      <c r="N900" s="6" t="s">
        <v>4527</v>
      </c>
      <c r="O900" s="6" t="str">
        <f>HYPERLINK("https://ceds.ed.gov/cedselementdetails.aspx?termid=5579")</f>
        <v>https://ceds.ed.gov/cedselementdetails.aspx?termid=5579</v>
      </c>
      <c r="P900" s="6" t="str">
        <f>HYPERLINK("https://ceds.ed.gov/elementComment.aspx?elementName=Postsecondary Enrollment Action &amp;elementID=5579", "Click here to submit comment")</f>
        <v>Click here to submit comment</v>
      </c>
    </row>
    <row r="901" spans="1:16" ht="30">
      <c r="A901" s="6" t="s">
        <v>6788</v>
      </c>
      <c r="B901" s="6" t="s">
        <v>6804</v>
      </c>
      <c r="C901" s="6" t="s">
        <v>6806</v>
      </c>
      <c r="D901" s="6" t="s">
        <v>1726</v>
      </c>
      <c r="E901" s="6" t="s">
        <v>1727</v>
      </c>
      <c r="F901" s="6" t="s">
        <v>13</v>
      </c>
      <c r="G901" s="6"/>
      <c r="H901" s="6"/>
      <c r="I901" s="6" t="s">
        <v>100</v>
      </c>
      <c r="J901" s="6"/>
      <c r="K901" s="6"/>
      <c r="L901" s="6" t="s">
        <v>1728</v>
      </c>
      <c r="M901" s="6"/>
      <c r="N901" s="6" t="s">
        <v>1729</v>
      </c>
      <c r="O901" s="6" t="str">
        <f>HYPERLINK("https://ceds.ed.gov/cedselementdetails.aspx?termid=5687")</f>
        <v>https://ceds.ed.gov/cedselementdetails.aspx?termid=5687</v>
      </c>
      <c r="P901" s="6" t="str">
        <f>HYPERLINK("https://ceds.ed.gov/elementComment.aspx?elementName=Cohort Description &amp;elementID=5687", "Click here to submit comment")</f>
        <v>Click here to submit comment</v>
      </c>
    </row>
    <row r="902" spans="1:16" ht="30">
      <c r="A902" s="6" t="s">
        <v>6788</v>
      </c>
      <c r="B902" s="6" t="s">
        <v>6804</v>
      </c>
      <c r="C902" s="6" t="s">
        <v>6806</v>
      </c>
      <c r="D902" s="6" t="s">
        <v>2907</v>
      </c>
      <c r="E902" s="6" t="s">
        <v>2908</v>
      </c>
      <c r="F902" s="6" t="s">
        <v>13</v>
      </c>
      <c r="G902" s="6"/>
      <c r="H902" s="6"/>
      <c r="I902" s="6" t="s">
        <v>1736</v>
      </c>
      <c r="J902" s="6"/>
      <c r="K902" s="6"/>
      <c r="L902" s="6" t="s">
        <v>2909</v>
      </c>
      <c r="M902" s="6"/>
      <c r="N902" s="6" t="s">
        <v>2910</v>
      </c>
      <c r="O902" s="6" t="str">
        <f>HYPERLINK("https://ceds.ed.gov/cedselementdetails.aspx?termid=5132")</f>
        <v>https://ceds.ed.gov/cedselementdetails.aspx?termid=5132</v>
      </c>
      <c r="P902" s="6" t="str">
        <f>HYPERLINK("https://ceds.ed.gov/elementComment.aspx?elementName=Graduation Rate Survey Cohort Year &amp;elementID=5132", "Click here to submit comment")</f>
        <v>Click here to submit comment</v>
      </c>
    </row>
    <row r="903" spans="1:16" ht="75">
      <c r="A903" s="6" t="s">
        <v>6788</v>
      </c>
      <c r="B903" s="6" t="s">
        <v>6804</v>
      </c>
      <c r="C903" s="6" t="s">
        <v>6806</v>
      </c>
      <c r="D903" s="6" t="s">
        <v>2911</v>
      </c>
      <c r="E903" s="6" t="s">
        <v>2912</v>
      </c>
      <c r="F903" s="6" t="s">
        <v>5963</v>
      </c>
      <c r="G903" s="6" t="s">
        <v>2913</v>
      </c>
      <c r="H903" s="6"/>
      <c r="I903" s="6"/>
      <c r="J903" s="6"/>
      <c r="K903" s="6"/>
      <c r="L903" s="6" t="s">
        <v>2914</v>
      </c>
      <c r="M903" s="6"/>
      <c r="N903" s="6" t="s">
        <v>2915</v>
      </c>
      <c r="O903" s="6" t="str">
        <f>HYPERLINK("https://ceds.ed.gov/cedselementdetails.aspx?termid=5133")</f>
        <v>https://ceds.ed.gov/cedselementdetails.aspx?termid=5133</v>
      </c>
      <c r="P903" s="6" t="str">
        <f>HYPERLINK("https://ceds.ed.gov/elementComment.aspx?elementName=Graduation Rate Survey Indicator &amp;elementID=5133", "Click here to submit comment")</f>
        <v>Click here to submit comment</v>
      </c>
    </row>
    <row r="904" spans="1:16" ht="105">
      <c r="A904" s="6" t="s">
        <v>6788</v>
      </c>
      <c r="B904" s="6" t="s">
        <v>6804</v>
      </c>
      <c r="C904" s="6" t="s">
        <v>6806</v>
      </c>
      <c r="D904" s="6" t="s">
        <v>4550</v>
      </c>
      <c r="E904" s="6" t="s">
        <v>4551</v>
      </c>
      <c r="F904" s="7" t="s">
        <v>6602</v>
      </c>
      <c r="G904" s="6" t="s">
        <v>6069</v>
      </c>
      <c r="H904" s="6"/>
      <c r="I904" s="6"/>
      <c r="J904" s="6"/>
      <c r="K904" s="6"/>
      <c r="L904" s="6" t="s">
        <v>4552</v>
      </c>
      <c r="M904" s="6"/>
      <c r="N904" s="6" t="s">
        <v>4553</v>
      </c>
      <c r="O904" s="6" t="str">
        <f>HYPERLINK("https://ceds.ed.gov/cedselementdetails.aspx?termid=5563")</f>
        <v>https://ceds.ed.gov/cedselementdetails.aspx?termid=5563</v>
      </c>
      <c r="P904" s="6" t="str">
        <f>HYPERLINK("https://ceds.ed.gov/elementComment.aspx?elementName=Pre and Post Test Indicator &amp;elementID=5563", "Click here to submit comment")</f>
        <v>Click here to submit comment</v>
      </c>
    </row>
    <row r="905" spans="1:16" ht="60">
      <c r="A905" s="6" t="s">
        <v>6788</v>
      </c>
      <c r="B905" s="6" t="s">
        <v>6804</v>
      </c>
      <c r="C905" s="6" t="s">
        <v>6806</v>
      </c>
      <c r="D905" s="6" t="s">
        <v>4767</v>
      </c>
      <c r="E905" s="6" t="s">
        <v>4768</v>
      </c>
      <c r="F905" s="7" t="s">
        <v>6621</v>
      </c>
      <c r="G905" s="6" t="s">
        <v>218</v>
      </c>
      <c r="H905" s="6"/>
      <c r="I905" s="6"/>
      <c r="J905" s="6"/>
      <c r="K905" s="6"/>
      <c r="L905" s="6" t="s">
        <v>4769</v>
      </c>
      <c r="M905" s="6"/>
      <c r="N905" s="6" t="s">
        <v>4770</v>
      </c>
      <c r="O905" s="6" t="str">
        <f>HYPERLINK("https://ceds.ed.gov/cedselementdetails.aspx?termid=5565")</f>
        <v>https://ceds.ed.gov/cedselementdetails.aspx?termid=5565</v>
      </c>
      <c r="P905" s="6" t="str">
        <f>HYPERLINK("https://ceds.ed.gov/elementComment.aspx?elementName=Proficiency Status &amp;elementID=5565", "Click here to submit comment")</f>
        <v>Click here to submit comment</v>
      </c>
    </row>
    <row r="906" spans="1:16" ht="210">
      <c r="A906" s="6" t="s">
        <v>6788</v>
      </c>
      <c r="B906" s="6" t="s">
        <v>6804</v>
      </c>
      <c r="C906" s="6" t="s">
        <v>6806</v>
      </c>
      <c r="D906" s="6" t="s">
        <v>4861</v>
      </c>
      <c r="E906" s="6" t="s">
        <v>4862</v>
      </c>
      <c r="F906" s="7" t="s">
        <v>6627</v>
      </c>
      <c r="G906" s="6" t="s">
        <v>218</v>
      </c>
      <c r="H906" s="6"/>
      <c r="I906" s="6"/>
      <c r="J906" s="6"/>
      <c r="K906" s="6"/>
      <c r="L906" s="6" t="s">
        <v>4863</v>
      </c>
      <c r="M906" s="6"/>
      <c r="N906" s="6" t="s">
        <v>4864</v>
      </c>
      <c r="O906" s="6" t="str">
        <f>HYPERLINK("https://ceds.ed.gov/cedselementdetails.aspx?termid=5553")</f>
        <v>https://ceds.ed.gov/cedselementdetails.aspx?termid=5553</v>
      </c>
      <c r="P906" s="6" t="str">
        <f>HYPERLINK("https://ceds.ed.gov/elementComment.aspx?elementName=Progress Level &amp;elementID=5553", "Click here to submit comment")</f>
        <v>Click here to submit comment</v>
      </c>
    </row>
    <row r="907" spans="1:16" ht="30">
      <c r="A907" s="6" t="s">
        <v>6788</v>
      </c>
      <c r="B907" s="6" t="s">
        <v>6804</v>
      </c>
      <c r="C907" s="6" t="s">
        <v>6806</v>
      </c>
      <c r="D907" s="6" t="s">
        <v>1582</v>
      </c>
      <c r="E907" s="6" t="s">
        <v>1583</v>
      </c>
      <c r="F907" s="6" t="s">
        <v>13</v>
      </c>
      <c r="G907" s="6"/>
      <c r="H907" s="6" t="s">
        <v>54</v>
      </c>
      <c r="I907" s="6" t="s">
        <v>73</v>
      </c>
      <c r="J907" s="6"/>
      <c r="K907" s="6"/>
      <c r="L907" s="6" t="s">
        <v>1584</v>
      </c>
      <c r="M907" s="6"/>
      <c r="N907" s="6" t="s">
        <v>1585</v>
      </c>
      <c r="O907" s="6" t="str">
        <f>HYPERLINK("https://ceds.ed.gov/cedselementdetails.aspx?termid=6255")</f>
        <v>https://ceds.ed.gov/cedselementdetails.aspx?termid=6255</v>
      </c>
      <c r="P907" s="6" t="str">
        <f>HYPERLINK("https://ceds.ed.gov/elementComment.aspx?elementName=Career Education Plan Date &amp;elementID=6255", "Click here to submit comment")</f>
        <v>Click here to submit comment</v>
      </c>
    </row>
    <row r="908" spans="1:16" ht="105">
      <c r="A908" s="6" t="s">
        <v>6788</v>
      </c>
      <c r="B908" s="6" t="s">
        <v>6804</v>
      </c>
      <c r="C908" s="6" t="s">
        <v>6806</v>
      </c>
      <c r="D908" s="6" t="s">
        <v>1586</v>
      </c>
      <c r="E908" s="6" t="s">
        <v>1587</v>
      </c>
      <c r="F908" s="7" t="s">
        <v>6416</v>
      </c>
      <c r="G908" s="6"/>
      <c r="H908" s="6" t="s">
        <v>54</v>
      </c>
      <c r="I908" s="6"/>
      <c r="J908" s="6"/>
      <c r="K908" s="6"/>
      <c r="L908" s="6" t="s">
        <v>1588</v>
      </c>
      <c r="M908" s="6"/>
      <c r="N908" s="6" t="s">
        <v>1589</v>
      </c>
      <c r="O908" s="6" t="str">
        <f>HYPERLINK("https://ceds.ed.gov/cedselementdetails.aspx?termid=6256")</f>
        <v>https://ceds.ed.gov/cedselementdetails.aspx?termid=6256</v>
      </c>
      <c r="P908" s="6" t="str">
        <f>HYPERLINK("https://ceds.ed.gov/elementComment.aspx?elementName=Career Education Plan Type &amp;elementID=6256", "Click here to submit comment")</f>
        <v>Click here to submit comment</v>
      </c>
    </row>
    <row r="909" spans="1:16" ht="270">
      <c r="A909" s="6" t="s">
        <v>6788</v>
      </c>
      <c r="B909" s="6" t="s">
        <v>6804</v>
      </c>
      <c r="C909" s="6" t="s">
        <v>6806</v>
      </c>
      <c r="D909" s="6" t="s">
        <v>4763</v>
      </c>
      <c r="E909" s="6" t="s">
        <v>4764</v>
      </c>
      <c r="F909" s="7" t="s">
        <v>6620</v>
      </c>
      <c r="G909" s="6"/>
      <c r="H909" s="6" t="s">
        <v>66</v>
      </c>
      <c r="I909" s="6"/>
      <c r="J909" s="6" t="s">
        <v>848</v>
      </c>
      <c r="K909" s="6"/>
      <c r="L909" s="6" t="s">
        <v>4765</v>
      </c>
      <c r="M909" s="6"/>
      <c r="N909" s="6" t="s">
        <v>4766</v>
      </c>
      <c r="O909" s="6" t="str">
        <f>HYPERLINK("https://ceds.ed.gov/cedselementdetails.aspx?termid=5780")</f>
        <v>https://ceds.ed.gov/cedselementdetails.aspx?termid=5780</v>
      </c>
      <c r="P909" s="6" t="str">
        <f>HYPERLINK("https://ceds.ed.gov/elementComment.aspx?elementName=Professional or Technical Credential Conferred &amp;elementID=5780", "Click here to submit comment")</f>
        <v>Click here to submit comment</v>
      </c>
    </row>
    <row r="910" spans="1:16" ht="255">
      <c r="A910" s="6" t="s">
        <v>6788</v>
      </c>
      <c r="B910" s="6" t="s">
        <v>6804</v>
      </c>
      <c r="C910" s="6" t="s">
        <v>6807</v>
      </c>
      <c r="D910" s="6" t="s">
        <v>4269</v>
      </c>
      <c r="E910" s="6" t="s">
        <v>4270</v>
      </c>
      <c r="F910" s="6" t="s">
        <v>13</v>
      </c>
      <c r="G910" s="6" t="s">
        <v>6263</v>
      </c>
      <c r="H910" s="6"/>
      <c r="I910" s="6" t="s">
        <v>1461</v>
      </c>
      <c r="J910" s="6"/>
      <c r="K910" s="6" t="s">
        <v>4271</v>
      </c>
      <c r="L910" s="6" t="s">
        <v>4272</v>
      </c>
      <c r="M910" s="6"/>
      <c r="N910" s="6" t="s">
        <v>4273</v>
      </c>
      <c r="O910" s="6" t="str">
        <f>HYPERLINK("https://ceds.ed.gov/cedselementdetails.aspx?termid=5202")</f>
        <v>https://ceds.ed.gov/cedselementdetails.aspx?termid=5202</v>
      </c>
      <c r="P910" s="6" t="str">
        <f>HYPERLINK("https://ceds.ed.gov/elementComment.aspx?elementName=Number of Days in Attendance &amp;elementID=5202", "Click here to submit comment")</f>
        <v>Click here to submit comment</v>
      </c>
    </row>
    <row r="911" spans="1:16" ht="120">
      <c r="A911" s="6" t="s">
        <v>6788</v>
      </c>
      <c r="B911" s="6" t="s">
        <v>6804</v>
      </c>
      <c r="C911" s="6" t="s">
        <v>6807</v>
      </c>
      <c r="D911" s="6" t="s">
        <v>4261</v>
      </c>
      <c r="E911" s="6" t="s">
        <v>4262</v>
      </c>
      <c r="F911" s="6" t="s">
        <v>13</v>
      </c>
      <c r="G911" s="6" t="s">
        <v>6261</v>
      </c>
      <c r="H911" s="6"/>
      <c r="I911" s="6" t="s">
        <v>1461</v>
      </c>
      <c r="J911" s="6"/>
      <c r="K911" s="6"/>
      <c r="L911" s="6" t="s">
        <v>4263</v>
      </c>
      <c r="M911" s="6"/>
      <c r="N911" s="6" t="s">
        <v>4264</v>
      </c>
      <c r="O911" s="6" t="str">
        <f>HYPERLINK("https://ceds.ed.gov/cedselementdetails.aspx?termid=5201")</f>
        <v>https://ceds.ed.gov/cedselementdetails.aspx?termid=5201</v>
      </c>
      <c r="P911" s="6" t="str">
        <f>HYPERLINK("https://ceds.ed.gov/elementComment.aspx?elementName=Number of Days Absent &amp;elementID=5201", "Click here to submit comment")</f>
        <v>Click here to submit comment</v>
      </c>
    </row>
    <row r="912" spans="1:16" ht="409.5">
      <c r="A912" s="6" t="s">
        <v>6788</v>
      </c>
      <c r="B912" s="6" t="s">
        <v>6804</v>
      </c>
      <c r="C912" s="6" t="s">
        <v>6807</v>
      </c>
      <c r="D912" s="6" t="s">
        <v>6</v>
      </c>
      <c r="E912" s="6" t="s">
        <v>7</v>
      </c>
      <c r="F912" s="7" t="s">
        <v>6345</v>
      </c>
      <c r="G912" s="6"/>
      <c r="H912" s="6"/>
      <c r="I912" s="6"/>
      <c r="J912" s="6"/>
      <c r="K912" s="6"/>
      <c r="L912" s="6" t="s">
        <v>9</v>
      </c>
      <c r="M912" s="6"/>
      <c r="N912" s="6" t="s">
        <v>10</v>
      </c>
      <c r="O912" s="6" t="str">
        <f>HYPERLINK("https://ceds.ed.gov/cedselementdetails.aspx?termid=5592")</f>
        <v>https://ceds.ed.gov/cedselementdetails.aspx?termid=5592</v>
      </c>
      <c r="P912" s="6" t="str">
        <f>HYPERLINK("https://ceds.ed.gov/elementComment.aspx?elementName=Absent Attendance Category &amp;elementID=5592", "Click here to submit comment")</f>
        <v>Click here to submit comment</v>
      </c>
    </row>
    <row r="913" spans="1:16" ht="60">
      <c r="A913" s="6" t="s">
        <v>6788</v>
      </c>
      <c r="B913" s="6" t="s">
        <v>6804</v>
      </c>
      <c r="C913" s="6" t="s">
        <v>6807</v>
      </c>
      <c r="D913" s="6" t="s">
        <v>1520</v>
      </c>
      <c r="E913" s="6" t="s">
        <v>1521</v>
      </c>
      <c r="F913" s="6" t="s">
        <v>13</v>
      </c>
      <c r="G913" s="6"/>
      <c r="H913" s="6" t="s">
        <v>66</v>
      </c>
      <c r="I913" s="6" t="s">
        <v>73</v>
      </c>
      <c r="J913" s="6" t="s">
        <v>1522</v>
      </c>
      <c r="K913" s="6"/>
      <c r="L913" s="6" t="s">
        <v>1523</v>
      </c>
      <c r="M913" s="6"/>
      <c r="N913" s="6" t="s">
        <v>1524</v>
      </c>
      <c r="O913" s="6" t="str">
        <f>HYPERLINK("https://ceds.ed.gov/cedselementdetails.aspx?termid=6241")</f>
        <v>https://ceds.ed.gov/cedselementdetails.aspx?termid=6241</v>
      </c>
      <c r="P913" s="6" t="str">
        <f>HYPERLINK("https://ceds.ed.gov/elementComment.aspx?elementName=Calendar Event Date &amp;elementID=6241", "Click here to submit comment")</f>
        <v>Click here to submit comment</v>
      </c>
    </row>
    <row r="914" spans="1:16" ht="150">
      <c r="A914" s="6" t="s">
        <v>6788</v>
      </c>
      <c r="B914" s="6" t="s">
        <v>6804</v>
      </c>
      <c r="C914" s="6" t="s">
        <v>6807</v>
      </c>
      <c r="D914" s="6" t="s">
        <v>1407</v>
      </c>
      <c r="E914" s="6" t="s">
        <v>1408</v>
      </c>
      <c r="F914" s="7" t="s">
        <v>6407</v>
      </c>
      <c r="G914" s="6"/>
      <c r="H914" s="6"/>
      <c r="I914" s="6"/>
      <c r="J914" s="6"/>
      <c r="K914" s="6"/>
      <c r="L914" s="6" t="s">
        <v>1409</v>
      </c>
      <c r="M914" s="6"/>
      <c r="N914" s="6" t="s">
        <v>1410</v>
      </c>
      <c r="O914" s="6" t="str">
        <f>HYPERLINK("https://ceds.ed.gov/cedselementdetails.aspx?termid=5594")</f>
        <v>https://ceds.ed.gov/cedselementdetails.aspx?termid=5594</v>
      </c>
      <c r="P914" s="6" t="str">
        <f>HYPERLINK("https://ceds.ed.gov/elementComment.aspx?elementName=Attendance Event Type &amp;elementID=5594", "Click here to submit comment")</f>
        <v>Click here to submit comment</v>
      </c>
    </row>
    <row r="915" spans="1:16" ht="135">
      <c r="A915" s="6" t="s">
        <v>6788</v>
      </c>
      <c r="B915" s="6" t="s">
        <v>6804</v>
      </c>
      <c r="C915" s="6" t="s">
        <v>6807</v>
      </c>
      <c r="D915" s="6" t="s">
        <v>1411</v>
      </c>
      <c r="E915" s="6" t="s">
        <v>1412</v>
      </c>
      <c r="F915" s="7" t="s">
        <v>6408</v>
      </c>
      <c r="G915" s="6"/>
      <c r="H915" s="6" t="s">
        <v>66</v>
      </c>
      <c r="I915" s="6"/>
      <c r="J915" s="6" t="s">
        <v>1413</v>
      </c>
      <c r="K915" s="6"/>
      <c r="L915" s="6" t="s">
        <v>1414</v>
      </c>
      <c r="M915" s="6"/>
      <c r="N915" s="6" t="s">
        <v>1415</v>
      </c>
      <c r="O915" s="6" t="str">
        <f>HYPERLINK("https://ceds.ed.gov/cedselementdetails.aspx?termid=5076")</f>
        <v>https://ceds.ed.gov/cedselementdetails.aspx?termid=5076</v>
      </c>
      <c r="P915" s="6" t="str">
        <f>HYPERLINK("https://ceds.ed.gov/elementComment.aspx?elementName=Attendance Status &amp;elementID=5076", "Click here to submit comment")</f>
        <v>Click here to submit comment</v>
      </c>
    </row>
    <row r="916" spans="1:16" ht="285">
      <c r="A916" s="6" t="s">
        <v>6788</v>
      </c>
      <c r="B916" s="6" t="s">
        <v>6804</v>
      </c>
      <c r="C916" s="6" t="s">
        <v>6807</v>
      </c>
      <c r="D916" s="6" t="s">
        <v>4571</v>
      </c>
      <c r="E916" s="6" t="s">
        <v>4572</v>
      </c>
      <c r="F916" s="7" t="s">
        <v>6606</v>
      </c>
      <c r="G916" s="6"/>
      <c r="H916" s="6"/>
      <c r="I916" s="6"/>
      <c r="J916" s="6"/>
      <c r="K916" s="6"/>
      <c r="L916" s="6" t="s">
        <v>4573</v>
      </c>
      <c r="M916" s="6"/>
      <c r="N916" s="6" t="s">
        <v>4574</v>
      </c>
      <c r="O916" s="6" t="str">
        <f>HYPERLINK("https://ceds.ed.gov/cedselementdetails.aspx?termid=5593")</f>
        <v>https://ceds.ed.gov/cedselementdetails.aspx?termid=5593</v>
      </c>
      <c r="P916" s="6" t="str">
        <f>HYPERLINK("https://ceds.ed.gov/elementComment.aspx?elementName=Present Attendance Category &amp;elementID=5593", "Click here to submit comment")</f>
        <v>Click here to submit comment</v>
      </c>
    </row>
    <row r="917" spans="1:16" ht="120">
      <c r="A917" s="6" t="s">
        <v>6788</v>
      </c>
      <c r="B917" s="6" t="s">
        <v>6804</v>
      </c>
      <c r="C917" s="6" t="s">
        <v>6807</v>
      </c>
      <c r="D917" s="6" t="s">
        <v>5600</v>
      </c>
      <c r="E917" s="6" t="s">
        <v>5601</v>
      </c>
      <c r="F917" s="6" t="s">
        <v>13</v>
      </c>
      <c r="G917" s="6" t="s">
        <v>218</v>
      </c>
      <c r="H917" s="6"/>
      <c r="I917" s="6" t="s">
        <v>5602</v>
      </c>
      <c r="J917" s="6"/>
      <c r="K917" s="6"/>
      <c r="L917" s="6" t="s">
        <v>5603</v>
      </c>
      <c r="M917" s="6"/>
      <c r="N917" s="6" t="s">
        <v>5604</v>
      </c>
      <c r="O917" s="6" t="str">
        <f>HYPERLINK("https://ceds.ed.gov/cedselementdetails.aspx?termid=5271")</f>
        <v>https://ceds.ed.gov/cedselementdetails.aspx?termid=5271</v>
      </c>
      <c r="P917" s="6" t="str">
        <f>HYPERLINK("https://ceds.ed.gov/elementComment.aspx?elementName=Student Attendance Rate &amp;elementID=5271", "Click here to submit comment")</f>
        <v>Click here to submit comment</v>
      </c>
    </row>
    <row r="918" spans="1:16" ht="45">
      <c r="A918" s="6" t="s">
        <v>6788</v>
      </c>
      <c r="B918" s="6" t="s">
        <v>6804</v>
      </c>
      <c r="C918" s="6" t="s">
        <v>6808</v>
      </c>
      <c r="D918" s="6" t="s">
        <v>4821</v>
      </c>
      <c r="E918" s="6" t="s">
        <v>4822</v>
      </c>
      <c r="F918" s="6" t="s">
        <v>13</v>
      </c>
      <c r="G918" s="6" t="s">
        <v>6051</v>
      </c>
      <c r="H918" s="6"/>
      <c r="I918" s="6" t="s">
        <v>73</v>
      </c>
      <c r="J918" s="6"/>
      <c r="K918" s="6"/>
      <c r="L918" s="6" t="s">
        <v>4823</v>
      </c>
      <c r="M918" s="6"/>
      <c r="N918" s="6" t="s">
        <v>4824</v>
      </c>
      <c r="O918" s="6" t="str">
        <f>HYPERLINK("https://ceds.ed.gov/cedselementdetails.aspx?termid=5583")</f>
        <v>https://ceds.ed.gov/cedselementdetails.aspx?termid=5583</v>
      </c>
      <c r="P918" s="6" t="str">
        <f>HYPERLINK("https://ceds.ed.gov/elementComment.aspx?elementName=Program Participation Start Date &amp;elementID=5583", "Click here to submit comment")</f>
        <v>Click here to submit comment</v>
      </c>
    </row>
    <row r="919" spans="1:16" ht="45">
      <c r="A919" s="6" t="s">
        <v>6788</v>
      </c>
      <c r="B919" s="6" t="s">
        <v>6804</v>
      </c>
      <c r="C919" s="6" t="s">
        <v>6808</v>
      </c>
      <c r="D919" s="6" t="s">
        <v>4817</v>
      </c>
      <c r="E919" s="6" t="s">
        <v>4818</v>
      </c>
      <c r="F919" s="6" t="s">
        <v>13</v>
      </c>
      <c r="G919" s="6" t="s">
        <v>218</v>
      </c>
      <c r="H919" s="6"/>
      <c r="I919" s="6" t="s">
        <v>73</v>
      </c>
      <c r="J919" s="6"/>
      <c r="K919" s="6"/>
      <c r="L919" s="6" t="s">
        <v>4819</v>
      </c>
      <c r="M919" s="6"/>
      <c r="N919" s="6" t="s">
        <v>4820</v>
      </c>
      <c r="O919" s="6" t="str">
        <f>HYPERLINK("https://ceds.ed.gov/cedselementdetails.aspx?termid=5584")</f>
        <v>https://ceds.ed.gov/cedselementdetails.aspx?termid=5584</v>
      </c>
      <c r="P919" s="6" t="str">
        <f>HYPERLINK("https://ceds.ed.gov/elementComment.aspx?elementName=Program Participation Exit Date &amp;elementID=5584", "Click here to submit comment")</f>
        <v>Click here to submit comment</v>
      </c>
    </row>
    <row r="920" spans="1:16" ht="45">
      <c r="A920" s="6" t="s">
        <v>6788</v>
      </c>
      <c r="B920" s="6" t="s">
        <v>6804</v>
      </c>
      <c r="C920" s="6" t="s">
        <v>6808</v>
      </c>
      <c r="D920" s="6" t="s">
        <v>4792</v>
      </c>
      <c r="E920" s="6" t="s">
        <v>4793</v>
      </c>
      <c r="F920" s="6" t="s">
        <v>5963</v>
      </c>
      <c r="G920" s="6" t="s">
        <v>65</v>
      </c>
      <c r="H920" s="6"/>
      <c r="I920" s="6"/>
      <c r="J920" s="6"/>
      <c r="K920" s="6"/>
      <c r="L920" s="6" t="s">
        <v>4795</v>
      </c>
      <c r="M920" s="6"/>
      <c r="N920" s="6" t="s">
        <v>4796</v>
      </c>
      <c r="O920" s="6" t="str">
        <f>HYPERLINK("https://ceds.ed.gov/cedselementdetails.aspx?termid=5851")</f>
        <v>https://ceds.ed.gov/cedselementdetails.aspx?termid=5851</v>
      </c>
      <c r="P920" s="6" t="str">
        <f>HYPERLINK("https://ceds.ed.gov/elementComment.aspx?elementName=Program Heath Safety Checklist Use Status &amp;elementID=5851", "Click here to submit comment")</f>
        <v>Click here to submit comment</v>
      </c>
    </row>
    <row r="921" spans="1:16" ht="105">
      <c r="A921" s="6" t="s">
        <v>6788</v>
      </c>
      <c r="B921" s="6" t="s">
        <v>6804</v>
      </c>
      <c r="C921" s="6" t="s">
        <v>6808</v>
      </c>
      <c r="D921" s="6" t="s">
        <v>1551</v>
      </c>
      <c r="E921" s="6" t="s">
        <v>1552</v>
      </c>
      <c r="F921" s="6" t="s">
        <v>5963</v>
      </c>
      <c r="G921" s="6" t="s">
        <v>6084</v>
      </c>
      <c r="H921" s="6"/>
      <c r="I921" s="6"/>
      <c r="J921" s="6"/>
      <c r="K921" s="6"/>
      <c r="L921" s="6" t="s">
        <v>1553</v>
      </c>
      <c r="M921" s="6" t="s">
        <v>1554</v>
      </c>
      <c r="N921" s="6" t="s">
        <v>1555</v>
      </c>
      <c r="O921" s="6" t="str">
        <f>HYPERLINK("https://ceds.ed.gov/cedselementdetails.aspx?termid=5037")</f>
        <v>https://ceds.ed.gov/cedselementdetails.aspx?termid=5037</v>
      </c>
      <c r="P921" s="6" t="str">
        <f>HYPERLINK("https://ceds.ed.gov/elementComment.aspx?elementName=Career and Technical Education Concentrator &amp;elementID=5037", "Click here to submit comment")</f>
        <v>Click here to submit comment</v>
      </c>
    </row>
    <row r="922" spans="1:16" ht="75">
      <c r="A922" s="6" t="s">
        <v>6788</v>
      </c>
      <c r="B922" s="6" t="s">
        <v>6804</v>
      </c>
      <c r="C922" s="6" t="s">
        <v>6808</v>
      </c>
      <c r="D922" s="6" t="s">
        <v>1572</v>
      </c>
      <c r="E922" s="6" t="s">
        <v>1573</v>
      </c>
      <c r="F922" s="6" t="s">
        <v>5963</v>
      </c>
      <c r="G922" s="6" t="s">
        <v>218</v>
      </c>
      <c r="H922" s="6"/>
      <c r="I922" s="6"/>
      <c r="J922" s="6"/>
      <c r="K922" s="6"/>
      <c r="L922" s="6" t="s">
        <v>1574</v>
      </c>
      <c r="M922" s="6" t="s">
        <v>1575</v>
      </c>
      <c r="N922" s="6" t="s">
        <v>1576</v>
      </c>
      <c r="O922" s="6" t="str">
        <f>HYPERLINK("https://ceds.ed.gov/cedselementdetails.aspx?termid=5585")</f>
        <v>https://ceds.ed.gov/cedselementdetails.aspx?termid=5585</v>
      </c>
      <c r="P922" s="6" t="str">
        <f>HYPERLINK("https://ceds.ed.gov/elementComment.aspx?elementName=Career and Technical Education Participant &amp;elementID=5585", "Click here to submit comment")</f>
        <v>Click here to submit comment</v>
      </c>
    </row>
    <row r="923" spans="1:16" ht="270">
      <c r="A923" s="6" t="s">
        <v>6788</v>
      </c>
      <c r="B923" s="6" t="s">
        <v>6804</v>
      </c>
      <c r="C923" s="6" t="s">
        <v>6808</v>
      </c>
      <c r="D923" s="6" t="s">
        <v>1599</v>
      </c>
      <c r="E923" s="6" t="s">
        <v>1600</v>
      </c>
      <c r="F923" s="6" t="s">
        <v>5963</v>
      </c>
      <c r="G923" s="6" t="s">
        <v>218</v>
      </c>
      <c r="H923" s="6"/>
      <c r="I923" s="6"/>
      <c r="J923" s="6"/>
      <c r="K923" s="6"/>
      <c r="L923" s="6" t="s">
        <v>1601</v>
      </c>
      <c r="M923" s="6" t="s">
        <v>1602</v>
      </c>
      <c r="N923" s="6" t="s">
        <v>1603</v>
      </c>
      <c r="O923" s="6" t="str">
        <f>HYPERLINK("https://ceds.ed.gov/cedselementdetails.aspx?termid=5084")</f>
        <v>https://ceds.ed.gov/cedselementdetails.aspx?termid=5084</v>
      </c>
      <c r="P923" s="6" t="str">
        <f>HYPERLINK("https://ceds.ed.gov/elementComment.aspx?elementName=Career-Technical-Adult Education Displaced Homemaker Indicator &amp;elementID=5084", "Click here to submit comment")</f>
        <v>Click here to submit comment</v>
      </c>
    </row>
    <row r="924" spans="1:16" ht="105">
      <c r="A924" s="6" t="s">
        <v>6788</v>
      </c>
      <c r="B924" s="6" t="s">
        <v>6804</v>
      </c>
      <c r="C924" s="6" t="s">
        <v>6808</v>
      </c>
      <c r="D924" s="6" t="s">
        <v>5370</v>
      </c>
      <c r="E924" s="6" t="s">
        <v>5371</v>
      </c>
      <c r="F924" s="6" t="s">
        <v>5963</v>
      </c>
      <c r="G924" s="6" t="s">
        <v>6101</v>
      </c>
      <c r="H924" s="6" t="s">
        <v>3</v>
      </c>
      <c r="I924" s="6"/>
      <c r="J924" s="6"/>
      <c r="K924" s="6"/>
      <c r="L924" s="6" t="s">
        <v>5372</v>
      </c>
      <c r="M924" s="6"/>
      <c r="N924" s="6" t="s">
        <v>5373</v>
      </c>
      <c r="O924" s="6" t="str">
        <f>HYPERLINK("https://ceds.ed.gov/cedselementdetails.aspx?termid=5573")</f>
        <v>https://ceds.ed.gov/cedselementdetails.aspx?termid=5573</v>
      </c>
      <c r="P924" s="6" t="str">
        <f>HYPERLINK("https://ceds.ed.gov/elementComment.aspx?elementName=Single Parent Or Single Pregnant Woman Status &amp;elementID=5573", "Click here to submit comment")</f>
        <v>Click here to submit comment</v>
      </c>
    </row>
    <row r="925" spans="1:16" ht="90">
      <c r="A925" s="6" t="s">
        <v>6788</v>
      </c>
      <c r="B925" s="6" t="s">
        <v>6804</v>
      </c>
      <c r="C925" s="6" t="s">
        <v>6808</v>
      </c>
      <c r="D925" s="6" t="s">
        <v>1567</v>
      </c>
      <c r="E925" s="6" t="s">
        <v>1568</v>
      </c>
      <c r="F925" s="6" t="s">
        <v>5963</v>
      </c>
      <c r="G925" s="6" t="s">
        <v>218</v>
      </c>
      <c r="H925" s="6"/>
      <c r="I925" s="6"/>
      <c r="J925" s="6"/>
      <c r="K925" s="6"/>
      <c r="L925" s="6" t="s">
        <v>1569</v>
      </c>
      <c r="M925" s="6" t="s">
        <v>1570</v>
      </c>
      <c r="N925" s="6" t="s">
        <v>1571</v>
      </c>
      <c r="O925" s="6" t="str">
        <f>HYPERLINK("https://ceds.ed.gov/cedselementdetails.aspx?termid=5586")</f>
        <v>https://ceds.ed.gov/cedselementdetails.aspx?termid=5586</v>
      </c>
      <c r="P925" s="6" t="str">
        <f>HYPERLINK("https://ceds.ed.gov/elementComment.aspx?elementName=Career and Technical Education Nontraditional Completion &amp;elementID=5586", "Click here to submit comment")</f>
        <v>Click here to submit comment</v>
      </c>
    </row>
    <row r="926" spans="1:16" ht="105">
      <c r="A926" s="6" t="s">
        <v>6788</v>
      </c>
      <c r="B926" s="6" t="s">
        <v>6804</v>
      </c>
      <c r="C926" s="6" t="s">
        <v>6808</v>
      </c>
      <c r="D926" s="6" t="s">
        <v>1546</v>
      </c>
      <c r="E926" s="6" t="s">
        <v>1547</v>
      </c>
      <c r="F926" s="6" t="s">
        <v>5963</v>
      </c>
      <c r="G926" s="6" t="s">
        <v>6084</v>
      </c>
      <c r="H926" s="6"/>
      <c r="I926" s="6"/>
      <c r="J926" s="6"/>
      <c r="K926" s="6"/>
      <c r="L926" s="6" t="s">
        <v>1548</v>
      </c>
      <c r="M926" s="6" t="s">
        <v>1549</v>
      </c>
      <c r="N926" s="6" t="s">
        <v>1550</v>
      </c>
      <c r="O926" s="6" t="str">
        <f>HYPERLINK("https://ceds.ed.gov/cedselementdetails.aspx?termid=5036")</f>
        <v>https://ceds.ed.gov/cedselementdetails.aspx?termid=5036</v>
      </c>
      <c r="P926" s="6" t="str">
        <f>HYPERLINK("https://ceds.ed.gov/elementComment.aspx?elementName=Career and Technical Education Completer &amp;elementID=5036", "Click here to submit comment")</f>
        <v>Click here to submit comment</v>
      </c>
    </row>
    <row r="927" spans="1:16" ht="285">
      <c r="A927" s="6" t="s">
        <v>6788</v>
      </c>
      <c r="B927" s="6" t="s">
        <v>6804</v>
      </c>
      <c r="C927" s="6" t="s">
        <v>6809</v>
      </c>
      <c r="D927" s="6" t="s">
        <v>3040</v>
      </c>
      <c r="E927" s="6" t="s">
        <v>3041</v>
      </c>
      <c r="F927" s="6" t="s">
        <v>5963</v>
      </c>
      <c r="G927" s="6" t="s">
        <v>6200</v>
      </c>
      <c r="H927" s="6" t="s">
        <v>3</v>
      </c>
      <c r="I927" s="6"/>
      <c r="J927" s="6"/>
      <c r="K927" s="6"/>
      <c r="L927" s="6" t="s">
        <v>3042</v>
      </c>
      <c r="M927" s="6"/>
      <c r="N927" s="6" t="s">
        <v>3043</v>
      </c>
      <c r="O927" s="6" t="str">
        <f>HYPERLINK("https://ceds.ed.gov/cedselementdetails.aspx?termid=5151")</f>
        <v>https://ceds.ed.gov/cedselementdetails.aspx?termid=5151</v>
      </c>
      <c r="P927" s="6" t="str">
        <f>HYPERLINK("https://ceds.ed.gov/elementComment.aspx?elementName=IDEA Indicator &amp;elementID=5151", "Click here to submit comment")</f>
        <v>Click here to submit comment</v>
      </c>
    </row>
    <row r="928" spans="1:16" ht="45">
      <c r="A928" s="6" t="s">
        <v>6788</v>
      </c>
      <c r="B928" s="6" t="s">
        <v>6804</v>
      </c>
      <c r="C928" s="6" t="s">
        <v>6809</v>
      </c>
      <c r="D928" s="6" t="s">
        <v>2208</v>
      </c>
      <c r="E928" s="6" t="s">
        <v>2209</v>
      </c>
      <c r="F928" s="6" t="s">
        <v>5963</v>
      </c>
      <c r="G928" s="6" t="s">
        <v>218</v>
      </c>
      <c r="H928" s="6" t="s">
        <v>3</v>
      </c>
      <c r="I928" s="6"/>
      <c r="J928" s="6"/>
      <c r="K928" s="6"/>
      <c r="L928" s="6" t="s">
        <v>2210</v>
      </c>
      <c r="M928" s="6"/>
      <c r="N928" s="6" t="s">
        <v>2211</v>
      </c>
      <c r="O928" s="6" t="str">
        <f>HYPERLINK("https://ceds.ed.gov/cedselementdetails.aspx?termid=5569")</f>
        <v>https://ceds.ed.gov/cedselementdetails.aspx?termid=5569</v>
      </c>
      <c r="P928" s="6" t="str">
        <f>HYPERLINK("https://ceds.ed.gov/elementComment.aspx?elementName=Disability Status &amp;elementID=5569", "Click here to submit comment")</f>
        <v>Click here to submit comment</v>
      </c>
    </row>
    <row r="929" spans="1:16" ht="90">
      <c r="A929" s="6" t="s">
        <v>6788</v>
      </c>
      <c r="B929" s="6" t="s">
        <v>6804</v>
      </c>
      <c r="C929" s="6" t="s">
        <v>6809</v>
      </c>
      <c r="D929" s="6" t="s">
        <v>5289</v>
      </c>
      <c r="E929" s="6" t="s">
        <v>5290</v>
      </c>
      <c r="F929" s="6" t="s">
        <v>5963</v>
      </c>
      <c r="G929" s="6" t="s">
        <v>6200</v>
      </c>
      <c r="H929" s="6"/>
      <c r="I929" s="6"/>
      <c r="J929" s="6"/>
      <c r="K929" s="6"/>
      <c r="L929" s="6" t="s">
        <v>5291</v>
      </c>
      <c r="M929" s="6"/>
      <c r="N929" s="6" t="s">
        <v>5292</v>
      </c>
      <c r="O929" s="6" t="str">
        <f>HYPERLINK("https://ceds.ed.gov/cedselementdetails.aspx?termid=5249")</f>
        <v>https://ceds.ed.gov/cedselementdetails.aspx?termid=5249</v>
      </c>
      <c r="P929" s="6" t="str">
        <f>HYPERLINK("https://ceds.ed.gov/elementComment.aspx?elementName=Section 504 Status &amp;elementID=5249", "Click here to submit comment")</f>
        <v>Click here to submit comment</v>
      </c>
    </row>
    <row r="930" spans="1:16" ht="315">
      <c r="A930" s="6" t="s">
        <v>6788</v>
      </c>
      <c r="B930" s="6" t="s">
        <v>6804</v>
      </c>
      <c r="C930" s="6" t="s">
        <v>6809</v>
      </c>
      <c r="D930" s="6" t="s">
        <v>4587</v>
      </c>
      <c r="E930" s="6" t="s">
        <v>4588</v>
      </c>
      <c r="F930" s="7" t="s">
        <v>6607</v>
      </c>
      <c r="G930" s="6" t="s">
        <v>6286</v>
      </c>
      <c r="H930" s="6" t="s">
        <v>3</v>
      </c>
      <c r="I930" s="6"/>
      <c r="J930" s="6"/>
      <c r="K930" s="6"/>
      <c r="L930" s="6" t="s">
        <v>4589</v>
      </c>
      <c r="M930" s="6"/>
      <c r="N930" s="6" t="s">
        <v>4590</v>
      </c>
      <c r="O930" s="6" t="str">
        <f>HYPERLINK("https://ceds.ed.gov/cedselementdetails.aspx?termid=5218")</f>
        <v>https://ceds.ed.gov/cedselementdetails.aspx?termid=5218</v>
      </c>
      <c r="P930" s="6" t="str">
        <f>HYPERLINK("https://ceds.ed.gov/elementComment.aspx?elementName=Primary Disability Type &amp;elementID=5218", "Click here to submit comment")</f>
        <v>Click here to submit comment</v>
      </c>
    </row>
    <row r="931" spans="1:16" ht="60">
      <c r="A931" s="6" t="s">
        <v>6788</v>
      </c>
      <c r="B931" s="6" t="s">
        <v>6804</v>
      </c>
      <c r="C931" s="6" t="s">
        <v>6809</v>
      </c>
      <c r="D931" s="6" t="s">
        <v>1464</v>
      </c>
      <c r="E931" s="6" t="s">
        <v>1465</v>
      </c>
      <c r="F931" s="6" t="s">
        <v>5963</v>
      </c>
      <c r="G931" s="6" t="s">
        <v>2</v>
      </c>
      <c r="H931" s="6"/>
      <c r="I931" s="6"/>
      <c r="J931" s="6"/>
      <c r="K931" s="6"/>
      <c r="L931" s="6" t="s">
        <v>1467</v>
      </c>
      <c r="M931" s="6"/>
      <c r="N931" s="6" t="s">
        <v>1468</v>
      </c>
      <c r="O931" s="6" t="str">
        <f>HYPERLINK("https://ceds.ed.gov/cedselementdetails.aspx?termid=5031")</f>
        <v>https://ceds.ed.gov/cedselementdetails.aspx?termid=5031</v>
      </c>
      <c r="P931" s="6" t="str">
        <f>HYPERLINK("https://ceds.ed.gov/elementComment.aspx?elementName=Awaiting Initial IDEA Evaluation Status &amp;elementID=5031", "Click here to submit comment")</f>
        <v>Click here to submit comment</v>
      </c>
    </row>
    <row r="932" spans="1:16" ht="225">
      <c r="A932" s="6" t="s">
        <v>6788</v>
      </c>
      <c r="B932" s="6" t="s">
        <v>6804</v>
      </c>
      <c r="C932" s="6" t="s">
        <v>6809</v>
      </c>
      <c r="D932" s="6" t="s">
        <v>3031</v>
      </c>
      <c r="E932" s="6" t="s">
        <v>3032</v>
      </c>
      <c r="F932" s="7" t="s">
        <v>6536</v>
      </c>
      <c r="G932" s="6" t="s">
        <v>218</v>
      </c>
      <c r="H932" s="6"/>
      <c r="I932" s="6"/>
      <c r="J932" s="6"/>
      <c r="K932" s="6"/>
      <c r="L932" s="6" t="s">
        <v>3033</v>
      </c>
      <c r="M932" s="6"/>
      <c r="N932" s="6" t="s">
        <v>3034</v>
      </c>
      <c r="O932" s="6" t="str">
        <f>HYPERLINK("https://ceds.ed.gov/cedselementdetails.aspx?termid=5526")</f>
        <v>https://ceds.ed.gov/cedselementdetails.aspx?termid=5526</v>
      </c>
      <c r="P932" s="6" t="str">
        <f>HYPERLINK("https://ceds.ed.gov/elementComment.aspx?elementName=IDEA Educational Environment for School Age &amp;elementID=5526", "Click here to submit comment")</f>
        <v>Click here to submit comment</v>
      </c>
    </row>
    <row r="933" spans="1:16" ht="409.5">
      <c r="A933" s="6" t="s">
        <v>6788</v>
      </c>
      <c r="B933" s="6" t="s">
        <v>6804</v>
      </c>
      <c r="C933" s="6" t="s">
        <v>6809</v>
      </c>
      <c r="D933" s="6" t="s">
        <v>2199</v>
      </c>
      <c r="E933" s="6" t="s">
        <v>2200</v>
      </c>
      <c r="F933" s="7" t="s">
        <v>6459</v>
      </c>
      <c r="G933" s="6"/>
      <c r="H933" s="6" t="s">
        <v>54</v>
      </c>
      <c r="I933" s="6"/>
      <c r="J933" s="6"/>
      <c r="K933" s="6" t="s">
        <v>2201</v>
      </c>
      <c r="L933" s="6" t="s">
        <v>2202</v>
      </c>
      <c r="M933" s="6"/>
      <c r="N933" s="6" t="s">
        <v>2203</v>
      </c>
      <c r="O933" s="6" t="str">
        <f>HYPERLINK("https://ceds.ed.gov/cedselementdetails.aspx?termid=6286")</f>
        <v>https://ceds.ed.gov/cedselementdetails.aspx?termid=6286</v>
      </c>
      <c r="P933" s="6" t="str">
        <f>HYPERLINK("https://ceds.ed.gov/elementComment.aspx?elementName=Disability Condition Type &amp;elementID=6286", "Click here to submit comment")</f>
        <v>Click here to submit comment</v>
      </c>
    </row>
    <row r="934" spans="1:16" ht="255">
      <c r="A934" s="6" t="s">
        <v>6788</v>
      </c>
      <c r="B934" s="6" t="s">
        <v>6804</v>
      </c>
      <c r="C934" s="6" t="s">
        <v>6809</v>
      </c>
      <c r="D934" s="6" t="s">
        <v>2204</v>
      </c>
      <c r="E934" s="6" t="s">
        <v>2205</v>
      </c>
      <c r="F934" s="7" t="s">
        <v>6460</v>
      </c>
      <c r="G934" s="6"/>
      <c r="H934" s="6" t="s">
        <v>54</v>
      </c>
      <c r="I934" s="6"/>
      <c r="J934" s="6"/>
      <c r="K934" s="6" t="s">
        <v>2201</v>
      </c>
      <c r="L934" s="6" t="s">
        <v>2206</v>
      </c>
      <c r="M934" s="6"/>
      <c r="N934" s="6" t="s">
        <v>2207</v>
      </c>
      <c r="O934" s="6" t="str">
        <f>HYPERLINK("https://ceds.ed.gov/cedselementdetails.aspx?termid=6287")</f>
        <v>https://ceds.ed.gov/cedselementdetails.aspx?termid=6287</v>
      </c>
      <c r="P934" s="6" t="str">
        <f>HYPERLINK("https://ceds.ed.gov/elementComment.aspx?elementName=Disability Determination Source Type &amp;elementID=6287", "Click here to submit comment")</f>
        <v>Click here to submit comment</v>
      </c>
    </row>
    <row r="935" spans="1:16" ht="409.5">
      <c r="A935" s="6" t="s">
        <v>6788</v>
      </c>
      <c r="B935" s="6" t="s">
        <v>6804</v>
      </c>
      <c r="C935" s="6" t="s">
        <v>6810</v>
      </c>
      <c r="D935" s="6" t="s">
        <v>2225</v>
      </c>
      <c r="E935" s="6" t="s">
        <v>2226</v>
      </c>
      <c r="F935" s="7" t="s">
        <v>6461</v>
      </c>
      <c r="G935" s="6" t="s">
        <v>2</v>
      </c>
      <c r="H935" s="6"/>
      <c r="I935" s="6"/>
      <c r="J935" s="6"/>
      <c r="K935" s="6"/>
      <c r="L935" s="6" t="s">
        <v>2227</v>
      </c>
      <c r="M935" s="6"/>
      <c r="N935" s="6" t="s">
        <v>2228</v>
      </c>
      <c r="O935" s="6" t="str">
        <f>HYPERLINK("https://ceds.ed.gov/cedselementdetails.aspx?termid=5479")</f>
        <v>https://ceds.ed.gov/cedselementdetails.aspx?termid=5479</v>
      </c>
      <c r="P935" s="6" t="str">
        <f>HYPERLINK("https://ceds.ed.gov/elementComment.aspx?elementName=Disciplinary Action Taken &amp;elementID=5479", "Click here to submit comment")</f>
        <v>Click here to submit comment</v>
      </c>
    </row>
    <row r="936" spans="1:16" ht="255">
      <c r="A936" s="6" t="s">
        <v>6788</v>
      </c>
      <c r="B936" s="6" t="s">
        <v>6804</v>
      </c>
      <c r="C936" s="6" t="s">
        <v>6810</v>
      </c>
      <c r="D936" s="6" t="s">
        <v>2242</v>
      </c>
      <c r="E936" s="6" t="s">
        <v>2243</v>
      </c>
      <c r="F936" s="7" t="s">
        <v>6465</v>
      </c>
      <c r="G936" s="6" t="s">
        <v>218</v>
      </c>
      <c r="H936" s="6"/>
      <c r="I936" s="6"/>
      <c r="J936" s="6"/>
      <c r="K936" s="6"/>
      <c r="L936" s="6" t="s">
        <v>2244</v>
      </c>
      <c r="M936" s="6"/>
      <c r="N936" s="6" t="s">
        <v>2245</v>
      </c>
      <c r="O936" s="6" t="str">
        <f>HYPERLINK("https://ceds.ed.gov/cedselementdetails.aspx?termid=5536")</f>
        <v>https://ceds.ed.gov/cedselementdetails.aspx?termid=5536</v>
      </c>
      <c r="P936" s="6" t="str">
        <f>HYPERLINK("https://ceds.ed.gov/elementComment.aspx?elementName=Discipline Reason &amp;elementID=5536", "Click here to submit comment")</f>
        <v>Click here to submit comment</v>
      </c>
    </row>
    <row r="937" spans="1:16" ht="30">
      <c r="A937" s="6" t="s">
        <v>6788</v>
      </c>
      <c r="B937" s="6" t="s">
        <v>6804</v>
      </c>
      <c r="C937" s="6" t="s">
        <v>6810</v>
      </c>
      <c r="D937" s="6" t="s">
        <v>2221</v>
      </c>
      <c r="E937" s="6" t="s">
        <v>2222</v>
      </c>
      <c r="F937" s="6" t="s">
        <v>13</v>
      </c>
      <c r="G937" s="6" t="s">
        <v>2</v>
      </c>
      <c r="H937" s="6"/>
      <c r="I937" s="6" t="s">
        <v>73</v>
      </c>
      <c r="J937" s="6"/>
      <c r="K937" s="6"/>
      <c r="L937" s="6" t="s">
        <v>2223</v>
      </c>
      <c r="M937" s="6"/>
      <c r="N937" s="6" t="s">
        <v>2224</v>
      </c>
      <c r="O937" s="6" t="str">
        <f>HYPERLINK("https://ceds.ed.gov/cedselementdetails.aspx?termid=5083")</f>
        <v>https://ceds.ed.gov/cedselementdetails.aspx?termid=5083</v>
      </c>
      <c r="P937" s="6" t="str">
        <f>HYPERLINK("https://ceds.ed.gov/elementComment.aspx?elementName=Disciplinary Action Start Date &amp;elementID=5083", "Click here to submit comment")</f>
        <v>Click here to submit comment</v>
      </c>
    </row>
    <row r="938" spans="1:16" ht="30">
      <c r="A938" s="6" t="s">
        <v>6788</v>
      </c>
      <c r="B938" s="6" t="s">
        <v>6804</v>
      </c>
      <c r="C938" s="6" t="s">
        <v>6810</v>
      </c>
      <c r="D938" s="6" t="s">
        <v>2212</v>
      </c>
      <c r="E938" s="6" t="s">
        <v>2213</v>
      </c>
      <c r="F938" s="6" t="s">
        <v>13</v>
      </c>
      <c r="G938" s="6" t="s">
        <v>2</v>
      </c>
      <c r="H938" s="6"/>
      <c r="I938" s="6" t="s">
        <v>73</v>
      </c>
      <c r="J938" s="6"/>
      <c r="K938" s="6"/>
      <c r="L938" s="6" t="s">
        <v>2214</v>
      </c>
      <c r="M938" s="6"/>
      <c r="N938" s="6" t="s">
        <v>2215</v>
      </c>
      <c r="O938" s="6" t="str">
        <f>HYPERLINK("https://ceds.ed.gov/cedselementdetails.aspx?termid=5082")</f>
        <v>https://ceds.ed.gov/cedselementdetails.aspx?termid=5082</v>
      </c>
      <c r="P938" s="6" t="str">
        <f>HYPERLINK("https://ceds.ed.gov/elementComment.aspx?elementName=Disciplinary Action End Date &amp;elementID=5082", "Click here to submit comment")</f>
        <v>Click here to submit comment</v>
      </c>
    </row>
    <row r="939" spans="1:16" ht="30">
      <c r="A939" s="6" t="s">
        <v>6788</v>
      </c>
      <c r="B939" s="6" t="s">
        <v>6804</v>
      </c>
      <c r="C939" s="6" t="s">
        <v>6810</v>
      </c>
      <c r="D939" s="6" t="s">
        <v>2286</v>
      </c>
      <c r="E939" s="6" t="s">
        <v>2287</v>
      </c>
      <c r="F939" s="6" t="s">
        <v>13</v>
      </c>
      <c r="G939" s="6"/>
      <c r="H939" s="6"/>
      <c r="I939" s="6" t="s">
        <v>1461</v>
      </c>
      <c r="J939" s="6"/>
      <c r="K939" s="6"/>
      <c r="L939" s="6" t="s">
        <v>2288</v>
      </c>
      <c r="M939" s="6"/>
      <c r="N939" s="6" t="s">
        <v>2289</v>
      </c>
      <c r="O939" s="6" t="str">
        <f>HYPERLINK("https://ceds.ed.gov/cedselementdetails.aspx?termid=5502")</f>
        <v>https://ceds.ed.gov/cedselementdetails.aspx?termid=5502</v>
      </c>
      <c r="P939" s="6" t="str">
        <f>HYPERLINK("https://ceds.ed.gov/elementComment.aspx?elementName=Duration of Disciplinary Action &amp;elementID=5502", "Click here to submit comment")</f>
        <v>Click here to submit comment</v>
      </c>
    </row>
    <row r="940" spans="1:16" ht="60">
      <c r="A940" s="6" t="s">
        <v>6788</v>
      </c>
      <c r="B940" s="6" t="s">
        <v>6804</v>
      </c>
      <c r="C940" s="6" t="s">
        <v>6810</v>
      </c>
      <c r="D940" s="6" t="s">
        <v>5366</v>
      </c>
      <c r="E940" s="6" t="s">
        <v>5367</v>
      </c>
      <c r="F940" s="6" t="s">
        <v>5963</v>
      </c>
      <c r="G940" s="6"/>
      <c r="H940" s="6"/>
      <c r="I940" s="6"/>
      <c r="J940" s="6"/>
      <c r="K940" s="6"/>
      <c r="L940" s="6" t="s">
        <v>5368</v>
      </c>
      <c r="M940" s="6"/>
      <c r="N940" s="6" t="s">
        <v>5369</v>
      </c>
      <c r="O940" s="6" t="str">
        <f>HYPERLINK("https://ceds.ed.gov/cedselementdetails.aspx?termid=5505")</f>
        <v>https://ceds.ed.gov/cedselementdetails.aspx?termid=5505</v>
      </c>
      <c r="P940" s="6" t="str">
        <f>HYPERLINK("https://ceds.ed.gov/elementComment.aspx?elementName=Shortened Expulsion &amp;elementID=5505", "Click here to submit comment")</f>
        <v>Click here to submit comment</v>
      </c>
    </row>
    <row r="941" spans="1:16" ht="405">
      <c r="A941" s="6" t="s">
        <v>6788</v>
      </c>
      <c r="B941" s="6" t="s">
        <v>6804</v>
      </c>
      <c r="C941" s="6" t="s">
        <v>6810</v>
      </c>
      <c r="D941" s="6" t="s">
        <v>2229</v>
      </c>
      <c r="E941" s="6" t="s">
        <v>2230</v>
      </c>
      <c r="F941" s="7" t="s">
        <v>6462</v>
      </c>
      <c r="G941" s="6"/>
      <c r="H941" s="6"/>
      <c r="I941" s="6"/>
      <c r="J941" s="6"/>
      <c r="K941" s="6"/>
      <c r="L941" s="6" t="s">
        <v>2231</v>
      </c>
      <c r="M941" s="6"/>
      <c r="N941" s="6" t="s">
        <v>2232</v>
      </c>
      <c r="O941" s="6" t="str">
        <f>HYPERLINK("https://ceds.ed.gov/cedselementdetails.aspx?termid=5602")</f>
        <v>https://ceds.ed.gov/cedselementdetails.aspx?termid=5602</v>
      </c>
      <c r="P941" s="6" t="str">
        <f>HYPERLINK("https://ceds.ed.gov/elementComment.aspx?elementName=Discipline Action Length Difference Reason &amp;elementID=5602", "Click here to submit comment")</f>
        <v>Click here to submit comment</v>
      </c>
    </row>
    <row r="942" spans="1:16" ht="75">
      <c r="A942" s="6" t="s">
        <v>6788</v>
      </c>
      <c r="B942" s="6" t="s">
        <v>6804</v>
      </c>
      <c r="C942" s="6" t="s">
        <v>6810</v>
      </c>
      <c r="D942" s="6" t="s">
        <v>2447</v>
      </c>
      <c r="E942" s="6" t="s">
        <v>2448</v>
      </c>
      <c r="F942" s="6" t="s">
        <v>5963</v>
      </c>
      <c r="G942" s="6"/>
      <c r="H942" s="6"/>
      <c r="I942" s="6"/>
      <c r="J942" s="6"/>
      <c r="K942" s="6"/>
      <c r="L942" s="6" t="s">
        <v>2449</v>
      </c>
      <c r="M942" s="6"/>
      <c r="N942" s="6" t="s">
        <v>2450</v>
      </c>
      <c r="O942" s="6" t="str">
        <f>HYPERLINK("https://ceds.ed.gov/cedselementdetails.aspx?termid=5570")</f>
        <v>https://ceds.ed.gov/cedselementdetails.aspx?termid=5570</v>
      </c>
      <c r="P942" s="6" t="str">
        <f>HYPERLINK("https://ceds.ed.gov/elementComment.aspx?elementName=Educational Services After Removal &amp;elementID=5570", "Click here to submit comment")</f>
        <v>Click here to submit comment</v>
      </c>
    </row>
    <row r="943" spans="1:16" ht="45">
      <c r="A943" s="6" t="s">
        <v>6788</v>
      </c>
      <c r="B943" s="6" t="s">
        <v>6804</v>
      </c>
      <c r="C943" s="6" t="s">
        <v>6810</v>
      </c>
      <c r="D943" s="6" t="s">
        <v>2807</v>
      </c>
      <c r="E943" s="6" t="s">
        <v>2808</v>
      </c>
      <c r="F943" s="6" t="s">
        <v>5963</v>
      </c>
      <c r="G943" s="6"/>
      <c r="H943" s="6"/>
      <c r="I943" s="6"/>
      <c r="J943" s="6"/>
      <c r="K943" s="6"/>
      <c r="L943" s="6" t="s">
        <v>2809</v>
      </c>
      <c r="M943" s="6"/>
      <c r="N943" s="6" t="s">
        <v>2810</v>
      </c>
      <c r="O943" s="6" t="str">
        <f>HYPERLINK("https://ceds.ed.gov/cedselementdetails.aspx?termid=5504")</f>
        <v>https://ceds.ed.gov/cedselementdetails.aspx?termid=5504</v>
      </c>
      <c r="P943" s="6" t="str">
        <f>HYPERLINK("https://ceds.ed.gov/elementComment.aspx?elementName=Full Year Expulsion &amp;elementID=5504", "Click here to submit comment")</f>
        <v>Click here to submit comment</v>
      </c>
    </row>
    <row r="944" spans="1:16" ht="75">
      <c r="A944" s="6" t="s">
        <v>6788</v>
      </c>
      <c r="B944" s="6" t="s">
        <v>6804</v>
      </c>
      <c r="C944" s="6" t="s">
        <v>6810</v>
      </c>
      <c r="D944" s="6" t="s">
        <v>5025</v>
      </c>
      <c r="E944" s="6" t="s">
        <v>5026</v>
      </c>
      <c r="F944" s="6" t="s">
        <v>5963</v>
      </c>
      <c r="G944" s="6"/>
      <c r="H944" s="6"/>
      <c r="I944" s="6"/>
      <c r="J944" s="6"/>
      <c r="K944" s="6"/>
      <c r="L944" s="6" t="s">
        <v>5027</v>
      </c>
      <c r="M944" s="6"/>
      <c r="N944" s="6" t="s">
        <v>5028</v>
      </c>
      <c r="O944" s="6" t="str">
        <f>HYPERLINK("https://ceds.ed.gov/cedselementdetails.aspx?termid=5503")</f>
        <v>https://ceds.ed.gov/cedselementdetails.aspx?termid=5503</v>
      </c>
      <c r="P944" s="6" t="str">
        <f>HYPERLINK("https://ceds.ed.gov/elementComment.aspx?elementName=Related to Zero Tolerance Policy &amp;elementID=5503", "Click here to submit comment")</f>
        <v>Click here to submit comment</v>
      </c>
    </row>
    <row r="945" spans="1:16" ht="105">
      <c r="A945" s="6" t="s">
        <v>6788</v>
      </c>
      <c r="B945" s="6" t="s">
        <v>6804</v>
      </c>
      <c r="C945" s="6" t="s">
        <v>6810</v>
      </c>
      <c r="D945" s="6" t="s">
        <v>3044</v>
      </c>
      <c r="E945" s="6" t="s">
        <v>3045</v>
      </c>
      <c r="F945" s="7" t="s">
        <v>6538</v>
      </c>
      <c r="G945" s="6" t="s">
        <v>218</v>
      </c>
      <c r="H945" s="6"/>
      <c r="I945" s="6"/>
      <c r="J945" s="6"/>
      <c r="K945" s="6"/>
      <c r="L945" s="6" t="s">
        <v>3046</v>
      </c>
      <c r="M945" s="6"/>
      <c r="N945" s="6" t="s">
        <v>3047</v>
      </c>
      <c r="O945" s="6" t="str">
        <f>HYPERLINK("https://ceds.ed.gov/cedselementdetails.aspx?termid=5532")</f>
        <v>https://ceds.ed.gov/cedselementdetails.aspx?termid=5532</v>
      </c>
      <c r="P945" s="6" t="str">
        <f>HYPERLINK("https://ceds.ed.gov/elementComment.aspx?elementName=IDEA Interim Removal &amp;elementID=5532", "Click here to submit comment")</f>
        <v>Click here to submit comment</v>
      </c>
    </row>
    <row r="946" spans="1:16" ht="75">
      <c r="A946" s="6" t="s">
        <v>6788</v>
      </c>
      <c r="B946" s="6" t="s">
        <v>6804</v>
      </c>
      <c r="C946" s="6" t="s">
        <v>6810</v>
      </c>
      <c r="D946" s="6" t="s">
        <v>3048</v>
      </c>
      <c r="E946" s="6" t="s">
        <v>3049</v>
      </c>
      <c r="F946" s="7" t="s">
        <v>6539</v>
      </c>
      <c r="G946" s="6" t="s">
        <v>218</v>
      </c>
      <c r="H946" s="6"/>
      <c r="I946" s="6"/>
      <c r="J946" s="6"/>
      <c r="K946" s="6"/>
      <c r="L946" s="6" t="s">
        <v>3050</v>
      </c>
      <c r="M946" s="6"/>
      <c r="N946" s="6" t="s">
        <v>3051</v>
      </c>
      <c r="O946" s="6" t="str">
        <f>HYPERLINK("https://ceds.ed.gov/cedselementdetails.aspx?termid=5530")</f>
        <v>https://ceds.ed.gov/cedselementdetails.aspx?termid=5530</v>
      </c>
      <c r="P946" s="6" t="str">
        <f>HYPERLINK("https://ceds.ed.gov/elementComment.aspx?elementName=IDEA Interim Removal Reason &amp;elementID=5530", "Click here to submit comment")</f>
        <v>Click here to submit comment</v>
      </c>
    </row>
    <row r="947" spans="1:16" ht="75">
      <c r="A947" s="6" t="s">
        <v>6788</v>
      </c>
      <c r="B947" s="6" t="s">
        <v>6804</v>
      </c>
      <c r="C947" s="6" t="s">
        <v>6810</v>
      </c>
      <c r="D947" s="6" t="s">
        <v>2216</v>
      </c>
      <c r="E947" s="6" t="s">
        <v>2217</v>
      </c>
      <c r="F947" s="6" t="s">
        <v>5963</v>
      </c>
      <c r="G947" s="6"/>
      <c r="H947" s="6" t="s">
        <v>54</v>
      </c>
      <c r="I947" s="6"/>
      <c r="J947" s="6"/>
      <c r="K947" s="6"/>
      <c r="L947" s="6" t="s">
        <v>2219</v>
      </c>
      <c r="M947" s="6"/>
      <c r="N947" s="6" t="s">
        <v>2220</v>
      </c>
      <c r="O947" s="6" t="str">
        <f>HYPERLINK("https://ceds.ed.gov/cedselementdetails.aspx?termid=6288")</f>
        <v>https://ceds.ed.gov/cedselementdetails.aspx?termid=6288</v>
      </c>
      <c r="P947" s="6" t="str">
        <f>HYPERLINK("https://ceds.ed.gov/elementComment.aspx?elementName=Disciplinary Action IEP Placement Meeting Indicator &amp;elementID=6288", "Click here to submit comment")</f>
        <v>Click here to submit comment</v>
      </c>
    </row>
    <row r="948" spans="1:16" ht="180">
      <c r="A948" s="6" t="s">
        <v>6788</v>
      </c>
      <c r="B948" s="6" t="s">
        <v>6804</v>
      </c>
      <c r="C948" s="6" t="s">
        <v>6733</v>
      </c>
      <c r="D948" s="6" t="s">
        <v>3419</v>
      </c>
      <c r="E948" s="6" t="s">
        <v>3420</v>
      </c>
      <c r="F948" s="7" t="s">
        <v>6563</v>
      </c>
      <c r="G948" s="6" t="s">
        <v>6214</v>
      </c>
      <c r="H948" s="6"/>
      <c r="I948" s="6"/>
      <c r="J948" s="6"/>
      <c r="K948" s="6"/>
      <c r="L948" s="6" t="s">
        <v>3421</v>
      </c>
      <c r="M948" s="6"/>
      <c r="N948" s="6" t="s">
        <v>3422</v>
      </c>
      <c r="O948" s="6" t="str">
        <f>HYPERLINK("https://ceds.ed.gov/cedselementdetails.aspx?termid=5316")</f>
        <v>https://ceds.ed.gov/cedselementdetails.aspx?termid=5316</v>
      </c>
      <c r="P948" s="6" t="str">
        <f>HYPERLINK("https://ceds.ed.gov/elementComment.aspx?elementName=Language Type &amp;elementID=5316", "Click here to submit comment")</f>
        <v>Click here to submit comment</v>
      </c>
    </row>
    <row r="949" spans="1:16" ht="90">
      <c r="A949" s="6" t="s">
        <v>6788</v>
      </c>
      <c r="B949" s="6" t="s">
        <v>6804</v>
      </c>
      <c r="C949" s="6" t="s">
        <v>6733</v>
      </c>
      <c r="D949" s="6" t="s">
        <v>3406</v>
      </c>
      <c r="E949" s="6" t="s">
        <v>3407</v>
      </c>
      <c r="F949" s="5" t="s">
        <v>939</v>
      </c>
      <c r="G949" s="6" t="s">
        <v>6214</v>
      </c>
      <c r="H949" s="6" t="s">
        <v>66</v>
      </c>
      <c r="I949" s="6"/>
      <c r="J949" s="6" t="s">
        <v>2645</v>
      </c>
      <c r="K949" s="6" t="s">
        <v>3408</v>
      </c>
      <c r="L949" s="6" t="s">
        <v>3409</v>
      </c>
      <c r="M949" s="6"/>
      <c r="N949" s="6" t="s">
        <v>3410</v>
      </c>
      <c r="O949" s="6" t="str">
        <f>HYPERLINK("https://ceds.ed.gov/cedselementdetails.aspx?termid=5317")</f>
        <v>https://ceds.ed.gov/cedselementdetails.aspx?termid=5317</v>
      </c>
      <c r="P949" s="6" t="str">
        <f>HYPERLINK("https://ceds.ed.gov/elementComment.aspx?elementName=Language Code &amp;elementID=5317", "Click here to submit comment")</f>
        <v>Click here to submit comment</v>
      </c>
    </row>
    <row r="950" spans="1:16" ht="90">
      <c r="A950" s="6" t="s">
        <v>6788</v>
      </c>
      <c r="B950" s="6" t="s">
        <v>6804</v>
      </c>
      <c r="C950" s="6" t="s">
        <v>6811</v>
      </c>
      <c r="D950" s="6" t="s">
        <v>2466</v>
      </c>
      <c r="E950" s="6" t="s">
        <v>2467</v>
      </c>
      <c r="F950" s="7" t="s">
        <v>6491</v>
      </c>
      <c r="G950" s="6" t="s">
        <v>5968</v>
      </c>
      <c r="H950" s="6"/>
      <c r="I950" s="6"/>
      <c r="J950" s="6"/>
      <c r="K950" s="6"/>
      <c r="L950" s="6" t="s">
        <v>2468</v>
      </c>
      <c r="M950" s="6"/>
      <c r="N950" s="6" t="s">
        <v>2469</v>
      </c>
      <c r="O950" s="6" t="str">
        <f>HYPERLINK("https://ceds.ed.gov/cedselementdetails.aspx?termid=5092")</f>
        <v>https://ceds.ed.gov/cedselementdetails.aspx?termid=5092</v>
      </c>
      <c r="P950" s="6" t="str">
        <f>HYPERLINK("https://ceds.ed.gov/elementComment.aspx?elementName=Eligibility Status for School Food Service Programs &amp;elementID=5092", "Click here to submit comment")</f>
        <v>Click here to submit comment</v>
      </c>
    </row>
    <row r="951" spans="1:16" ht="30">
      <c r="A951" s="6" t="s">
        <v>6788</v>
      </c>
      <c r="B951" s="6" t="s">
        <v>6804</v>
      </c>
      <c r="C951" s="6" t="s">
        <v>6811</v>
      </c>
      <c r="D951" s="6" t="s">
        <v>5596</v>
      </c>
      <c r="E951" s="6" t="s">
        <v>5597</v>
      </c>
      <c r="F951" s="6" t="s">
        <v>13</v>
      </c>
      <c r="G951" s="6"/>
      <c r="H951" s="6"/>
      <c r="I951" s="6" t="s">
        <v>73</v>
      </c>
      <c r="J951" s="6"/>
      <c r="K951" s="6"/>
      <c r="L951" s="6" t="s">
        <v>5598</v>
      </c>
      <c r="M951" s="6"/>
      <c r="N951" s="6" t="s">
        <v>5599</v>
      </c>
      <c r="O951" s="6" t="str">
        <f>HYPERLINK("https://ceds.ed.gov/cedselementdetails.aspx?termid=6192")</f>
        <v>https://ceds.ed.gov/cedselementdetails.aspx?termid=6192</v>
      </c>
      <c r="P951" s="6" t="str">
        <f>HYPERLINK("https://ceds.ed.gov/elementComment.aspx?elementName=Status Start Date &amp;elementID=6192", "Click here to submit comment")</f>
        <v>Click here to submit comment</v>
      </c>
    </row>
    <row r="952" spans="1:16" ht="30">
      <c r="A952" s="6" t="s">
        <v>6788</v>
      </c>
      <c r="B952" s="6" t="s">
        <v>6804</v>
      </c>
      <c r="C952" s="6" t="s">
        <v>6811</v>
      </c>
      <c r="D952" s="6" t="s">
        <v>5592</v>
      </c>
      <c r="E952" s="6" t="s">
        <v>5593</v>
      </c>
      <c r="F952" s="6" t="s">
        <v>13</v>
      </c>
      <c r="G952" s="6"/>
      <c r="H952" s="6"/>
      <c r="I952" s="6" t="s">
        <v>73</v>
      </c>
      <c r="J952" s="6"/>
      <c r="K952" s="6"/>
      <c r="L952" s="6" t="s">
        <v>5594</v>
      </c>
      <c r="M952" s="6"/>
      <c r="N952" s="6" t="s">
        <v>5595</v>
      </c>
      <c r="O952" s="6" t="str">
        <f>HYPERLINK("https://ceds.ed.gov/cedselementdetails.aspx?termid=6193")</f>
        <v>https://ceds.ed.gov/cedselementdetails.aspx?termid=6193</v>
      </c>
      <c r="P952" s="6" t="str">
        <f>HYPERLINK("https://ceds.ed.gov/elementComment.aspx?elementName=Status End Date &amp;elementID=6193", "Click here to submit comment")</f>
        <v>Click here to submit comment</v>
      </c>
    </row>
    <row r="953" spans="1:16" ht="105">
      <c r="A953" s="6" t="s">
        <v>6788</v>
      </c>
      <c r="B953" s="6" t="s">
        <v>6804</v>
      </c>
      <c r="C953" s="6" t="s">
        <v>6811</v>
      </c>
      <c r="D953" s="6" t="s">
        <v>2432</v>
      </c>
      <c r="E953" s="6" t="s">
        <v>2433</v>
      </c>
      <c r="F953" s="6" t="s">
        <v>5963</v>
      </c>
      <c r="G953" s="6" t="s">
        <v>6084</v>
      </c>
      <c r="H953" s="6"/>
      <c r="I953" s="6"/>
      <c r="J953" s="6"/>
      <c r="K953" s="6"/>
      <c r="L953" s="6" t="s">
        <v>2435</v>
      </c>
      <c r="M953" s="6"/>
      <c r="N953" s="6" t="s">
        <v>2436</v>
      </c>
      <c r="O953" s="6" t="str">
        <f>HYPERLINK("https://ceds.ed.gov/cedselementdetails.aspx?termid=5086")</f>
        <v>https://ceds.ed.gov/cedselementdetails.aspx?termid=5086</v>
      </c>
      <c r="P953" s="6" t="str">
        <f>HYPERLINK("https://ceds.ed.gov/elementComment.aspx?elementName=Economic Disadvantage Status &amp;elementID=5086", "Click here to submit comment")</f>
        <v>Click here to submit comment</v>
      </c>
    </row>
    <row r="954" spans="1:16" ht="390">
      <c r="A954" s="6" t="s">
        <v>6788</v>
      </c>
      <c r="B954" s="6" t="s">
        <v>6804</v>
      </c>
      <c r="C954" s="6" t="s">
        <v>6811</v>
      </c>
      <c r="D954" s="6" t="s">
        <v>4423</v>
      </c>
      <c r="E954" s="6" t="s">
        <v>4424</v>
      </c>
      <c r="F954" s="7" t="s">
        <v>6596</v>
      </c>
      <c r="G954" s="6" t="s">
        <v>5988</v>
      </c>
      <c r="H954" s="6"/>
      <c r="I954" s="6"/>
      <c r="J954" s="6"/>
      <c r="K954" s="6"/>
      <c r="L954" s="6" t="s">
        <v>4425</v>
      </c>
      <c r="M954" s="6"/>
      <c r="N954" s="6" t="s">
        <v>4426</v>
      </c>
      <c r="O954" s="6" t="str">
        <f>HYPERLINK("https://ceds.ed.gov/cedselementdetails.aspx?termid=5325")</f>
        <v>https://ceds.ed.gov/cedselementdetails.aspx?termid=5325</v>
      </c>
      <c r="P954" s="6" t="str">
        <f>HYPERLINK("https://ceds.ed.gov/elementComment.aspx?elementName=Participation in School Food Service Programs &amp;elementID=5325", "Click here to submit comment")</f>
        <v>Click here to submit comment</v>
      </c>
    </row>
    <row r="955" spans="1:16" ht="409.5">
      <c r="A955" s="6" t="s">
        <v>6788</v>
      </c>
      <c r="B955" s="6" t="s">
        <v>6804</v>
      </c>
      <c r="C955" s="6" t="s">
        <v>6812</v>
      </c>
      <c r="D955" s="6" t="s">
        <v>3002</v>
      </c>
      <c r="E955" s="6" t="s">
        <v>3003</v>
      </c>
      <c r="F955" s="6" t="s">
        <v>5963</v>
      </c>
      <c r="G955" s="6" t="s">
        <v>6199</v>
      </c>
      <c r="H955" s="6"/>
      <c r="I955" s="6"/>
      <c r="J955" s="6"/>
      <c r="K955" s="6"/>
      <c r="L955" s="6" t="s">
        <v>3004</v>
      </c>
      <c r="M955" s="6"/>
      <c r="N955" s="6" t="s">
        <v>3005</v>
      </c>
      <c r="O955" s="6" t="str">
        <f>HYPERLINK("https://ceds.ed.gov/cedselementdetails.aspx?termid=5149")</f>
        <v>https://ceds.ed.gov/cedselementdetails.aspx?termid=5149</v>
      </c>
      <c r="P955" s="6" t="str">
        <f>HYPERLINK("https://ceds.ed.gov/elementComment.aspx?elementName=Homelessness Status &amp;elementID=5149", "Click here to submit comment")</f>
        <v>Click here to submit comment</v>
      </c>
    </row>
    <row r="956" spans="1:16" ht="30">
      <c r="A956" s="6" t="s">
        <v>6788</v>
      </c>
      <c r="B956" s="6" t="s">
        <v>6804</v>
      </c>
      <c r="C956" s="6" t="s">
        <v>6812</v>
      </c>
      <c r="D956" s="6" t="s">
        <v>5596</v>
      </c>
      <c r="E956" s="6" t="s">
        <v>5597</v>
      </c>
      <c r="F956" s="6" t="s">
        <v>13</v>
      </c>
      <c r="G956" s="6"/>
      <c r="H956" s="6"/>
      <c r="I956" s="6" t="s">
        <v>73</v>
      </c>
      <c r="J956" s="6"/>
      <c r="K956" s="6"/>
      <c r="L956" s="6" t="s">
        <v>5598</v>
      </c>
      <c r="M956" s="6"/>
      <c r="N956" s="6" t="s">
        <v>5599</v>
      </c>
      <c r="O956" s="6" t="str">
        <f>HYPERLINK("https://ceds.ed.gov/cedselementdetails.aspx?termid=6192")</f>
        <v>https://ceds.ed.gov/cedselementdetails.aspx?termid=6192</v>
      </c>
      <c r="P956" s="6" t="str">
        <f>HYPERLINK("https://ceds.ed.gov/elementComment.aspx?elementName=Status Start Date &amp;elementID=6192", "Click here to submit comment")</f>
        <v>Click here to submit comment</v>
      </c>
    </row>
    <row r="957" spans="1:16" ht="30">
      <c r="A957" s="6" t="s">
        <v>6788</v>
      </c>
      <c r="B957" s="6" t="s">
        <v>6804</v>
      </c>
      <c r="C957" s="6" t="s">
        <v>6812</v>
      </c>
      <c r="D957" s="6" t="s">
        <v>5592</v>
      </c>
      <c r="E957" s="6" t="s">
        <v>5593</v>
      </c>
      <c r="F957" s="6" t="s">
        <v>13</v>
      </c>
      <c r="G957" s="6"/>
      <c r="H957" s="6"/>
      <c r="I957" s="6" t="s">
        <v>73</v>
      </c>
      <c r="J957" s="6"/>
      <c r="K957" s="6"/>
      <c r="L957" s="6" t="s">
        <v>5594</v>
      </c>
      <c r="M957" s="6"/>
      <c r="N957" s="6" t="s">
        <v>5595</v>
      </c>
      <c r="O957" s="6" t="str">
        <f>HYPERLINK("https://ceds.ed.gov/cedselementdetails.aspx?termid=6193")</f>
        <v>https://ceds.ed.gov/cedselementdetails.aspx?termid=6193</v>
      </c>
      <c r="P957" s="6" t="str">
        <f>HYPERLINK("https://ceds.ed.gov/elementComment.aspx?elementName=Status End Date &amp;elementID=6193", "Click here to submit comment")</f>
        <v>Click here to submit comment</v>
      </c>
    </row>
    <row r="958" spans="1:16" ht="105">
      <c r="A958" s="6" t="s">
        <v>6788</v>
      </c>
      <c r="B958" s="6" t="s">
        <v>6804</v>
      </c>
      <c r="C958" s="6" t="s">
        <v>6812</v>
      </c>
      <c r="D958" s="6" t="s">
        <v>2989</v>
      </c>
      <c r="E958" s="6" t="s">
        <v>2990</v>
      </c>
      <c r="F958" s="7" t="s">
        <v>6533</v>
      </c>
      <c r="G958" s="6" t="s">
        <v>218</v>
      </c>
      <c r="H958" s="6"/>
      <c r="I958" s="6"/>
      <c r="J958" s="6"/>
      <c r="K958" s="6"/>
      <c r="L958" s="6" t="s">
        <v>2992</v>
      </c>
      <c r="M958" s="6"/>
      <c r="N958" s="6" t="s">
        <v>2993</v>
      </c>
      <c r="O958" s="6" t="str">
        <f>HYPERLINK("https://ceds.ed.gov/cedselementdetails.aspx?termid=5146")</f>
        <v>https://ceds.ed.gov/cedselementdetails.aspx?termid=5146</v>
      </c>
      <c r="P958" s="6" t="str">
        <f>HYPERLINK("https://ceds.ed.gov/elementComment.aspx?elementName=Homeless Primary Nighttime Residence &amp;elementID=5146", "Click here to submit comment")</f>
        <v>Click here to submit comment</v>
      </c>
    </row>
    <row r="959" spans="1:16" ht="45">
      <c r="A959" s="6" t="s">
        <v>6788</v>
      </c>
      <c r="B959" s="6" t="s">
        <v>6804</v>
      </c>
      <c r="C959" s="6" t="s">
        <v>6812</v>
      </c>
      <c r="D959" s="6" t="s">
        <v>2994</v>
      </c>
      <c r="E959" s="6" t="s">
        <v>2995</v>
      </c>
      <c r="F959" s="6" t="s">
        <v>5963</v>
      </c>
      <c r="G959" s="6"/>
      <c r="H959" s="6"/>
      <c r="I959" s="6"/>
      <c r="J959" s="6"/>
      <c r="K959" s="6"/>
      <c r="L959" s="6" t="s">
        <v>2996</v>
      </c>
      <c r="M959" s="6"/>
      <c r="N959" s="6" t="s">
        <v>2997</v>
      </c>
      <c r="O959" s="6" t="str">
        <f>HYPERLINK("https://ceds.ed.gov/cedselementdetails.aspx?termid=5147")</f>
        <v>https://ceds.ed.gov/cedselementdetails.aspx?termid=5147</v>
      </c>
      <c r="P959" s="6" t="str">
        <f>HYPERLINK("https://ceds.ed.gov/elementComment.aspx?elementName=Homeless Serviced Indicator &amp;elementID=5147", "Click here to submit comment")</f>
        <v>Click here to submit comment</v>
      </c>
    </row>
    <row r="960" spans="1:16" ht="45">
      <c r="A960" s="6" t="s">
        <v>6788</v>
      </c>
      <c r="B960" s="6" t="s">
        <v>6804</v>
      </c>
      <c r="C960" s="6" t="s">
        <v>6812</v>
      </c>
      <c r="D960" s="6" t="s">
        <v>2998</v>
      </c>
      <c r="E960" s="6" t="s">
        <v>2999</v>
      </c>
      <c r="F960" s="6" t="s">
        <v>5963</v>
      </c>
      <c r="G960" s="6" t="s">
        <v>218</v>
      </c>
      <c r="H960" s="6"/>
      <c r="I960" s="6"/>
      <c r="J960" s="6"/>
      <c r="K960" s="6"/>
      <c r="L960" s="6" t="s">
        <v>3000</v>
      </c>
      <c r="M960" s="6"/>
      <c r="N960" s="6" t="s">
        <v>3001</v>
      </c>
      <c r="O960" s="6" t="str">
        <f>HYPERLINK("https://ceds.ed.gov/cedselementdetails.aspx?termid=5148")</f>
        <v>https://ceds.ed.gov/cedselementdetails.aspx?termid=5148</v>
      </c>
      <c r="P960" s="6" t="str">
        <f>HYPERLINK("https://ceds.ed.gov/elementComment.aspx?elementName=Homeless Unaccompanied Youth Status &amp;elementID=5148", "Click here to submit comment")</f>
        <v>Click here to submit comment</v>
      </c>
    </row>
    <row r="961" spans="1:16" ht="120">
      <c r="A961" s="6" t="s">
        <v>6788</v>
      </c>
      <c r="B961" s="6" t="s">
        <v>6804</v>
      </c>
      <c r="C961" s="6" t="s">
        <v>6813</v>
      </c>
      <c r="D961" s="6" t="s">
        <v>5808</v>
      </c>
      <c r="E961" s="6" t="s">
        <v>5809</v>
      </c>
      <c r="F961" s="6" t="s">
        <v>5963</v>
      </c>
      <c r="G961" s="6" t="s">
        <v>5968</v>
      </c>
      <c r="H961" s="6"/>
      <c r="I961" s="6"/>
      <c r="J961" s="6"/>
      <c r="K961" s="6"/>
      <c r="L961" s="6" t="s">
        <v>5810</v>
      </c>
      <c r="M961" s="6"/>
      <c r="N961" s="6" t="s">
        <v>5811</v>
      </c>
      <c r="O961" s="6" t="str">
        <f>HYPERLINK("https://ceds.ed.gov/cedselementdetails.aspx?termid=5291")</f>
        <v>https://ceds.ed.gov/cedselementdetails.aspx?termid=5291</v>
      </c>
      <c r="P961" s="6" t="str">
        <f>HYPERLINK("https://ceds.ed.gov/elementComment.aspx?elementName=Title III Immigrant Status &amp;elementID=5291", "Click here to submit comment")</f>
        <v>Click here to submit comment</v>
      </c>
    </row>
    <row r="962" spans="1:16" ht="90">
      <c r="A962" s="6" t="s">
        <v>6788</v>
      </c>
      <c r="B962" s="6" t="s">
        <v>6804</v>
      </c>
      <c r="C962" s="6" t="s">
        <v>6813</v>
      </c>
      <c r="D962" s="6" t="s">
        <v>5804</v>
      </c>
      <c r="E962" s="6" t="s">
        <v>5805</v>
      </c>
      <c r="F962" s="6" t="s">
        <v>5963</v>
      </c>
      <c r="G962" s="6" t="s">
        <v>218</v>
      </c>
      <c r="H962" s="6"/>
      <c r="I962" s="6"/>
      <c r="J962" s="6"/>
      <c r="K962" s="6"/>
      <c r="L962" s="6" t="s">
        <v>5806</v>
      </c>
      <c r="M962" s="6"/>
      <c r="N962" s="6" t="s">
        <v>5807</v>
      </c>
      <c r="O962" s="6" t="str">
        <f>HYPERLINK("https://ceds.ed.gov/cedselementdetails.aspx?termid=5290")</f>
        <v>https://ceds.ed.gov/cedselementdetails.aspx?termid=5290</v>
      </c>
      <c r="P962" s="6" t="str">
        <f>HYPERLINK("https://ceds.ed.gov/elementComment.aspx?elementName=Title III Immigrant Participation Status &amp;elementID=5290", "Click here to submit comment")</f>
        <v>Click here to submit comment</v>
      </c>
    </row>
    <row r="963" spans="1:16" ht="30">
      <c r="A963" s="6" t="s">
        <v>6788</v>
      </c>
      <c r="B963" s="6" t="s">
        <v>6804</v>
      </c>
      <c r="C963" s="6" t="s">
        <v>6813</v>
      </c>
      <c r="D963" s="6" t="s">
        <v>5596</v>
      </c>
      <c r="E963" s="6" t="s">
        <v>5597</v>
      </c>
      <c r="F963" s="6" t="s">
        <v>13</v>
      </c>
      <c r="G963" s="6"/>
      <c r="H963" s="6"/>
      <c r="I963" s="6" t="s">
        <v>73</v>
      </c>
      <c r="J963" s="6"/>
      <c r="K963" s="6"/>
      <c r="L963" s="6" t="s">
        <v>5598</v>
      </c>
      <c r="M963" s="6"/>
      <c r="N963" s="6" t="s">
        <v>5599</v>
      </c>
      <c r="O963" s="6" t="str">
        <f>HYPERLINK("https://ceds.ed.gov/cedselementdetails.aspx?termid=6192")</f>
        <v>https://ceds.ed.gov/cedselementdetails.aspx?termid=6192</v>
      </c>
      <c r="P963" s="6" t="str">
        <f>HYPERLINK("https://ceds.ed.gov/elementComment.aspx?elementName=Status Start Date &amp;elementID=6192", "Click here to submit comment")</f>
        <v>Click here to submit comment</v>
      </c>
    </row>
    <row r="964" spans="1:16" ht="30">
      <c r="A964" s="6" t="s">
        <v>6788</v>
      </c>
      <c r="B964" s="6" t="s">
        <v>6804</v>
      </c>
      <c r="C964" s="6" t="s">
        <v>6813</v>
      </c>
      <c r="D964" s="6" t="s">
        <v>5592</v>
      </c>
      <c r="E964" s="6" t="s">
        <v>5593</v>
      </c>
      <c r="F964" s="6" t="s">
        <v>13</v>
      </c>
      <c r="G964" s="6"/>
      <c r="H964" s="6"/>
      <c r="I964" s="6" t="s">
        <v>73</v>
      </c>
      <c r="J964" s="6"/>
      <c r="K964" s="6"/>
      <c r="L964" s="6" t="s">
        <v>5594</v>
      </c>
      <c r="M964" s="6"/>
      <c r="N964" s="6" t="s">
        <v>5595</v>
      </c>
      <c r="O964" s="6" t="str">
        <f>HYPERLINK("https://ceds.ed.gov/cedselementdetails.aspx?termid=6193")</f>
        <v>https://ceds.ed.gov/cedselementdetails.aspx?termid=6193</v>
      </c>
      <c r="P964" s="6" t="str">
        <f>HYPERLINK("https://ceds.ed.gov/elementComment.aspx?elementName=Status End Date &amp;elementID=6193", "Click here to submit comment")</f>
        <v>Click here to submit comment</v>
      </c>
    </row>
    <row r="965" spans="1:16" ht="45">
      <c r="A965" s="6" t="s">
        <v>6788</v>
      </c>
      <c r="B965" s="6" t="s">
        <v>6804</v>
      </c>
      <c r="C965" s="6" t="s">
        <v>6813</v>
      </c>
      <c r="D965" s="6" t="s">
        <v>2767</v>
      </c>
      <c r="E965" s="6" t="s">
        <v>2768</v>
      </c>
      <c r="F965" s="6" t="s">
        <v>13</v>
      </c>
      <c r="G965" s="6"/>
      <c r="H965" s="6"/>
      <c r="I965" s="6" t="s">
        <v>73</v>
      </c>
      <c r="J965" s="6"/>
      <c r="K965" s="6"/>
      <c r="L965" s="6" t="s">
        <v>2770</v>
      </c>
      <c r="M965" s="6"/>
      <c r="N965" s="6" t="s">
        <v>2771</v>
      </c>
      <c r="O965" s="6" t="str">
        <f>HYPERLINK("https://ceds.ed.gov/cedselementdetails.aspx?termid=5520")</f>
        <v>https://ceds.ed.gov/cedselementdetails.aspx?termid=5520</v>
      </c>
      <c r="P965" s="6" t="str">
        <f>HYPERLINK("https://ceds.ed.gov/elementComment.aspx?elementName=First Entry Date into a US School &amp;elementID=5520", "Click here to submit comment")</f>
        <v>Click here to submit comment</v>
      </c>
    </row>
    <row r="966" spans="1:16" ht="409.5">
      <c r="A966" s="6" t="s">
        <v>6788</v>
      </c>
      <c r="B966" s="6" t="s">
        <v>6804</v>
      </c>
      <c r="C966" s="6" t="s">
        <v>6814</v>
      </c>
      <c r="D966" s="6" t="s">
        <v>3991</v>
      </c>
      <c r="E966" s="6" t="s">
        <v>3992</v>
      </c>
      <c r="F966" s="6" t="s">
        <v>5963</v>
      </c>
      <c r="G966" s="6" t="s">
        <v>6084</v>
      </c>
      <c r="H966" s="6"/>
      <c r="I966" s="6"/>
      <c r="J966" s="6"/>
      <c r="K966" s="6"/>
      <c r="L966" s="6" t="s">
        <v>3993</v>
      </c>
      <c r="M966" s="6" t="s">
        <v>3994</v>
      </c>
      <c r="N966" s="6" t="s">
        <v>3995</v>
      </c>
      <c r="O966" s="6" t="str">
        <f>HYPERLINK("https://ceds.ed.gov/cedselementdetails.aspx?termid=5180")</f>
        <v>https://ceds.ed.gov/cedselementdetails.aspx?termid=5180</v>
      </c>
      <c r="P966" s="6" t="str">
        <f>HYPERLINK("https://ceds.ed.gov/elementComment.aspx?elementName=Limited English Proficiency Status &amp;elementID=5180", "Click here to submit comment")</f>
        <v>Click here to submit comment</v>
      </c>
    </row>
    <row r="967" spans="1:16" ht="45">
      <c r="A967" s="6" t="s">
        <v>6788</v>
      </c>
      <c r="B967" s="6" t="s">
        <v>6804</v>
      </c>
      <c r="C967" s="6" t="s">
        <v>6814</v>
      </c>
      <c r="D967" s="6" t="s">
        <v>4821</v>
      </c>
      <c r="E967" s="6" t="s">
        <v>4822</v>
      </c>
      <c r="F967" s="6" t="s">
        <v>13</v>
      </c>
      <c r="G967" s="6" t="s">
        <v>6051</v>
      </c>
      <c r="H967" s="6"/>
      <c r="I967" s="6" t="s">
        <v>73</v>
      </c>
      <c r="J967" s="6"/>
      <c r="K967" s="6"/>
      <c r="L967" s="6" t="s">
        <v>4823</v>
      </c>
      <c r="M967" s="6"/>
      <c r="N967" s="6" t="s">
        <v>4824</v>
      </c>
      <c r="O967" s="6" t="str">
        <f>HYPERLINK("https://ceds.ed.gov/cedselementdetails.aspx?termid=5583")</f>
        <v>https://ceds.ed.gov/cedselementdetails.aspx?termid=5583</v>
      </c>
      <c r="P967" s="6" t="str">
        <f>HYPERLINK("https://ceds.ed.gov/elementComment.aspx?elementName=Program Participation Start Date &amp;elementID=5583", "Click here to submit comment")</f>
        <v>Click here to submit comment</v>
      </c>
    </row>
    <row r="968" spans="1:16" ht="45">
      <c r="A968" s="6" t="s">
        <v>6788</v>
      </c>
      <c r="B968" s="6" t="s">
        <v>6804</v>
      </c>
      <c r="C968" s="6" t="s">
        <v>6814</v>
      </c>
      <c r="D968" s="6" t="s">
        <v>4817</v>
      </c>
      <c r="E968" s="6" t="s">
        <v>4818</v>
      </c>
      <c r="F968" s="6" t="s">
        <v>13</v>
      </c>
      <c r="G968" s="6" t="s">
        <v>218</v>
      </c>
      <c r="H968" s="6"/>
      <c r="I968" s="6" t="s">
        <v>73</v>
      </c>
      <c r="J968" s="6"/>
      <c r="K968" s="6"/>
      <c r="L968" s="6" t="s">
        <v>4819</v>
      </c>
      <c r="M968" s="6"/>
      <c r="N968" s="6" t="s">
        <v>4820</v>
      </c>
      <c r="O968" s="6" t="str">
        <f>HYPERLINK("https://ceds.ed.gov/cedselementdetails.aspx?termid=5584")</f>
        <v>https://ceds.ed.gov/cedselementdetails.aspx?termid=5584</v>
      </c>
      <c r="P968" s="6" t="str">
        <f>HYPERLINK("https://ceds.ed.gov/elementComment.aspx?elementName=Program Participation Exit Date &amp;elementID=5584", "Click here to submit comment")</f>
        <v>Click here to submit comment</v>
      </c>
    </row>
    <row r="969" spans="1:16" ht="45">
      <c r="A969" s="6" t="s">
        <v>6788</v>
      </c>
      <c r="B969" s="6" t="s">
        <v>6804</v>
      </c>
      <c r="C969" s="6" t="s">
        <v>6814</v>
      </c>
      <c r="D969" s="6" t="s">
        <v>3986</v>
      </c>
      <c r="E969" s="6" t="s">
        <v>3987</v>
      </c>
      <c r="F969" s="6" t="s">
        <v>13</v>
      </c>
      <c r="G969" s="6" t="s">
        <v>218</v>
      </c>
      <c r="H969" s="6"/>
      <c r="I969" s="6" t="s">
        <v>73</v>
      </c>
      <c r="J969" s="6"/>
      <c r="K969" s="6"/>
      <c r="L969" s="6" t="s">
        <v>3988</v>
      </c>
      <c r="M969" s="6" t="s">
        <v>3989</v>
      </c>
      <c r="N969" s="6" t="s">
        <v>3990</v>
      </c>
      <c r="O969" s="6" t="str">
        <f>HYPERLINK("https://ceds.ed.gov/cedselementdetails.aspx?termid=5562")</f>
        <v>https://ceds.ed.gov/cedselementdetails.aspx?termid=5562</v>
      </c>
      <c r="P969" s="6" t="str">
        <f>HYPERLINK("https://ceds.ed.gov/elementComment.aspx?elementName=Limited English Proficiency Exit Date &amp;elementID=5562", "Click here to submit comment")</f>
        <v>Click here to submit comment</v>
      </c>
    </row>
    <row r="970" spans="1:16" ht="210">
      <c r="A970" s="6" t="s">
        <v>6788</v>
      </c>
      <c r="B970" s="6" t="s">
        <v>6804</v>
      </c>
      <c r="C970" s="6" t="s">
        <v>6814</v>
      </c>
      <c r="D970" s="6" t="s">
        <v>4459</v>
      </c>
      <c r="E970" s="6" t="s">
        <v>4460</v>
      </c>
      <c r="F970" s="6" t="s">
        <v>5963</v>
      </c>
      <c r="G970" s="6" t="s">
        <v>218</v>
      </c>
      <c r="H970" s="6"/>
      <c r="I970" s="6"/>
      <c r="J970" s="6"/>
      <c r="K970" s="6"/>
      <c r="L970" s="6" t="s">
        <v>4461</v>
      </c>
      <c r="M970" s="6" t="s">
        <v>4462</v>
      </c>
      <c r="N970" s="6" t="s">
        <v>4463</v>
      </c>
      <c r="O970" s="6" t="str">
        <f>HYPERLINK("https://ceds.ed.gov/cedselementdetails.aspx?termid=5574")</f>
        <v>https://ceds.ed.gov/cedselementdetails.aspx?termid=5574</v>
      </c>
      <c r="P970" s="6" t="str">
        <f>HYPERLINK("https://ceds.ed.gov/elementComment.aspx?elementName=Perkins Limited English Proficiency Status &amp;elementID=5574", "Click here to submit comment")</f>
        <v>Click here to submit comment</v>
      </c>
    </row>
    <row r="971" spans="1:16" ht="105">
      <c r="A971" s="6" t="s">
        <v>6788</v>
      </c>
      <c r="B971" s="6" t="s">
        <v>6804</v>
      </c>
      <c r="C971" s="6" t="s">
        <v>6814</v>
      </c>
      <c r="D971" s="6" t="s">
        <v>5800</v>
      </c>
      <c r="E971" s="6" t="s">
        <v>5801</v>
      </c>
      <c r="F971" s="7" t="s">
        <v>6682</v>
      </c>
      <c r="G971" s="6" t="s">
        <v>218</v>
      </c>
      <c r="H971" s="6"/>
      <c r="I971" s="6"/>
      <c r="J971" s="6"/>
      <c r="K971" s="6"/>
      <c r="L971" s="6" t="s">
        <v>5802</v>
      </c>
      <c r="M971" s="6"/>
      <c r="N971" s="6" t="s">
        <v>5803</v>
      </c>
      <c r="O971" s="6" t="str">
        <f>HYPERLINK("https://ceds.ed.gov/cedselementdetails.aspx?termid=5527")</f>
        <v>https://ceds.ed.gov/cedselementdetails.aspx?termid=5527</v>
      </c>
      <c r="P971" s="6" t="str">
        <f>HYPERLINK("https://ceds.ed.gov/elementComment.aspx?elementName=Title III Accountability Progress Status &amp;elementID=5527", "Click here to submit comment")</f>
        <v>Click here to submit comment</v>
      </c>
    </row>
    <row r="972" spans="1:16" ht="75">
      <c r="A972" s="6" t="s">
        <v>6788</v>
      </c>
      <c r="B972" s="6" t="s">
        <v>6804</v>
      </c>
      <c r="C972" s="6" t="s">
        <v>6814</v>
      </c>
      <c r="D972" s="6" t="s">
        <v>5816</v>
      </c>
      <c r="E972" s="6" t="s">
        <v>5817</v>
      </c>
      <c r="F972" s="6" t="s">
        <v>5963</v>
      </c>
      <c r="G972" s="6" t="s">
        <v>218</v>
      </c>
      <c r="H972" s="6"/>
      <c r="I972" s="6"/>
      <c r="J972" s="6"/>
      <c r="K972" s="6"/>
      <c r="L972" s="6" t="s">
        <v>5818</v>
      </c>
      <c r="M972" s="6" t="s">
        <v>5819</v>
      </c>
      <c r="N972" s="6" t="s">
        <v>5820</v>
      </c>
      <c r="O972" s="6" t="str">
        <f>HYPERLINK("https://ceds.ed.gov/cedselementdetails.aspx?termid=5557")</f>
        <v>https://ceds.ed.gov/cedselementdetails.aspx?termid=5557</v>
      </c>
      <c r="P972" s="6" t="str">
        <f>HYPERLINK("https://ceds.ed.gov/elementComment.aspx?elementName=Title III Limited English Proficient Participation Status &amp;elementID=5557", "Click here to submit comment")</f>
        <v>Click here to submit comment</v>
      </c>
    </row>
    <row r="973" spans="1:16" ht="45">
      <c r="A973" s="6" t="s">
        <v>6788</v>
      </c>
      <c r="B973" s="6" t="s">
        <v>6804</v>
      </c>
      <c r="C973" s="6" t="s">
        <v>6814</v>
      </c>
      <c r="D973" s="6" t="s">
        <v>3980</v>
      </c>
      <c r="E973" s="6" t="s">
        <v>3981</v>
      </c>
      <c r="F973" s="6" t="s">
        <v>13</v>
      </c>
      <c r="G973" s="6"/>
      <c r="H973" s="6"/>
      <c r="I973" s="6" t="s">
        <v>73</v>
      </c>
      <c r="J973" s="6"/>
      <c r="K973" s="6"/>
      <c r="L973" s="6" t="s">
        <v>3983</v>
      </c>
      <c r="M973" s="6" t="s">
        <v>3984</v>
      </c>
      <c r="N973" s="6" t="s">
        <v>3985</v>
      </c>
      <c r="O973" s="6" t="str">
        <f>HYPERLINK("https://ceds.ed.gov/cedselementdetails.aspx?termid=6213")</f>
        <v>https://ceds.ed.gov/cedselementdetails.aspx?termid=6213</v>
      </c>
      <c r="P973" s="6" t="str">
        <f>HYPERLINK("https://ceds.ed.gov/elementComment.aspx?elementName=Limited English Proficiency Entry Date &amp;elementID=6213", "Click here to submit comment")</f>
        <v>Click here to submit comment</v>
      </c>
    </row>
    <row r="974" spans="1:16" ht="285">
      <c r="A974" s="6" t="s">
        <v>6788</v>
      </c>
      <c r="B974" s="6" t="s">
        <v>6804</v>
      </c>
      <c r="C974" s="6" t="s">
        <v>6815</v>
      </c>
      <c r="D974" s="6" t="s">
        <v>5610</v>
      </c>
      <c r="E974" s="6" t="s">
        <v>5611</v>
      </c>
      <c r="F974" s="7" t="s">
        <v>6665</v>
      </c>
      <c r="G974" s="6" t="s">
        <v>6330</v>
      </c>
      <c r="H974" s="6"/>
      <c r="I974" s="6"/>
      <c r="J974" s="6"/>
      <c r="K974" s="6"/>
      <c r="L974" s="6" t="s">
        <v>5612</v>
      </c>
      <c r="M974" s="6"/>
      <c r="N974" s="6" t="s">
        <v>5613</v>
      </c>
      <c r="O974" s="6" t="str">
        <f>HYPERLINK("https://ceds.ed.gov/cedselementdetails.aspx?termid=5163")</f>
        <v>https://ceds.ed.gov/cedselementdetails.aspx?termid=5163</v>
      </c>
      <c r="P974" s="6" t="str">
        <f>HYPERLINK("https://ceds.ed.gov/elementComment.aspx?elementName=Student Identification System &amp;elementID=5163", "Click here to submit comment")</f>
        <v>Click here to submit comment</v>
      </c>
    </row>
    <row r="975" spans="1:16" ht="135">
      <c r="A975" s="6" t="s">
        <v>6788</v>
      </c>
      <c r="B975" s="6" t="s">
        <v>6804</v>
      </c>
      <c r="C975" s="6" t="s">
        <v>6815</v>
      </c>
      <c r="D975" s="6" t="s">
        <v>5614</v>
      </c>
      <c r="E975" s="6" t="s">
        <v>5615</v>
      </c>
      <c r="F975" s="6" t="s">
        <v>13</v>
      </c>
      <c r="G975" s="6" t="s">
        <v>6330</v>
      </c>
      <c r="H975" s="6"/>
      <c r="I975" s="6" t="s">
        <v>100</v>
      </c>
      <c r="J975" s="6"/>
      <c r="K975" s="6"/>
      <c r="L975" s="6" t="s">
        <v>5616</v>
      </c>
      <c r="M975" s="6"/>
      <c r="N975" s="6" t="s">
        <v>5617</v>
      </c>
      <c r="O975" s="6" t="str">
        <f>HYPERLINK("https://ceds.ed.gov/cedselementdetails.aspx?termid=5157")</f>
        <v>https://ceds.ed.gov/cedselementdetails.aspx?termid=5157</v>
      </c>
      <c r="P975" s="6" t="str">
        <f>HYPERLINK("https://ceds.ed.gov/elementComment.aspx?elementName=Student Identifier &amp;elementID=5157", "Click here to submit comment")</f>
        <v>Click here to submit comment</v>
      </c>
    </row>
    <row r="976" spans="1:16" ht="270">
      <c r="A976" s="6" t="s">
        <v>6788</v>
      </c>
      <c r="B976" s="6" t="s">
        <v>6804</v>
      </c>
      <c r="C976" s="6" t="s">
        <v>6815</v>
      </c>
      <c r="D976" s="6" t="s">
        <v>4147</v>
      </c>
      <c r="E976" s="6" t="s">
        <v>4148</v>
      </c>
      <c r="F976" s="6" t="s">
        <v>5963</v>
      </c>
      <c r="G976" s="6" t="s">
        <v>6084</v>
      </c>
      <c r="H976" s="6" t="s">
        <v>3</v>
      </c>
      <c r="I976" s="6"/>
      <c r="J976" s="6"/>
      <c r="K976" s="6"/>
      <c r="L976" s="6" t="s">
        <v>4149</v>
      </c>
      <c r="M976" s="6"/>
      <c r="N976" s="6" t="s">
        <v>4150</v>
      </c>
      <c r="O976" s="6" t="str">
        <f>HYPERLINK("https://ceds.ed.gov/cedselementdetails.aspx?termid=5189")</f>
        <v>https://ceds.ed.gov/cedselementdetails.aspx?termid=5189</v>
      </c>
      <c r="P976" s="6" t="str">
        <f>HYPERLINK("https://ceds.ed.gov/elementComment.aspx?elementName=Migrant Status &amp;elementID=5189", "Click here to submit comment")</f>
        <v>Click here to submit comment</v>
      </c>
    </row>
    <row r="977" spans="1:16" ht="45">
      <c r="A977" s="6" t="s">
        <v>6788</v>
      </c>
      <c r="B977" s="6" t="s">
        <v>6804</v>
      </c>
      <c r="C977" s="6" t="s">
        <v>6815</v>
      </c>
      <c r="D977" s="6" t="s">
        <v>4821</v>
      </c>
      <c r="E977" s="6" t="s">
        <v>4822</v>
      </c>
      <c r="F977" s="6" t="s">
        <v>13</v>
      </c>
      <c r="G977" s="6" t="s">
        <v>6051</v>
      </c>
      <c r="H977" s="6"/>
      <c r="I977" s="6" t="s">
        <v>73</v>
      </c>
      <c r="J977" s="6"/>
      <c r="K977" s="6"/>
      <c r="L977" s="6" t="s">
        <v>4823</v>
      </c>
      <c r="M977" s="6"/>
      <c r="N977" s="6" t="s">
        <v>4824</v>
      </c>
      <c r="O977" s="6" t="str">
        <f>HYPERLINK("https://ceds.ed.gov/cedselementdetails.aspx?termid=5583")</f>
        <v>https://ceds.ed.gov/cedselementdetails.aspx?termid=5583</v>
      </c>
      <c r="P977" s="6" t="str">
        <f>HYPERLINK("https://ceds.ed.gov/elementComment.aspx?elementName=Program Participation Start Date &amp;elementID=5583", "Click here to submit comment")</f>
        <v>Click here to submit comment</v>
      </c>
    </row>
    <row r="978" spans="1:16" ht="45">
      <c r="A978" s="6" t="s">
        <v>6788</v>
      </c>
      <c r="B978" s="6" t="s">
        <v>6804</v>
      </c>
      <c r="C978" s="6" t="s">
        <v>6815</v>
      </c>
      <c r="D978" s="6" t="s">
        <v>4817</v>
      </c>
      <c r="E978" s="6" t="s">
        <v>4818</v>
      </c>
      <c r="F978" s="6" t="s">
        <v>13</v>
      </c>
      <c r="G978" s="6" t="s">
        <v>218</v>
      </c>
      <c r="H978" s="6"/>
      <c r="I978" s="6" t="s">
        <v>73</v>
      </c>
      <c r="J978" s="6"/>
      <c r="K978" s="6"/>
      <c r="L978" s="6" t="s">
        <v>4819</v>
      </c>
      <c r="M978" s="6"/>
      <c r="N978" s="6" t="s">
        <v>4820</v>
      </c>
      <c r="O978" s="6" t="str">
        <f>HYPERLINK("https://ceds.ed.gov/cedselementdetails.aspx?termid=5584")</f>
        <v>https://ceds.ed.gov/cedselementdetails.aspx?termid=5584</v>
      </c>
      <c r="P978" s="6" t="str">
        <f>HYPERLINK("https://ceds.ed.gov/elementComment.aspx?elementName=Program Participation Exit Date &amp;elementID=5584", "Click here to submit comment")</f>
        <v>Click here to submit comment</v>
      </c>
    </row>
    <row r="979" spans="1:16" ht="75">
      <c r="A979" s="6" t="s">
        <v>6788</v>
      </c>
      <c r="B979" s="6" t="s">
        <v>6804</v>
      </c>
      <c r="C979" s="6" t="s">
        <v>6815</v>
      </c>
      <c r="D979" s="6" t="s">
        <v>4092</v>
      </c>
      <c r="E979" s="6" t="s">
        <v>4093</v>
      </c>
      <c r="F979" s="6" t="s">
        <v>5963</v>
      </c>
      <c r="G979" s="6" t="s">
        <v>218</v>
      </c>
      <c r="H979" s="6"/>
      <c r="I979" s="6"/>
      <c r="J979" s="6"/>
      <c r="K979" s="6"/>
      <c r="L979" s="6" t="s">
        <v>4094</v>
      </c>
      <c r="M979" s="6" t="s">
        <v>4095</v>
      </c>
      <c r="N979" s="6" t="s">
        <v>4096</v>
      </c>
      <c r="O979" s="6" t="str">
        <f>HYPERLINK("https://ceds.ed.gov/cedselementdetails.aspx?termid=5555")</f>
        <v>https://ceds.ed.gov/cedselementdetails.aspx?termid=5555</v>
      </c>
      <c r="P979" s="6" t="str">
        <f>HYPERLINK("https://ceds.ed.gov/elementComment.aspx?elementName=Migrant Education Program Continuation of Services Status &amp;elementID=5555", "Click here to submit comment")</f>
        <v>Click here to submit comment</v>
      </c>
    </row>
    <row r="980" spans="1:16" ht="150">
      <c r="A980" s="6" t="s">
        <v>6788</v>
      </c>
      <c r="B980" s="6" t="s">
        <v>6804</v>
      </c>
      <c r="C980" s="6" t="s">
        <v>6815</v>
      </c>
      <c r="D980" s="6" t="s">
        <v>1768</v>
      </c>
      <c r="E980" s="6" t="s">
        <v>1769</v>
      </c>
      <c r="F980" s="7" t="s">
        <v>6428</v>
      </c>
      <c r="G980" s="6" t="s">
        <v>1480</v>
      </c>
      <c r="H980" s="6"/>
      <c r="I980" s="6"/>
      <c r="J980" s="6"/>
      <c r="K980" s="6"/>
      <c r="L980" s="6" t="s">
        <v>1770</v>
      </c>
      <c r="M980" s="6"/>
      <c r="N980" s="6" t="s">
        <v>1771</v>
      </c>
      <c r="O980" s="6" t="str">
        <f>HYPERLINK("https://ceds.ed.gov/cedselementdetails.aspx?termid=5419")</f>
        <v>https://ceds.ed.gov/cedselementdetails.aspx?termid=5419</v>
      </c>
      <c r="P980" s="6" t="str">
        <f>HYPERLINK("https://ceds.ed.gov/elementComment.aspx?elementName=Continuation of Services Reason &amp;elementID=5419", "Click here to submit comment")</f>
        <v>Click here to submit comment</v>
      </c>
    </row>
    <row r="981" spans="1:16" ht="60">
      <c r="A981" s="6" t="s">
        <v>6788</v>
      </c>
      <c r="B981" s="6" t="s">
        <v>6804</v>
      </c>
      <c r="C981" s="6" t="s">
        <v>6815</v>
      </c>
      <c r="D981" s="6" t="s">
        <v>4107</v>
      </c>
      <c r="E981" s="6" t="s">
        <v>4108</v>
      </c>
      <c r="F981" s="6" t="s">
        <v>5963</v>
      </c>
      <c r="G981" s="6" t="s">
        <v>218</v>
      </c>
      <c r="H981" s="6"/>
      <c r="I981" s="6"/>
      <c r="J981" s="6"/>
      <c r="K981" s="6"/>
      <c r="L981" s="6" t="s">
        <v>4109</v>
      </c>
      <c r="M981" s="6" t="s">
        <v>4110</v>
      </c>
      <c r="N981" s="6" t="s">
        <v>4111</v>
      </c>
      <c r="O981" s="6" t="str">
        <f>HYPERLINK("https://ceds.ed.gov/cedselementdetails.aspx?termid=5185")</f>
        <v>https://ceds.ed.gov/cedselementdetails.aspx?termid=5185</v>
      </c>
      <c r="P981" s="6" t="str">
        <f>HYPERLINK("https://ceds.ed.gov/elementComment.aspx?elementName=Migrant Education Program Participation Status &amp;elementID=5185", "Click here to submit comment")</f>
        <v>Click here to submit comment</v>
      </c>
    </row>
    <row r="982" spans="1:16" ht="225">
      <c r="A982" s="6" t="s">
        <v>6788</v>
      </c>
      <c r="B982" s="6" t="s">
        <v>6804</v>
      </c>
      <c r="C982" s="6" t="s">
        <v>6815</v>
      </c>
      <c r="D982" s="6" t="s">
        <v>4127</v>
      </c>
      <c r="E982" s="6" t="s">
        <v>4128</v>
      </c>
      <c r="F982" s="7" t="s">
        <v>6585</v>
      </c>
      <c r="G982" s="6" t="s">
        <v>218</v>
      </c>
      <c r="H982" s="6"/>
      <c r="I982" s="6"/>
      <c r="J982" s="6"/>
      <c r="K982" s="6"/>
      <c r="L982" s="6" t="s">
        <v>4129</v>
      </c>
      <c r="M982" s="6" t="s">
        <v>4130</v>
      </c>
      <c r="N982" s="6" t="s">
        <v>4131</v>
      </c>
      <c r="O982" s="6" t="str">
        <f>HYPERLINK("https://ceds.ed.gov/cedselementdetails.aspx?termid=5186")</f>
        <v>https://ceds.ed.gov/cedselementdetails.aspx?termid=5186</v>
      </c>
      <c r="P982" s="6" t="str">
        <f>HYPERLINK("https://ceds.ed.gov/elementComment.aspx?elementName=Migrant Education Program Services Type &amp;elementID=5186", "Click here to submit comment")</f>
        <v>Click here to submit comment</v>
      </c>
    </row>
    <row r="983" spans="1:16" ht="195">
      <c r="A983" s="6" t="s">
        <v>6788</v>
      </c>
      <c r="B983" s="6" t="s">
        <v>6804</v>
      </c>
      <c r="C983" s="6" t="s">
        <v>6815</v>
      </c>
      <c r="D983" s="6" t="s">
        <v>4102</v>
      </c>
      <c r="E983" s="6" t="s">
        <v>4103</v>
      </c>
      <c r="F983" s="7" t="s">
        <v>6582</v>
      </c>
      <c r="G983" s="6" t="s">
        <v>1480</v>
      </c>
      <c r="H983" s="6"/>
      <c r="I983" s="6"/>
      <c r="J983" s="6"/>
      <c r="K983" s="6"/>
      <c r="L983" s="6" t="s">
        <v>4104</v>
      </c>
      <c r="M983" s="6" t="s">
        <v>4105</v>
      </c>
      <c r="N983" s="6" t="s">
        <v>4106</v>
      </c>
      <c r="O983" s="6" t="str">
        <f>HYPERLINK("https://ceds.ed.gov/cedselementdetails.aspx?termid=5427")</f>
        <v>https://ceds.ed.gov/cedselementdetails.aspx?termid=5427</v>
      </c>
      <c r="P983" s="6" t="str">
        <f>HYPERLINK("https://ceds.ed.gov/elementComment.aspx?elementName=Migrant Education Program Enrollment Type &amp;elementID=5427", "Click here to submit comment")</f>
        <v>Click here to submit comment</v>
      </c>
    </row>
    <row r="984" spans="1:16" ht="75">
      <c r="A984" s="6" t="s">
        <v>6788</v>
      </c>
      <c r="B984" s="6" t="s">
        <v>6804</v>
      </c>
      <c r="C984" s="6" t="s">
        <v>6815</v>
      </c>
      <c r="D984" s="6" t="s">
        <v>4117</v>
      </c>
      <c r="E984" s="6" t="s">
        <v>4118</v>
      </c>
      <c r="F984" s="7" t="s">
        <v>6583</v>
      </c>
      <c r="G984" s="6" t="s">
        <v>1480</v>
      </c>
      <c r="H984" s="6"/>
      <c r="I984" s="6"/>
      <c r="J984" s="6"/>
      <c r="K984" s="6"/>
      <c r="L984" s="6" t="s">
        <v>4119</v>
      </c>
      <c r="M984" s="6" t="s">
        <v>4120</v>
      </c>
      <c r="N984" s="6" t="s">
        <v>4121</v>
      </c>
      <c r="O984" s="6" t="str">
        <f>HYPERLINK("https://ceds.ed.gov/cedselementdetails.aspx?termid=5430")</f>
        <v>https://ceds.ed.gov/cedselementdetails.aspx?termid=5430</v>
      </c>
      <c r="P984" s="6" t="str">
        <f>HYPERLINK("https://ceds.ed.gov/elementComment.aspx?elementName=Migrant Education Program Project Based &amp;elementID=5430", "Click here to submit comment")</f>
        <v>Click here to submit comment</v>
      </c>
    </row>
    <row r="985" spans="1:16" ht="120">
      <c r="A985" s="6" t="s">
        <v>6788</v>
      </c>
      <c r="B985" s="6" t="s">
        <v>6804</v>
      </c>
      <c r="C985" s="6" t="s">
        <v>6815</v>
      </c>
      <c r="D985" s="6" t="s">
        <v>4143</v>
      </c>
      <c r="E985" s="6" t="s">
        <v>4144</v>
      </c>
      <c r="F985" s="6" t="s">
        <v>5963</v>
      </c>
      <c r="G985" s="6" t="s">
        <v>218</v>
      </c>
      <c r="H985" s="6"/>
      <c r="I985" s="6"/>
      <c r="J985" s="6"/>
      <c r="K985" s="6"/>
      <c r="L985" s="6" t="s">
        <v>4145</v>
      </c>
      <c r="M985" s="6"/>
      <c r="N985" s="6" t="s">
        <v>4146</v>
      </c>
      <c r="O985" s="6" t="str">
        <f>HYPERLINK("https://ceds.ed.gov/cedselementdetails.aspx?termid=5554")</f>
        <v>https://ceds.ed.gov/cedselementdetails.aspx?termid=5554</v>
      </c>
      <c r="P985" s="6" t="str">
        <f>HYPERLINK("https://ceds.ed.gov/elementComment.aspx?elementName=Migrant Prioritized for Services &amp;elementID=5554", "Click here to submit comment")</f>
        <v>Click here to submit comment</v>
      </c>
    </row>
    <row r="986" spans="1:16" ht="195">
      <c r="A986" s="6" t="s">
        <v>6788</v>
      </c>
      <c r="B986" s="6" t="s">
        <v>6804</v>
      </c>
      <c r="C986" s="6" t="s">
        <v>6815</v>
      </c>
      <c r="D986" s="6" t="s">
        <v>4151</v>
      </c>
      <c r="E986" s="6" t="s">
        <v>4152</v>
      </c>
      <c r="F986" s="6" t="s">
        <v>13</v>
      </c>
      <c r="G986" s="6" t="s">
        <v>1480</v>
      </c>
      <c r="H986" s="6"/>
      <c r="I986" s="6" t="s">
        <v>73</v>
      </c>
      <c r="J986" s="6"/>
      <c r="K986" s="6"/>
      <c r="L986" s="6" t="s">
        <v>4153</v>
      </c>
      <c r="M986" s="6"/>
      <c r="N986" s="6" t="s">
        <v>4154</v>
      </c>
      <c r="O986" s="6" t="str">
        <f>HYPERLINK("https://ceds.ed.gov/cedselementdetails.aspx?termid=5422")</f>
        <v>https://ceds.ed.gov/cedselementdetails.aspx?termid=5422</v>
      </c>
      <c r="P986" s="6" t="str">
        <f>HYPERLINK("https://ceds.ed.gov/elementComment.aspx?elementName=Migrant Student Qualifying Arrival Date &amp;elementID=5422", "Click here to submit comment")</f>
        <v>Click here to submit comment</v>
      </c>
    </row>
    <row r="987" spans="1:16" ht="30">
      <c r="A987" s="6" t="s">
        <v>6788</v>
      </c>
      <c r="B987" s="6" t="s">
        <v>6804</v>
      </c>
      <c r="C987" s="6" t="s">
        <v>6815</v>
      </c>
      <c r="D987" s="6" t="s">
        <v>3432</v>
      </c>
      <c r="E987" s="6" t="s">
        <v>3433</v>
      </c>
      <c r="F987" s="6" t="s">
        <v>13</v>
      </c>
      <c r="G987" s="6" t="s">
        <v>218</v>
      </c>
      <c r="H987" s="6"/>
      <c r="I987" s="6" t="s">
        <v>73</v>
      </c>
      <c r="J987" s="6"/>
      <c r="K987" s="6"/>
      <c r="L987" s="6" t="s">
        <v>3434</v>
      </c>
      <c r="M987" s="6"/>
      <c r="N987" s="6" t="s">
        <v>3435</v>
      </c>
      <c r="O987" s="6" t="str">
        <f>HYPERLINK("https://ceds.ed.gov/cedselementdetails.aspx?termid=5171")</f>
        <v>https://ceds.ed.gov/cedselementdetails.aspx?termid=5171</v>
      </c>
      <c r="P987" s="6" t="str">
        <f>HYPERLINK("https://ceds.ed.gov/elementComment.aspx?elementName=Last Qualifying Move Date &amp;elementID=5171", "Click here to submit comment")</f>
        <v>Click here to submit comment</v>
      </c>
    </row>
    <row r="988" spans="1:16" ht="30">
      <c r="A988" s="6" t="s">
        <v>6788</v>
      </c>
      <c r="B988" s="6" t="s">
        <v>6804</v>
      </c>
      <c r="C988" s="6" t="s">
        <v>6815</v>
      </c>
      <c r="D988" s="6" t="s">
        <v>4903</v>
      </c>
      <c r="E988" s="6" t="s">
        <v>4904</v>
      </c>
      <c r="F988" s="6" t="s">
        <v>13</v>
      </c>
      <c r="G988" s="6" t="s">
        <v>1480</v>
      </c>
      <c r="H988" s="6"/>
      <c r="I988" s="6" t="s">
        <v>100</v>
      </c>
      <c r="J988" s="6"/>
      <c r="K988" s="6"/>
      <c r="L988" s="6" t="s">
        <v>4905</v>
      </c>
      <c r="M988" s="6"/>
      <c r="N988" s="6" t="s">
        <v>4906</v>
      </c>
      <c r="O988" s="6" t="str">
        <f>HYPERLINK("https://ceds.ed.gov/cedselementdetails.aspx?termid=5423")</f>
        <v>https://ceds.ed.gov/cedselementdetails.aspx?termid=5423</v>
      </c>
      <c r="P988" s="6" t="str">
        <f>HYPERLINK("https://ceds.ed.gov/elementComment.aspx?elementName=Qualifying Move From City &amp;elementID=5423", "Click here to submit comment")</f>
        <v>Click here to submit comment</v>
      </c>
    </row>
    <row r="989" spans="1:16" ht="409.5">
      <c r="A989" s="6" t="s">
        <v>6788</v>
      </c>
      <c r="B989" s="6" t="s">
        <v>6804</v>
      </c>
      <c r="C989" s="6" t="s">
        <v>6815</v>
      </c>
      <c r="D989" s="6" t="s">
        <v>4907</v>
      </c>
      <c r="E989" s="6" t="s">
        <v>4908</v>
      </c>
      <c r="F989" s="7" t="s">
        <v>6433</v>
      </c>
      <c r="G989" s="6" t="s">
        <v>1480</v>
      </c>
      <c r="H989" s="6"/>
      <c r="I989" s="6"/>
      <c r="J989" s="6"/>
      <c r="K989" s="6"/>
      <c r="L989" s="6" t="s">
        <v>4909</v>
      </c>
      <c r="M989" s="6"/>
      <c r="N989" s="6" t="s">
        <v>4910</v>
      </c>
      <c r="O989" s="6" t="str">
        <f>HYPERLINK("https://ceds.ed.gov/cedselementdetails.aspx?termid=5424")</f>
        <v>https://ceds.ed.gov/cedselementdetails.aspx?termid=5424</v>
      </c>
      <c r="P989" s="6" t="str">
        <f>HYPERLINK("https://ceds.ed.gov/elementComment.aspx?elementName=Qualifying Move From Country &amp;elementID=5424", "Click here to submit comment")</f>
        <v>Click here to submit comment</v>
      </c>
    </row>
    <row r="990" spans="1:16" ht="409.5">
      <c r="A990" s="6" t="s">
        <v>6788</v>
      </c>
      <c r="B990" s="6" t="s">
        <v>6804</v>
      </c>
      <c r="C990" s="6" t="s">
        <v>6815</v>
      </c>
      <c r="D990" s="6" t="s">
        <v>4911</v>
      </c>
      <c r="E990" s="6" t="s">
        <v>4912</v>
      </c>
      <c r="F990" s="7" t="s">
        <v>6633</v>
      </c>
      <c r="G990" s="6" t="s">
        <v>1480</v>
      </c>
      <c r="H990" s="6"/>
      <c r="I990" s="6"/>
      <c r="J990" s="6"/>
      <c r="K990" s="6"/>
      <c r="L990" s="6" t="s">
        <v>4913</v>
      </c>
      <c r="M990" s="6"/>
      <c r="N990" s="6" t="s">
        <v>4914</v>
      </c>
      <c r="O990" s="6" t="str">
        <f>HYPERLINK("https://ceds.ed.gov/cedselementdetails.aspx?termid=5425")</f>
        <v>https://ceds.ed.gov/cedselementdetails.aspx?termid=5425</v>
      </c>
      <c r="P990" s="6" t="str">
        <f>HYPERLINK("https://ceds.ed.gov/elementComment.aspx?elementName=Qualifying Move From State &amp;elementID=5425", "Click here to submit comment")</f>
        <v>Click here to submit comment</v>
      </c>
    </row>
    <row r="991" spans="1:16" ht="120">
      <c r="A991" s="6" t="s">
        <v>6788</v>
      </c>
      <c r="B991" s="6" t="s">
        <v>6804</v>
      </c>
      <c r="C991" s="6" t="s">
        <v>6815</v>
      </c>
      <c r="D991" s="6" t="s">
        <v>4097</v>
      </c>
      <c r="E991" s="6" t="s">
        <v>4098</v>
      </c>
      <c r="F991" s="6" t="s">
        <v>13</v>
      </c>
      <c r="G991" s="6" t="s">
        <v>1480</v>
      </c>
      <c r="H991" s="6"/>
      <c r="I991" s="6" t="s">
        <v>73</v>
      </c>
      <c r="J991" s="6"/>
      <c r="K991" s="6"/>
      <c r="L991" s="6" t="s">
        <v>4099</v>
      </c>
      <c r="M991" s="6" t="s">
        <v>4100</v>
      </c>
      <c r="N991" s="6" t="s">
        <v>4101</v>
      </c>
      <c r="O991" s="6" t="str">
        <f>HYPERLINK("https://ceds.ed.gov/cedselementdetails.aspx?termid=5420")</f>
        <v>https://ceds.ed.gov/cedselementdetails.aspx?termid=5420</v>
      </c>
      <c r="P991" s="6" t="str">
        <f>HYPERLINK("https://ceds.ed.gov/elementComment.aspx?elementName=Migrant Education Program Eligibility Expiration Date &amp;elementID=5420", "Click here to submit comment")</f>
        <v>Click here to submit comment</v>
      </c>
    </row>
    <row r="992" spans="1:16" ht="60">
      <c r="A992" s="6" t="s">
        <v>6788</v>
      </c>
      <c r="B992" s="6" t="s">
        <v>6804</v>
      </c>
      <c r="C992" s="6" t="s">
        <v>6815</v>
      </c>
      <c r="D992" s="6" t="s">
        <v>2169</v>
      </c>
      <c r="E992" s="6" t="s">
        <v>2170</v>
      </c>
      <c r="F992" s="6" t="s">
        <v>13</v>
      </c>
      <c r="G992" s="6" t="s">
        <v>1480</v>
      </c>
      <c r="H992" s="6"/>
      <c r="I992" s="6" t="s">
        <v>2171</v>
      </c>
      <c r="J992" s="6"/>
      <c r="K992" s="6"/>
      <c r="L992" s="6" t="s">
        <v>2172</v>
      </c>
      <c r="M992" s="6"/>
      <c r="N992" s="6" t="s">
        <v>2173</v>
      </c>
      <c r="O992" s="6" t="str">
        <f>HYPERLINK("https://ceds.ed.gov/cedselementdetails.aspx?termid=5426")</f>
        <v>https://ceds.ed.gov/cedselementdetails.aspx?termid=5426</v>
      </c>
      <c r="P992" s="6" t="str">
        <f>HYPERLINK("https://ceds.ed.gov/elementComment.aspx?elementName=Designated Graduation School Identifier &amp;elementID=5426", "Click here to submit comment")</f>
        <v>Click here to submit comment</v>
      </c>
    </row>
    <row r="993" spans="1:16" ht="30">
      <c r="A993" s="6" t="s">
        <v>6788</v>
      </c>
      <c r="B993" s="6" t="s">
        <v>6804</v>
      </c>
      <c r="C993" s="6" t="s">
        <v>6815</v>
      </c>
      <c r="D993" s="6" t="s">
        <v>1477</v>
      </c>
      <c r="E993" s="6" t="s">
        <v>1478</v>
      </c>
      <c r="F993" s="6" t="s">
        <v>13</v>
      </c>
      <c r="G993" s="6" t="s">
        <v>1480</v>
      </c>
      <c r="H993" s="6"/>
      <c r="I993" s="6" t="s">
        <v>106</v>
      </c>
      <c r="J993" s="6"/>
      <c r="K993" s="6"/>
      <c r="L993" s="6" t="s">
        <v>1481</v>
      </c>
      <c r="M993" s="6"/>
      <c r="N993" s="6" t="s">
        <v>1482</v>
      </c>
      <c r="O993" s="6" t="str">
        <f>HYPERLINK("https://ceds.ed.gov/cedselementdetails.aspx?termid=5418")</f>
        <v>https://ceds.ed.gov/cedselementdetails.aspx?termid=5418</v>
      </c>
      <c r="P993" s="6" t="str">
        <f>HYPERLINK("https://ceds.ed.gov/elementComment.aspx?elementName=Birthdate Verification &amp;elementID=5418", "Click here to submit comment")</f>
        <v>Click here to submit comment</v>
      </c>
    </row>
    <row r="994" spans="1:16" ht="45">
      <c r="A994" s="6" t="s">
        <v>6788</v>
      </c>
      <c r="B994" s="6" t="s">
        <v>6804</v>
      </c>
      <c r="C994" s="6" t="s">
        <v>6815</v>
      </c>
      <c r="D994" s="6" t="s">
        <v>3092</v>
      </c>
      <c r="E994" s="6" t="s">
        <v>3093</v>
      </c>
      <c r="F994" s="6" t="s">
        <v>5963</v>
      </c>
      <c r="G994" s="6" t="s">
        <v>1480</v>
      </c>
      <c r="H994" s="6"/>
      <c r="I994" s="6"/>
      <c r="J994" s="6"/>
      <c r="K994" s="6"/>
      <c r="L994" s="6" t="s">
        <v>3094</v>
      </c>
      <c r="M994" s="6"/>
      <c r="N994" s="6" t="s">
        <v>3095</v>
      </c>
      <c r="O994" s="6" t="str">
        <f>HYPERLINK("https://ceds.ed.gov/cedselementdetails.aspx?termid=5428")</f>
        <v>https://ceds.ed.gov/cedselementdetails.aspx?termid=5428</v>
      </c>
      <c r="P994" s="6" t="str">
        <f>HYPERLINK("https://ceds.ed.gov/elementComment.aspx?elementName=Immunization Record Flag &amp;elementID=5428", "Click here to submit comment")</f>
        <v>Click here to submit comment</v>
      </c>
    </row>
    <row r="995" spans="1:16" ht="45">
      <c r="A995" s="6" t="s">
        <v>6788</v>
      </c>
      <c r="B995" s="6" t="s">
        <v>6804</v>
      </c>
      <c r="C995" s="6" t="s">
        <v>6815</v>
      </c>
      <c r="D995" s="6" t="s">
        <v>4177</v>
      </c>
      <c r="E995" s="6" t="s">
        <v>4178</v>
      </c>
      <c r="F995" s="6" t="s">
        <v>5963</v>
      </c>
      <c r="G995" s="6" t="s">
        <v>1480</v>
      </c>
      <c r="H995" s="6"/>
      <c r="I995" s="6"/>
      <c r="J995" s="6"/>
      <c r="K995" s="6"/>
      <c r="L995" s="6" t="s">
        <v>4179</v>
      </c>
      <c r="M995" s="6"/>
      <c r="N995" s="6" t="s">
        <v>4180</v>
      </c>
      <c r="O995" s="6" t="str">
        <f>HYPERLINK("https://ceds.ed.gov/cedselementdetails.aspx?termid=5421")</f>
        <v>https://ceds.ed.gov/cedselementdetails.aspx?termid=5421</v>
      </c>
      <c r="P995" s="6" t="str">
        <f>HYPERLINK("https://ceds.ed.gov/elementComment.aspx?elementName=Multiple Birth Indicator &amp;elementID=5421", "Click here to submit comment")</f>
        <v>Click here to submit comment</v>
      </c>
    </row>
    <row r="996" spans="1:16" ht="105">
      <c r="A996" s="6" t="s">
        <v>6788</v>
      </c>
      <c r="B996" s="6" t="s">
        <v>6804</v>
      </c>
      <c r="C996" s="6" t="s">
        <v>6816</v>
      </c>
      <c r="D996" s="6" t="s">
        <v>4229</v>
      </c>
      <c r="E996" s="6" t="s">
        <v>4230</v>
      </c>
      <c r="F996" s="6" t="s">
        <v>6180</v>
      </c>
      <c r="G996" s="6" t="s">
        <v>6084</v>
      </c>
      <c r="H996" s="6"/>
      <c r="I996" s="6"/>
      <c r="J996" s="6"/>
      <c r="K996" s="6"/>
      <c r="L996" s="6" t="s">
        <v>4231</v>
      </c>
      <c r="M996" s="6"/>
      <c r="N996" s="6" t="s">
        <v>4232</v>
      </c>
      <c r="O996" s="6" t="str">
        <f>HYPERLINK("https://ceds.ed.gov/cedselementdetails.aspx?termid=5193")</f>
        <v>https://ceds.ed.gov/cedselementdetails.aspx?termid=5193</v>
      </c>
      <c r="P996" s="6" t="str">
        <f>HYPERLINK("https://ceds.ed.gov/elementComment.aspx?elementName=Neglected or Delinquent Status &amp;elementID=5193", "Click here to submit comment")</f>
        <v>Click here to submit comment</v>
      </c>
    </row>
    <row r="997" spans="1:16" ht="45">
      <c r="A997" s="6" t="s">
        <v>6788</v>
      </c>
      <c r="B997" s="6" t="s">
        <v>6804</v>
      </c>
      <c r="C997" s="6" t="s">
        <v>6816</v>
      </c>
      <c r="D997" s="6" t="s">
        <v>4821</v>
      </c>
      <c r="E997" s="6" t="s">
        <v>4822</v>
      </c>
      <c r="F997" s="6" t="s">
        <v>13</v>
      </c>
      <c r="G997" s="6" t="s">
        <v>6051</v>
      </c>
      <c r="H997" s="6"/>
      <c r="I997" s="6" t="s">
        <v>73</v>
      </c>
      <c r="J997" s="6"/>
      <c r="K997" s="6"/>
      <c r="L997" s="6" t="s">
        <v>4823</v>
      </c>
      <c r="M997" s="6"/>
      <c r="N997" s="6" t="s">
        <v>4824</v>
      </c>
      <c r="O997" s="6" t="str">
        <f>HYPERLINK("https://ceds.ed.gov/cedselementdetails.aspx?termid=5583")</f>
        <v>https://ceds.ed.gov/cedselementdetails.aspx?termid=5583</v>
      </c>
      <c r="P997" s="6" t="str">
        <f>HYPERLINK("https://ceds.ed.gov/elementComment.aspx?elementName=Program Participation Start Date &amp;elementID=5583", "Click here to submit comment")</f>
        <v>Click here to submit comment</v>
      </c>
    </row>
    <row r="998" spans="1:16" ht="45">
      <c r="A998" s="6" t="s">
        <v>6788</v>
      </c>
      <c r="B998" s="6" t="s">
        <v>6804</v>
      </c>
      <c r="C998" s="6" t="s">
        <v>6816</v>
      </c>
      <c r="D998" s="6" t="s">
        <v>4817</v>
      </c>
      <c r="E998" s="6" t="s">
        <v>4818</v>
      </c>
      <c r="F998" s="6" t="s">
        <v>13</v>
      </c>
      <c r="G998" s="6" t="s">
        <v>218</v>
      </c>
      <c r="H998" s="6"/>
      <c r="I998" s="6" t="s">
        <v>73</v>
      </c>
      <c r="J998" s="6"/>
      <c r="K998" s="6"/>
      <c r="L998" s="6" t="s">
        <v>4819</v>
      </c>
      <c r="M998" s="6"/>
      <c r="N998" s="6" t="s">
        <v>4820</v>
      </c>
      <c r="O998" s="6" t="str">
        <f>HYPERLINK("https://ceds.ed.gov/cedselementdetails.aspx?termid=5584")</f>
        <v>https://ceds.ed.gov/cedselementdetails.aspx?termid=5584</v>
      </c>
      <c r="P998" s="6" t="str">
        <f>HYPERLINK("https://ceds.ed.gov/elementComment.aspx?elementName=Program Participation Exit Date &amp;elementID=5584", "Click here to submit comment")</f>
        <v>Click here to submit comment</v>
      </c>
    </row>
    <row r="999" spans="1:16" ht="180">
      <c r="A999" s="6" t="s">
        <v>6788</v>
      </c>
      <c r="B999" s="6" t="s">
        <v>6804</v>
      </c>
      <c r="C999" s="6" t="s">
        <v>6816</v>
      </c>
      <c r="D999" s="6" t="s">
        <v>4211</v>
      </c>
      <c r="E999" s="6" t="s">
        <v>4212</v>
      </c>
      <c r="F999" s="6" t="s">
        <v>5963</v>
      </c>
      <c r="G999" s="6" t="s">
        <v>218</v>
      </c>
      <c r="H999" s="6"/>
      <c r="I999" s="6"/>
      <c r="J999" s="6"/>
      <c r="K999" s="6" t="s">
        <v>4214</v>
      </c>
      <c r="L999" s="6" t="s">
        <v>4215</v>
      </c>
      <c r="M999" s="6"/>
      <c r="N999" s="6" t="s">
        <v>4216</v>
      </c>
      <c r="O999" s="6" t="str">
        <f>HYPERLINK("https://ceds.ed.gov/cedselementdetails.aspx?termid=5636")</f>
        <v>https://ceds.ed.gov/cedselementdetails.aspx?termid=5636</v>
      </c>
      <c r="P999" s="6" t="str">
        <f>HYPERLINK("https://ceds.ed.gov/elementComment.aspx?elementName=Neglected or Delinquent Academic Achievement Indicator &amp;elementID=5636", "Click here to submit comment")</f>
        <v>Click here to submit comment</v>
      </c>
    </row>
    <row r="1000" spans="1:16" ht="180">
      <c r="A1000" s="6" t="s">
        <v>6788</v>
      </c>
      <c r="B1000" s="6" t="s">
        <v>6804</v>
      </c>
      <c r="C1000" s="6" t="s">
        <v>6816</v>
      </c>
      <c r="D1000" s="6" t="s">
        <v>4217</v>
      </c>
      <c r="E1000" s="6" t="s">
        <v>4218</v>
      </c>
      <c r="F1000" s="6" t="s">
        <v>5963</v>
      </c>
      <c r="G1000" s="6" t="s">
        <v>218</v>
      </c>
      <c r="H1000" s="6"/>
      <c r="I1000" s="6"/>
      <c r="J1000" s="6"/>
      <c r="K1000" s="6" t="s">
        <v>4214</v>
      </c>
      <c r="L1000" s="6" t="s">
        <v>4219</v>
      </c>
      <c r="M1000" s="6"/>
      <c r="N1000" s="6" t="s">
        <v>4220</v>
      </c>
      <c r="O1000" s="6" t="str">
        <f>HYPERLINK("https://ceds.ed.gov/cedselementdetails.aspx?termid=5638")</f>
        <v>https://ceds.ed.gov/cedselementdetails.aspx?termid=5638</v>
      </c>
      <c r="P1000" s="6" t="str">
        <f>HYPERLINK("https://ceds.ed.gov/elementComment.aspx?elementName=Neglected or Delinquent Academic Outcome Indicator &amp;elementID=5638", "Click here to submit comment")</f>
        <v>Click here to submit comment</v>
      </c>
    </row>
    <row r="1001" spans="1:16" ht="60">
      <c r="A1001" s="6" t="s">
        <v>6788</v>
      </c>
      <c r="B1001" s="6" t="s">
        <v>6804</v>
      </c>
      <c r="C1001" s="6" t="s">
        <v>6816</v>
      </c>
      <c r="D1001" s="6" t="s">
        <v>4221</v>
      </c>
      <c r="E1001" s="6" t="s">
        <v>4222</v>
      </c>
      <c r="F1001" s="6" t="s">
        <v>5963</v>
      </c>
      <c r="G1001" s="6" t="s">
        <v>207</v>
      </c>
      <c r="H1001" s="6"/>
      <c r="I1001" s="6"/>
      <c r="J1001" s="6"/>
      <c r="K1001" s="6"/>
      <c r="L1001" s="6" t="s">
        <v>4223</v>
      </c>
      <c r="M1001" s="6"/>
      <c r="N1001" s="6" t="s">
        <v>4224</v>
      </c>
      <c r="O1001" s="6" t="str">
        <f>HYPERLINK("https://ceds.ed.gov/cedselementdetails.aspx?termid=5475")</f>
        <v>https://ceds.ed.gov/cedselementdetails.aspx?termid=5475</v>
      </c>
      <c r="P1001" s="6" t="str">
        <f>HYPERLINK("https://ceds.ed.gov/elementComment.aspx?elementName=Neglected or Delinquent Obtained Employment &amp;elementID=5475", "Click here to submit comment")</f>
        <v>Click here to submit comment</v>
      </c>
    </row>
    <row r="1002" spans="1:16" ht="195">
      <c r="A1002" s="6" t="s">
        <v>6788</v>
      </c>
      <c r="B1002" s="6" t="s">
        <v>6804</v>
      </c>
      <c r="C1002" s="6" t="s">
        <v>6816</v>
      </c>
      <c r="D1002" s="6" t="s">
        <v>4225</v>
      </c>
      <c r="E1002" s="6" t="s">
        <v>4226</v>
      </c>
      <c r="F1002" s="7" t="s">
        <v>6590</v>
      </c>
      <c r="G1002" s="6" t="s">
        <v>218</v>
      </c>
      <c r="H1002" s="6"/>
      <c r="I1002" s="6"/>
      <c r="J1002" s="6"/>
      <c r="K1002" s="6"/>
      <c r="L1002" s="6" t="s">
        <v>4227</v>
      </c>
      <c r="M1002" s="6"/>
      <c r="N1002" s="6" t="s">
        <v>4228</v>
      </c>
      <c r="O1002" s="6" t="str">
        <f>HYPERLINK("https://ceds.ed.gov/cedselementdetails.aspx?termid=5194")</f>
        <v>https://ceds.ed.gov/cedselementdetails.aspx?termid=5194</v>
      </c>
      <c r="P1002" s="6" t="str">
        <f>HYPERLINK("https://ceds.ed.gov/elementComment.aspx?elementName=Neglected or Delinquent Program Type &amp;elementID=5194", "Click here to submit comment")</f>
        <v>Click here to submit comment</v>
      </c>
    </row>
    <row r="1003" spans="1:16" ht="409.5">
      <c r="A1003" s="6" t="s">
        <v>6788</v>
      </c>
      <c r="B1003" s="6" t="s">
        <v>6804</v>
      </c>
      <c r="C1003" s="6" t="s">
        <v>6817</v>
      </c>
      <c r="D1003" s="6" t="s">
        <v>4856</v>
      </c>
      <c r="E1003" s="6" t="s">
        <v>4857</v>
      </c>
      <c r="F1003" s="7" t="s">
        <v>6626</v>
      </c>
      <c r="G1003" s="6" t="s">
        <v>5968</v>
      </c>
      <c r="H1003" s="6" t="s">
        <v>66</v>
      </c>
      <c r="I1003" s="6"/>
      <c r="J1003" s="6" t="s">
        <v>4858</v>
      </c>
      <c r="K1003" s="6"/>
      <c r="L1003" s="6" t="s">
        <v>4859</v>
      </c>
      <c r="M1003" s="6"/>
      <c r="N1003" s="6" t="s">
        <v>4860</v>
      </c>
      <c r="O1003" s="6" t="str">
        <f>HYPERLINK("https://ceds.ed.gov/cedselementdetails.aspx?termid=5225")</f>
        <v>https://ceds.ed.gov/cedselementdetails.aspx?termid=5225</v>
      </c>
      <c r="P1003" s="6" t="str">
        <f>HYPERLINK("https://ceds.ed.gov/elementComment.aspx?elementName=Program Type &amp;elementID=5225", "Click here to submit comment")</f>
        <v>Click here to submit comment</v>
      </c>
    </row>
    <row r="1004" spans="1:16" ht="195">
      <c r="A1004" s="6" t="s">
        <v>6788</v>
      </c>
      <c r="B1004" s="6" t="s">
        <v>6804</v>
      </c>
      <c r="C1004" s="6" t="s">
        <v>6817</v>
      </c>
      <c r="D1004" s="6" t="s">
        <v>4825</v>
      </c>
      <c r="E1004" s="6" t="s">
        <v>4826</v>
      </c>
      <c r="F1004" s="7" t="s">
        <v>6624</v>
      </c>
      <c r="G1004" s="6"/>
      <c r="H1004" s="6"/>
      <c r="I1004" s="6"/>
      <c r="J1004" s="6"/>
      <c r="K1004" s="6"/>
      <c r="L1004" s="6" t="s">
        <v>4828</v>
      </c>
      <c r="M1004" s="6"/>
      <c r="N1004" s="6" t="s">
        <v>4829</v>
      </c>
      <c r="O1004" s="6" t="str">
        <f>HYPERLINK("https://ceds.ed.gov/cedselementdetails.aspx?termid=6209")</f>
        <v>https://ceds.ed.gov/cedselementdetails.aspx?termid=6209</v>
      </c>
      <c r="P1004" s="6" t="str">
        <f>HYPERLINK("https://ceds.ed.gov/elementComment.aspx?elementName=Program Participation Status &amp;elementID=6209", "Click here to submit comment")</f>
        <v>Click here to submit comment</v>
      </c>
    </row>
    <row r="1005" spans="1:16" ht="45">
      <c r="A1005" s="6" t="s">
        <v>6788</v>
      </c>
      <c r="B1005" s="6" t="s">
        <v>6804</v>
      </c>
      <c r="C1005" s="6" t="s">
        <v>6817</v>
      </c>
      <c r="D1005" s="6" t="s">
        <v>4821</v>
      </c>
      <c r="E1005" s="6" t="s">
        <v>4822</v>
      </c>
      <c r="F1005" s="6" t="s">
        <v>13</v>
      </c>
      <c r="G1005" s="6" t="s">
        <v>6051</v>
      </c>
      <c r="H1005" s="6"/>
      <c r="I1005" s="6" t="s">
        <v>73</v>
      </c>
      <c r="J1005" s="6"/>
      <c r="K1005" s="6"/>
      <c r="L1005" s="6" t="s">
        <v>4823</v>
      </c>
      <c r="M1005" s="6"/>
      <c r="N1005" s="6" t="s">
        <v>4824</v>
      </c>
      <c r="O1005" s="6" t="str">
        <f>HYPERLINK("https://ceds.ed.gov/cedselementdetails.aspx?termid=5583")</f>
        <v>https://ceds.ed.gov/cedselementdetails.aspx?termid=5583</v>
      </c>
      <c r="P1005" s="6" t="str">
        <f>HYPERLINK("https://ceds.ed.gov/elementComment.aspx?elementName=Program Participation Start Date &amp;elementID=5583", "Click here to submit comment")</f>
        <v>Click here to submit comment</v>
      </c>
    </row>
    <row r="1006" spans="1:16" ht="45">
      <c r="A1006" s="6" t="s">
        <v>6788</v>
      </c>
      <c r="B1006" s="6" t="s">
        <v>6804</v>
      </c>
      <c r="C1006" s="6" t="s">
        <v>6817</v>
      </c>
      <c r="D1006" s="6" t="s">
        <v>4817</v>
      </c>
      <c r="E1006" s="6" t="s">
        <v>4818</v>
      </c>
      <c r="F1006" s="6" t="s">
        <v>13</v>
      </c>
      <c r="G1006" s="6" t="s">
        <v>218</v>
      </c>
      <c r="H1006" s="6"/>
      <c r="I1006" s="6" t="s">
        <v>73</v>
      </c>
      <c r="J1006" s="6"/>
      <c r="K1006" s="6"/>
      <c r="L1006" s="6" t="s">
        <v>4819</v>
      </c>
      <c r="M1006" s="6"/>
      <c r="N1006" s="6" t="s">
        <v>4820</v>
      </c>
      <c r="O1006" s="6" t="str">
        <f>HYPERLINK("https://ceds.ed.gov/cedselementdetails.aspx?termid=5584")</f>
        <v>https://ceds.ed.gov/cedselementdetails.aspx?termid=5584</v>
      </c>
      <c r="P1006" s="6" t="str">
        <f>HYPERLINK("https://ceds.ed.gov/elementComment.aspx?elementName=Program Participation Exit Date &amp;elementID=5584", "Click here to submit comment")</f>
        <v>Click here to submit comment</v>
      </c>
    </row>
    <row r="1007" spans="1:16" ht="409.5">
      <c r="A1007" s="6" t="s">
        <v>6788</v>
      </c>
      <c r="B1007" s="6" t="s">
        <v>6804</v>
      </c>
      <c r="C1007" s="6" t="s">
        <v>6817</v>
      </c>
      <c r="D1007" s="6" t="s">
        <v>2594</v>
      </c>
      <c r="E1007" s="6" t="s">
        <v>2595</v>
      </c>
      <c r="F1007" s="7" t="s">
        <v>6502</v>
      </c>
      <c r="G1007" s="6"/>
      <c r="H1007" s="6" t="s">
        <v>3</v>
      </c>
      <c r="I1007" s="6"/>
      <c r="J1007" s="6"/>
      <c r="K1007" s="6"/>
      <c r="L1007" s="6" t="s">
        <v>2596</v>
      </c>
      <c r="M1007" s="6"/>
      <c r="N1007" s="6" t="s">
        <v>2597</v>
      </c>
      <c r="O1007" s="6" t="str">
        <f>HYPERLINK("https://ceds.ed.gov/cedselementdetails.aspx?termid=5222")</f>
        <v>https://ceds.ed.gov/cedselementdetails.aspx?termid=5222</v>
      </c>
      <c r="P1007" s="6" t="str">
        <f>HYPERLINK("https://ceds.ed.gov/elementComment.aspx?elementName=Exit Reason &amp;elementID=5222", "Click here to submit comment")</f>
        <v>Click here to submit comment</v>
      </c>
    </row>
    <row r="1008" spans="1:16" ht="60">
      <c r="A1008" s="6" t="s">
        <v>6788</v>
      </c>
      <c r="B1008" s="6" t="s">
        <v>6804</v>
      </c>
      <c r="C1008" s="6" t="s">
        <v>6817</v>
      </c>
      <c r="D1008" s="6" t="s">
        <v>4797</v>
      </c>
      <c r="E1008" s="6" t="s">
        <v>4798</v>
      </c>
      <c r="F1008" s="6" t="s">
        <v>13</v>
      </c>
      <c r="G1008" s="6"/>
      <c r="H1008" s="6" t="s">
        <v>3</v>
      </c>
      <c r="I1008" s="6" t="s">
        <v>100</v>
      </c>
      <c r="J1008" s="6"/>
      <c r="K1008" s="6"/>
      <c r="L1008" s="6" t="s">
        <v>4799</v>
      </c>
      <c r="M1008" s="6"/>
      <c r="N1008" s="6" t="s">
        <v>4800</v>
      </c>
      <c r="O1008" s="6" t="str">
        <f>HYPERLINK("https://ceds.ed.gov/cedselementdetails.aspx?termid=5618")</f>
        <v>https://ceds.ed.gov/cedselementdetails.aspx?termid=5618</v>
      </c>
      <c r="P1008" s="6" t="str">
        <f>HYPERLINK("https://ceds.ed.gov/elementComment.aspx?elementName=Program Identifier &amp;elementID=5618", "Click here to submit comment")</f>
        <v>Click here to submit comment</v>
      </c>
    </row>
    <row r="1009" spans="1:16" ht="60">
      <c r="A1009" s="6" t="s">
        <v>6788</v>
      </c>
      <c r="B1009" s="6" t="s">
        <v>6804</v>
      </c>
      <c r="C1009" s="6" t="s">
        <v>6817</v>
      </c>
      <c r="D1009" s="6" t="s">
        <v>4813</v>
      </c>
      <c r="E1009" s="6" t="s">
        <v>4814</v>
      </c>
      <c r="F1009" s="6" t="s">
        <v>13</v>
      </c>
      <c r="G1009" s="6"/>
      <c r="H1009" s="6" t="s">
        <v>3</v>
      </c>
      <c r="I1009" s="6" t="s">
        <v>106</v>
      </c>
      <c r="J1009" s="6"/>
      <c r="K1009" s="6"/>
      <c r="L1009" s="6" t="s">
        <v>4815</v>
      </c>
      <c r="M1009" s="6"/>
      <c r="N1009" s="6" t="s">
        <v>4816</v>
      </c>
      <c r="O1009" s="6" t="str">
        <f>HYPERLINK("https://ceds.ed.gov/cedselementdetails.aspx?termid=5619")</f>
        <v>https://ceds.ed.gov/cedselementdetails.aspx?termid=5619</v>
      </c>
      <c r="P1009" s="6" t="str">
        <f>HYPERLINK("https://ceds.ed.gov/elementComment.aspx?elementName=Program Name &amp;elementID=5619", "Click here to submit comment")</f>
        <v>Click here to submit comment</v>
      </c>
    </row>
    <row r="1010" spans="1:16" ht="345">
      <c r="A1010" s="6" t="s">
        <v>6788</v>
      </c>
      <c r="B1010" s="6" t="s">
        <v>6804</v>
      </c>
      <c r="C1010" s="6" t="s">
        <v>6817</v>
      </c>
      <c r="D1010" s="6" t="s">
        <v>5928</v>
      </c>
      <c r="E1010" s="6" t="s">
        <v>5929</v>
      </c>
      <c r="F1010" s="7" t="s">
        <v>6695</v>
      </c>
      <c r="G1010" s="6"/>
      <c r="H1010" s="6" t="s">
        <v>54</v>
      </c>
      <c r="I1010" s="6"/>
      <c r="J1010" s="6"/>
      <c r="K1010" s="6"/>
      <c r="L1010" s="6" t="s">
        <v>5930</v>
      </c>
      <c r="M1010" s="6"/>
      <c r="N1010" s="6" t="s">
        <v>5931</v>
      </c>
      <c r="O1010" s="6" t="str">
        <f>HYPERLINK("https://ceds.ed.gov/cedselementdetails.aspx?termid=6471")</f>
        <v>https://ceds.ed.gov/cedselementdetails.aspx?termid=6471</v>
      </c>
      <c r="P1010" s="6" t="str">
        <f>HYPERLINK("https://ceds.ed.gov/elementComment.aspx?elementName=Work-based Learning Opportunity Type &amp;elementID=6471", "Click here to submit comment")</f>
        <v>Click here to submit comment</v>
      </c>
    </row>
    <row r="1011" spans="1:16" ht="90">
      <c r="A1011" s="6" t="s">
        <v>6788</v>
      </c>
      <c r="B1011" s="6" t="s">
        <v>6804</v>
      </c>
      <c r="C1011" s="6" t="s">
        <v>6734</v>
      </c>
      <c r="D1011" s="6" t="s">
        <v>5411</v>
      </c>
      <c r="E1011" s="6" t="s">
        <v>5412</v>
      </c>
      <c r="F1011" s="6" t="s">
        <v>13</v>
      </c>
      <c r="G1011" s="6"/>
      <c r="H1011" s="6"/>
      <c r="I1011" s="6" t="s">
        <v>5413</v>
      </c>
      <c r="J1011" s="6"/>
      <c r="K1011" s="6"/>
      <c r="L1011" s="6" t="s">
        <v>5414</v>
      </c>
      <c r="M1011" s="6" t="s">
        <v>5415</v>
      </c>
      <c r="N1011" s="6" t="s">
        <v>5416</v>
      </c>
      <c r="O1011" s="6" t="str">
        <f>HYPERLINK("https://ceds.ed.gov/cedselementdetails.aspx?termid=6208")</f>
        <v>https://ceds.ed.gov/cedselementdetails.aspx?termid=6208</v>
      </c>
      <c r="P1011" s="6" t="str">
        <f>HYPERLINK("https://ceds.ed.gov/elementComment.aspx?elementName=Special Education Full Time Equivalency &amp;elementID=6208", "Click here to submit comment")</f>
        <v>Click here to submit comment</v>
      </c>
    </row>
    <row r="1012" spans="1:16" ht="45">
      <c r="A1012" s="6" t="s">
        <v>6788</v>
      </c>
      <c r="B1012" s="6" t="s">
        <v>6804</v>
      </c>
      <c r="C1012" s="6" t="s">
        <v>6734</v>
      </c>
      <c r="D1012" s="6" t="s">
        <v>4821</v>
      </c>
      <c r="E1012" s="6" t="s">
        <v>4822</v>
      </c>
      <c r="F1012" s="6" t="s">
        <v>13</v>
      </c>
      <c r="G1012" s="6" t="s">
        <v>6051</v>
      </c>
      <c r="H1012" s="6"/>
      <c r="I1012" s="6" t="s">
        <v>73</v>
      </c>
      <c r="J1012" s="6"/>
      <c r="K1012" s="6"/>
      <c r="L1012" s="6" t="s">
        <v>4823</v>
      </c>
      <c r="M1012" s="6"/>
      <c r="N1012" s="6" t="s">
        <v>4824</v>
      </c>
      <c r="O1012" s="6" t="str">
        <f>HYPERLINK("https://ceds.ed.gov/cedselementdetails.aspx?termid=5583")</f>
        <v>https://ceds.ed.gov/cedselementdetails.aspx?termid=5583</v>
      </c>
      <c r="P1012" s="6" t="str">
        <f>HYPERLINK("https://ceds.ed.gov/elementComment.aspx?elementName=Program Participation Start Date &amp;elementID=5583", "Click here to submit comment")</f>
        <v>Click here to submit comment</v>
      </c>
    </row>
    <row r="1013" spans="1:16" ht="45">
      <c r="A1013" s="6" t="s">
        <v>6788</v>
      </c>
      <c r="B1013" s="6" t="s">
        <v>6804</v>
      </c>
      <c r="C1013" s="6" t="s">
        <v>6734</v>
      </c>
      <c r="D1013" s="6" t="s">
        <v>4817</v>
      </c>
      <c r="E1013" s="6" t="s">
        <v>4818</v>
      </c>
      <c r="F1013" s="6" t="s">
        <v>13</v>
      </c>
      <c r="G1013" s="6" t="s">
        <v>218</v>
      </c>
      <c r="H1013" s="6"/>
      <c r="I1013" s="6" t="s">
        <v>73</v>
      </c>
      <c r="J1013" s="6"/>
      <c r="K1013" s="6"/>
      <c r="L1013" s="6" t="s">
        <v>4819</v>
      </c>
      <c r="M1013" s="6"/>
      <c r="N1013" s="6" t="s">
        <v>4820</v>
      </c>
      <c r="O1013" s="6" t="str">
        <f>HYPERLINK("https://ceds.ed.gov/cedselementdetails.aspx?termid=5584")</f>
        <v>https://ceds.ed.gov/cedselementdetails.aspx?termid=5584</v>
      </c>
      <c r="P1013" s="6" t="str">
        <f>HYPERLINK("https://ceds.ed.gov/elementComment.aspx?elementName=Program Participation Exit Date &amp;elementID=5584", "Click here to submit comment")</f>
        <v>Click here to submit comment</v>
      </c>
    </row>
    <row r="1014" spans="1:16" ht="409.5">
      <c r="A1014" s="6" t="s">
        <v>6788</v>
      </c>
      <c r="B1014" s="6" t="s">
        <v>6804</v>
      </c>
      <c r="C1014" s="6" t="s">
        <v>6734</v>
      </c>
      <c r="D1014" s="6" t="s">
        <v>5406</v>
      </c>
      <c r="E1014" s="6" t="s">
        <v>5407</v>
      </c>
      <c r="F1014" s="7" t="s">
        <v>6660</v>
      </c>
      <c r="G1014" s="6" t="s">
        <v>218</v>
      </c>
      <c r="H1014" s="6" t="s">
        <v>66</v>
      </c>
      <c r="I1014" s="6"/>
      <c r="J1014" s="6" t="s">
        <v>5408</v>
      </c>
      <c r="K1014" s="6"/>
      <c r="L1014" s="6" t="s">
        <v>5409</v>
      </c>
      <c r="M1014" s="6"/>
      <c r="N1014" s="6" t="s">
        <v>5410</v>
      </c>
      <c r="O1014" s="6" t="str">
        <f>HYPERLINK("https://ceds.ed.gov/cedselementdetails.aspx?termid=5260")</f>
        <v>https://ceds.ed.gov/cedselementdetails.aspx?termid=5260</v>
      </c>
      <c r="P1014" s="6" t="str">
        <f>HYPERLINK("https://ceds.ed.gov/elementComment.aspx?elementName=Special Education Exit Reason &amp;elementID=5260", "Click here to submit comment")</f>
        <v>Click here to submit comment</v>
      </c>
    </row>
    <row r="1015" spans="1:16" ht="45">
      <c r="A1015" s="6" t="s">
        <v>6788</v>
      </c>
      <c r="B1015" s="6" t="s">
        <v>6804</v>
      </c>
      <c r="C1015" s="6" t="s">
        <v>6734</v>
      </c>
      <c r="D1015" s="6" t="s">
        <v>5425</v>
      </c>
      <c r="E1015" s="6" t="s">
        <v>5426</v>
      </c>
      <c r="F1015" s="6" t="s">
        <v>13</v>
      </c>
      <c r="G1015" s="6" t="s">
        <v>218</v>
      </c>
      <c r="H1015" s="6"/>
      <c r="I1015" s="6" t="s">
        <v>73</v>
      </c>
      <c r="J1015" s="6"/>
      <c r="K1015" s="6"/>
      <c r="L1015" s="6" t="s">
        <v>5428</v>
      </c>
      <c r="M1015" s="6"/>
      <c r="N1015" s="6" t="s">
        <v>5429</v>
      </c>
      <c r="O1015" s="6" t="str">
        <f>HYPERLINK("https://ceds.ed.gov/cedselementdetails.aspx?termid=5263")</f>
        <v>https://ceds.ed.gov/cedselementdetails.aspx?termid=5263</v>
      </c>
      <c r="P1015" s="6" t="str">
        <f>HYPERLINK("https://ceds.ed.gov/elementComment.aspx?elementName=Special Education Services Exit Date &amp;elementID=5263", "Click here to submit comment")</f>
        <v>Click here to submit comment</v>
      </c>
    </row>
    <row r="1016" spans="1:16" ht="150">
      <c r="A1016" s="6" t="s">
        <v>6788</v>
      </c>
      <c r="B1016" s="6" t="s">
        <v>6804</v>
      </c>
      <c r="C1016" s="6" t="s">
        <v>6818</v>
      </c>
      <c r="D1016" s="6" t="s">
        <v>5752</v>
      </c>
      <c r="E1016" s="6" t="s">
        <v>5753</v>
      </c>
      <c r="F1016" s="7" t="s">
        <v>6676</v>
      </c>
      <c r="G1016" s="6" t="s">
        <v>5968</v>
      </c>
      <c r="H1016" s="6"/>
      <c r="I1016" s="6"/>
      <c r="J1016" s="6"/>
      <c r="K1016" s="6"/>
      <c r="L1016" s="6" t="s">
        <v>5754</v>
      </c>
      <c r="M1016" s="6"/>
      <c r="N1016" s="6" t="s">
        <v>5755</v>
      </c>
      <c r="O1016" s="6" t="str">
        <f>HYPERLINK("https://ceds.ed.gov/cedselementdetails.aspx?termid=5281")</f>
        <v>https://ceds.ed.gov/cedselementdetails.aspx?termid=5281</v>
      </c>
      <c r="P1016" s="6" t="str">
        <f>HYPERLINK("https://ceds.ed.gov/elementComment.aspx?elementName=Title I Indicator &amp;elementID=5281", "Click here to submit comment")</f>
        <v>Click here to submit comment</v>
      </c>
    </row>
    <row r="1017" spans="1:16" ht="45">
      <c r="A1017" s="6" t="s">
        <v>6788</v>
      </c>
      <c r="B1017" s="6" t="s">
        <v>6804</v>
      </c>
      <c r="C1017" s="6" t="s">
        <v>6818</v>
      </c>
      <c r="D1017" s="6" t="s">
        <v>4821</v>
      </c>
      <c r="E1017" s="6" t="s">
        <v>4822</v>
      </c>
      <c r="F1017" s="6" t="s">
        <v>13</v>
      </c>
      <c r="G1017" s="6" t="s">
        <v>6051</v>
      </c>
      <c r="H1017" s="6"/>
      <c r="I1017" s="6" t="s">
        <v>73</v>
      </c>
      <c r="J1017" s="6"/>
      <c r="K1017" s="6"/>
      <c r="L1017" s="6" t="s">
        <v>4823</v>
      </c>
      <c r="M1017" s="6"/>
      <c r="N1017" s="6" t="s">
        <v>4824</v>
      </c>
      <c r="O1017" s="6" t="str">
        <f>HYPERLINK("https://ceds.ed.gov/cedselementdetails.aspx?termid=5583")</f>
        <v>https://ceds.ed.gov/cedselementdetails.aspx?termid=5583</v>
      </c>
      <c r="P1017" s="6" t="str">
        <f>HYPERLINK("https://ceds.ed.gov/elementComment.aspx?elementName=Program Participation Start Date &amp;elementID=5583", "Click here to submit comment")</f>
        <v>Click here to submit comment</v>
      </c>
    </row>
    <row r="1018" spans="1:16" ht="45">
      <c r="A1018" s="6" t="s">
        <v>6788</v>
      </c>
      <c r="B1018" s="6" t="s">
        <v>6804</v>
      </c>
      <c r="C1018" s="6" t="s">
        <v>6818</v>
      </c>
      <c r="D1018" s="6" t="s">
        <v>4817</v>
      </c>
      <c r="E1018" s="6" t="s">
        <v>4818</v>
      </c>
      <c r="F1018" s="6" t="s">
        <v>13</v>
      </c>
      <c r="G1018" s="6" t="s">
        <v>218</v>
      </c>
      <c r="H1018" s="6"/>
      <c r="I1018" s="6" t="s">
        <v>73</v>
      </c>
      <c r="J1018" s="6"/>
      <c r="K1018" s="6"/>
      <c r="L1018" s="6" t="s">
        <v>4819</v>
      </c>
      <c r="M1018" s="6"/>
      <c r="N1018" s="6" t="s">
        <v>4820</v>
      </c>
      <c r="O1018" s="6" t="str">
        <f>HYPERLINK("https://ceds.ed.gov/cedselementdetails.aspx?termid=5584")</f>
        <v>https://ceds.ed.gov/cedselementdetails.aspx?termid=5584</v>
      </c>
      <c r="P1018" s="6" t="str">
        <f>HYPERLINK("https://ceds.ed.gov/elementComment.aspx?elementName=Program Participation Exit Date &amp;elementID=5584", "Click here to submit comment")</f>
        <v>Click here to submit comment</v>
      </c>
    </row>
    <row r="1019" spans="1:16" ht="105">
      <c r="A1019" s="6" t="s">
        <v>6788</v>
      </c>
      <c r="B1019" s="6" t="s">
        <v>6804</v>
      </c>
      <c r="C1019" s="6" t="s">
        <v>6818</v>
      </c>
      <c r="D1019" s="6" t="s">
        <v>5172</v>
      </c>
      <c r="E1019" s="6" t="s">
        <v>5173</v>
      </c>
      <c r="F1019" s="6" t="s">
        <v>5963</v>
      </c>
      <c r="G1019" s="6" t="s">
        <v>218</v>
      </c>
      <c r="H1019" s="6"/>
      <c r="I1019" s="6"/>
      <c r="J1019" s="6"/>
      <c r="K1019" s="6"/>
      <c r="L1019" s="6" t="s">
        <v>5175</v>
      </c>
      <c r="M1019" s="6"/>
      <c r="N1019" s="6" t="s">
        <v>5176</v>
      </c>
      <c r="O1019" s="6" t="str">
        <f>HYPERLINK("https://ceds.ed.gov/cedselementdetails.aspx?termid=5235")</f>
        <v>https://ceds.ed.gov/cedselementdetails.aspx?termid=5235</v>
      </c>
      <c r="P1019" s="6" t="str">
        <f>HYPERLINK("https://ceds.ed.gov/elementComment.aspx?elementName=School Choice Applied for Transfer Status &amp;elementID=5235", "Click here to submit comment")</f>
        <v>Click here to submit comment</v>
      </c>
    </row>
    <row r="1020" spans="1:16" ht="165">
      <c r="A1020" s="6" t="s">
        <v>6788</v>
      </c>
      <c r="B1020" s="6" t="s">
        <v>6804</v>
      </c>
      <c r="C1020" s="6" t="s">
        <v>6818</v>
      </c>
      <c r="D1020" s="6" t="s">
        <v>5177</v>
      </c>
      <c r="E1020" s="6" t="s">
        <v>5178</v>
      </c>
      <c r="F1020" s="6" t="s">
        <v>5963</v>
      </c>
      <c r="G1020" s="6" t="s">
        <v>218</v>
      </c>
      <c r="H1020" s="6"/>
      <c r="I1020" s="6"/>
      <c r="J1020" s="6"/>
      <c r="K1020" s="6" t="s">
        <v>5179</v>
      </c>
      <c r="L1020" s="6" t="s">
        <v>5180</v>
      </c>
      <c r="M1020" s="6"/>
      <c r="N1020" s="6" t="s">
        <v>5181</v>
      </c>
      <c r="O1020" s="6" t="str">
        <f>HYPERLINK("https://ceds.ed.gov/cedselementdetails.aspx?termid=5236")</f>
        <v>https://ceds.ed.gov/cedselementdetails.aspx?termid=5236</v>
      </c>
      <c r="P1020" s="6" t="str">
        <f>HYPERLINK("https://ceds.ed.gov/elementComment.aspx?elementName=School Choice Eligible for Transfer Status &amp;elementID=5236", "Click here to submit comment")</f>
        <v>Click here to submit comment</v>
      </c>
    </row>
    <row r="1021" spans="1:16" ht="90">
      <c r="A1021" s="6" t="s">
        <v>6788</v>
      </c>
      <c r="B1021" s="6" t="s">
        <v>6804</v>
      </c>
      <c r="C1021" s="6" t="s">
        <v>6818</v>
      </c>
      <c r="D1021" s="6" t="s">
        <v>5182</v>
      </c>
      <c r="E1021" s="6" t="s">
        <v>5183</v>
      </c>
      <c r="F1021" s="6" t="s">
        <v>5963</v>
      </c>
      <c r="G1021" s="6" t="s">
        <v>5968</v>
      </c>
      <c r="H1021" s="6"/>
      <c r="I1021" s="6"/>
      <c r="J1021" s="6"/>
      <c r="K1021" s="6"/>
      <c r="L1021" s="6" t="s">
        <v>5184</v>
      </c>
      <c r="M1021" s="6"/>
      <c r="N1021" s="6" t="s">
        <v>5185</v>
      </c>
      <c r="O1021" s="6" t="str">
        <f>HYPERLINK("https://ceds.ed.gov/cedselementdetails.aspx?termid=5237")</f>
        <v>https://ceds.ed.gov/cedselementdetails.aspx?termid=5237</v>
      </c>
      <c r="P1021" s="6" t="str">
        <f>HYPERLINK("https://ceds.ed.gov/elementComment.aspx?elementName=School Choice Transfer Status &amp;elementID=5237", "Click here to submit comment")</f>
        <v>Click here to submit comment</v>
      </c>
    </row>
    <row r="1022" spans="1:16" ht="90">
      <c r="A1022" s="6" t="s">
        <v>6788</v>
      </c>
      <c r="B1022" s="6" t="s">
        <v>6804</v>
      </c>
      <c r="C1022" s="6" t="s">
        <v>6818</v>
      </c>
      <c r="D1022" s="6" t="s">
        <v>5772</v>
      </c>
      <c r="E1022" s="6" t="s">
        <v>5773</v>
      </c>
      <c r="F1022" s="6" t="s">
        <v>5963</v>
      </c>
      <c r="G1022" s="6" t="s">
        <v>218</v>
      </c>
      <c r="H1022" s="6"/>
      <c r="I1022" s="6"/>
      <c r="J1022" s="6"/>
      <c r="K1022" s="6"/>
      <c r="L1022" s="6" t="s">
        <v>5774</v>
      </c>
      <c r="M1022" s="6"/>
      <c r="N1022" s="6" t="s">
        <v>5775</v>
      </c>
      <c r="O1022" s="6" t="str">
        <f>HYPERLINK("https://ceds.ed.gov/cedselementdetails.aspx?termid=5286")</f>
        <v>https://ceds.ed.gov/cedselementdetails.aspx?termid=5286</v>
      </c>
      <c r="P1022" s="6" t="str">
        <f>HYPERLINK("https://ceds.ed.gov/elementComment.aspx?elementName=Title I School Supplemental Services Applied Status &amp;elementID=5286", "Click here to submit comment")</f>
        <v>Click here to submit comment</v>
      </c>
    </row>
    <row r="1023" spans="1:16" ht="75">
      <c r="A1023" s="6" t="s">
        <v>6788</v>
      </c>
      <c r="B1023" s="6" t="s">
        <v>6804</v>
      </c>
      <c r="C1023" s="6" t="s">
        <v>6818</v>
      </c>
      <c r="D1023" s="6" t="s">
        <v>5776</v>
      </c>
      <c r="E1023" s="6" t="s">
        <v>5777</v>
      </c>
      <c r="F1023" s="6" t="s">
        <v>5963</v>
      </c>
      <c r="G1023" s="6" t="s">
        <v>218</v>
      </c>
      <c r="H1023" s="6"/>
      <c r="I1023" s="6"/>
      <c r="J1023" s="6"/>
      <c r="K1023" s="6"/>
      <c r="L1023" s="6" t="s">
        <v>5778</v>
      </c>
      <c r="M1023" s="6"/>
      <c r="N1023" s="6" t="s">
        <v>5779</v>
      </c>
      <c r="O1023" s="6" t="str">
        <f>HYPERLINK("https://ceds.ed.gov/cedselementdetails.aspx?termid=5287")</f>
        <v>https://ceds.ed.gov/cedselementdetails.aspx?termid=5287</v>
      </c>
      <c r="P1023" s="6" t="str">
        <f>HYPERLINK("https://ceds.ed.gov/elementComment.aspx?elementName=Title I School Supplemental Services Eligible Status &amp;elementID=5287", "Click here to submit comment")</f>
        <v>Click here to submit comment</v>
      </c>
    </row>
    <row r="1024" spans="1:16" ht="75">
      <c r="A1024" s="6" t="s">
        <v>6788</v>
      </c>
      <c r="B1024" s="6" t="s">
        <v>6804</v>
      </c>
      <c r="C1024" s="6" t="s">
        <v>6818</v>
      </c>
      <c r="D1024" s="6" t="s">
        <v>5780</v>
      </c>
      <c r="E1024" s="6" t="s">
        <v>5781</v>
      </c>
      <c r="F1024" s="6" t="s">
        <v>5963</v>
      </c>
      <c r="G1024" s="6" t="s">
        <v>218</v>
      </c>
      <c r="H1024" s="6"/>
      <c r="I1024" s="6"/>
      <c r="J1024" s="6"/>
      <c r="K1024" s="6"/>
      <c r="L1024" s="6" t="s">
        <v>5782</v>
      </c>
      <c r="M1024" s="6"/>
      <c r="N1024" s="6" t="s">
        <v>5783</v>
      </c>
      <c r="O1024" s="6" t="str">
        <f>HYPERLINK("https://ceds.ed.gov/cedselementdetails.aspx?termid=5288")</f>
        <v>https://ceds.ed.gov/cedselementdetails.aspx?termid=5288</v>
      </c>
      <c r="P1024" s="6" t="str">
        <f>HYPERLINK("https://ceds.ed.gov/elementComment.aspx?elementName=Title I School Supplemental Services Received Status &amp;elementID=5288", "Click here to submit comment")</f>
        <v>Click here to submit comment</v>
      </c>
    </row>
    <row r="1025" spans="1:16" ht="60">
      <c r="A1025" s="6" t="s">
        <v>6788</v>
      </c>
      <c r="B1025" s="6" t="s">
        <v>6804</v>
      </c>
      <c r="C1025" s="6" t="s">
        <v>6818</v>
      </c>
      <c r="D1025" s="6" t="s">
        <v>5784</v>
      </c>
      <c r="E1025" s="6" t="s">
        <v>5785</v>
      </c>
      <c r="F1025" s="6" t="s">
        <v>5963</v>
      </c>
      <c r="G1025" s="6" t="s">
        <v>218</v>
      </c>
      <c r="H1025" s="6"/>
      <c r="I1025" s="6"/>
      <c r="J1025" s="6"/>
      <c r="K1025" s="6"/>
      <c r="L1025" s="6" t="s">
        <v>5786</v>
      </c>
      <c r="M1025" s="6"/>
      <c r="N1025" s="6" t="s">
        <v>5787</v>
      </c>
      <c r="O1025" s="6" t="str">
        <f>HYPERLINK("https://ceds.ed.gov/cedselementdetails.aspx?termid=5541")</f>
        <v>https://ceds.ed.gov/cedselementdetails.aspx?termid=5541</v>
      </c>
      <c r="P1025" s="6" t="str">
        <f>HYPERLINK("https://ceds.ed.gov/elementComment.aspx?elementName=Title I Schoolwide Program Participation &amp;elementID=5541", "Click here to submit comment")</f>
        <v>Click here to submit comment</v>
      </c>
    </row>
    <row r="1026" spans="1:16" ht="75">
      <c r="A1026" s="6" t="s">
        <v>6788</v>
      </c>
      <c r="B1026" s="6" t="s">
        <v>6804</v>
      </c>
      <c r="C1026" s="6" t="s">
        <v>6818</v>
      </c>
      <c r="D1026" s="6" t="s">
        <v>5792</v>
      </c>
      <c r="E1026" s="6" t="s">
        <v>5793</v>
      </c>
      <c r="F1026" s="6" t="s">
        <v>5963</v>
      </c>
      <c r="G1026" s="6" t="s">
        <v>218</v>
      </c>
      <c r="H1026" s="6"/>
      <c r="I1026" s="6"/>
      <c r="J1026" s="6"/>
      <c r="K1026" s="6"/>
      <c r="L1026" s="6" t="s">
        <v>5794</v>
      </c>
      <c r="M1026" s="6"/>
      <c r="N1026" s="6" t="s">
        <v>5795</v>
      </c>
      <c r="O1026" s="6" t="str">
        <f>HYPERLINK("https://ceds.ed.gov/cedselementdetails.aspx?termid=5542")</f>
        <v>https://ceds.ed.gov/cedselementdetails.aspx?termid=5542</v>
      </c>
      <c r="P1026" s="6" t="str">
        <f>HYPERLINK("https://ceds.ed.gov/elementComment.aspx?elementName=Title I Targeted Assistance Participation &amp;elementID=5542", "Click here to submit comment")</f>
        <v>Click here to submit comment</v>
      </c>
    </row>
    <row r="1027" spans="1:16" ht="330">
      <c r="A1027" s="6" t="s">
        <v>6788</v>
      </c>
      <c r="B1027" s="6" t="s">
        <v>6804</v>
      </c>
      <c r="C1027" s="6" t="s">
        <v>6739</v>
      </c>
      <c r="D1027" s="6" t="s">
        <v>3259</v>
      </c>
      <c r="E1027" s="6" t="s">
        <v>3260</v>
      </c>
      <c r="F1027" s="7" t="s">
        <v>6552</v>
      </c>
      <c r="G1027" s="6" t="s">
        <v>5988</v>
      </c>
      <c r="H1027" s="6"/>
      <c r="I1027" s="6"/>
      <c r="J1027" s="6"/>
      <c r="K1027" s="6"/>
      <c r="L1027" s="6" t="s">
        <v>3261</v>
      </c>
      <c r="M1027" s="6"/>
      <c r="N1027" s="6" t="s">
        <v>3262</v>
      </c>
      <c r="O1027" s="6" t="str">
        <f>HYPERLINK("https://ceds.ed.gov/cedselementdetails.aspx?termid=5320")</f>
        <v>https://ceds.ed.gov/cedselementdetails.aspx?termid=5320</v>
      </c>
      <c r="P1027" s="6" t="str">
        <f>HYPERLINK("https://ceds.ed.gov/elementComment.aspx?elementName=Individualized Program Type &amp;elementID=5320", "Click here to submit comment")</f>
        <v>Click here to submit comment</v>
      </c>
    </row>
    <row r="1028" spans="1:16" ht="135">
      <c r="A1028" s="6" t="s">
        <v>6788</v>
      </c>
      <c r="B1028" s="6" t="s">
        <v>6804</v>
      </c>
      <c r="C1028" s="6" t="s">
        <v>6739</v>
      </c>
      <c r="D1028" s="6" t="s">
        <v>3203</v>
      </c>
      <c r="E1028" s="6" t="s">
        <v>3204</v>
      </c>
      <c r="F1028" s="7" t="s">
        <v>6549</v>
      </c>
      <c r="G1028" s="6"/>
      <c r="H1028" s="6"/>
      <c r="I1028" s="6"/>
      <c r="J1028" s="6"/>
      <c r="K1028" s="6"/>
      <c r="L1028" s="6" t="s">
        <v>3205</v>
      </c>
      <c r="M1028" s="6"/>
      <c r="N1028" s="6" t="s">
        <v>3206</v>
      </c>
      <c r="O1028" s="6" t="str">
        <f>HYPERLINK("https://ceds.ed.gov/cedselementdetails.aspx?termid=6196")</f>
        <v>https://ceds.ed.gov/cedselementdetails.aspx?termid=6196</v>
      </c>
      <c r="P1028" s="6" t="str">
        <f>HYPERLINK("https://ceds.ed.gov/elementComment.aspx?elementName=Individualized Program Date Type &amp;elementID=6196", "Click here to submit comment")</f>
        <v>Click here to submit comment</v>
      </c>
    </row>
    <row r="1029" spans="1:16" ht="45">
      <c r="A1029" s="6" t="s">
        <v>6788</v>
      </c>
      <c r="B1029" s="6" t="s">
        <v>6804</v>
      </c>
      <c r="C1029" s="6" t="s">
        <v>6739</v>
      </c>
      <c r="D1029" s="6" t="s">
        <v>3199</v>
      </c>
      <c r="E1029" s="6" t="s">
        <v>3200</v>
      </c>
      <c r="F1029" s="6" t="s">
        <v>13</v>
      </c>
      <c r="G1029" s="6"/>
      <c r="H1029" s="6" t="s">
        <v>3</v>
      </c>
      <c r="I1029" s="6" t="s">
        <v>73</v>
      </c>
      <c r="J1029" s="6"/>
      <c r="K1029" s="6"/>
      <c r="L1029" s="6" t="s">
        <v>3201</v>
      </c>
      <c r="M1029" s="6"/>
      <c r="N1029" s="6" t="s">
        <v>3202</v>
      </c>
      <c r="O1029" s="6" t="str">
        <f>HYPERLINK("https://ceds.ed.gov/cedselementdetails.aspx?termid=6197")</f>
        <v>https://ceds.ed.gov/cedselementdetails.aspx?termid=6197</v>
      </c>
      <c r="P1029" s="6" t="str">
        <f>HYPERLINK("https://ceds.ed.gov/elementComment.aspx?elementName=Individualized Program Date &amp;elementID=6197", "Click here to submit comment")</f>
        <v>Click here to submit comment</v>
      </c>
    </row>
    <row r="1030" spans="1:16" ht="60">
      <c r="A1030" s="6" t="s">
        <v>6788</v>
      </c>
      <c r="B1030" s="6" t="s">
        <v>6804</v>
      </c>
      <c r="C1030" s="6" t="s">
        <v>6739</v>
      </c>
      <c r="D1030" s="6" t="s">
        <v>3211</v>
      </c>
      <c r="E1030" s="6" t="s">
        <v>3212</v>
      </c>
      <c r="F1030" s="6" t="s">
        <v>13</v>
      </c>
      <c r="G1030" s="6"/>
      <c r="H1030" s="6"/>
      <c r="I1030" s="6" t="s">
        <v>575</v>
      </c>
      <c r="J1030" s="6"/>
      <c r="K1030" s="6"/>
      <c r="L1030" s="6" t="s">
        <v>3213</v>
      </c>
      <c r="M1030" s="6"/>
      <c r="N1030" s="6" t="s">
        <v>3214</v>
      </c>
      <c r="O1030" s="6" t="str">
        <f>HYPERLINK("https://ceds.ed.gov/cedselementdetails.aspx?termid=6198")</f>
        <v>https://ceds.ed.gov/cedselementdetails.aspx?termid=6198</v>
      </c>
      <c r="P1030" s="6" t="str">
        <f>HYPERLINK("https://ceds.ed.gov/elementComment.aspx?elementName=Individualized Program NonInclusion Minutes Per Week &amp;elementID=6198", "Click here to submit comment")</f>
        <v>Click here to submit comment</v>
      </c>
    </row>
    <row r="1031" spans="1:16" ht="60">
      <c r="A1031" s="6" t="s">
        <v>6788</v>
      </c>
      <c r="B1031" s="6" t="s">
        <v>6804</v>
      </c>
      <c r="C1031" s="6" t="s">
        <v>6739</v>
      </c>
      <c r="D1031" s="6" t="s">
        <v>3207</v>
      </c>
      <c r="E1031" s="6" t="s">
        <v>3208</v>
      </c>
      <c r="F1031" s="6" t="s">
        <v>13</v>
      </c>
      <c r="G1031" s="6"/>
      <c r="H1031" s="6"/>
      <c r="I1031" s="6" t="s">
        <v>575</v>
      </c>
      <c r="J1031" s="6"/>
      <c r="K1031" s="6"/>
      <c r="L1031" s="6" t="s">
        <v>3209</v>
      </c>
      <c r="M1031" s="6"/>
      <c r="N1031" s="6" t="s">
        <v>3210</v>
      </c>
      <c r="O1031" s="6" t="str">
        <f>HYPERLINK("https://ceds.ed.gov/cedselementdetails.aspx?termid=6199")</f>
        <v>https://ceds.ed.gov/cedselementdetails.aspx?termid=6199</v>
      </c>
      <c r="P1031" s="6" t="str">
        <f>HYPERLINK("https://ceds.ed.gov/elementComment.aspx?elementName=Individualized Program Inclusion Minutes Per Week &amp;elementID=6199", "Click here to submit comment")</f>
        <v>Click here to submit comment</v>
      </c>
    </row>
    <row r="1032" spans="1:16" ht="75">
      <c r="A1032" s="6" t="s">
        <v>6788</v>
      </c>
      <c r="B1032" s="6" t="s">
        <v>6804</v>
      </c>
      <c r="C1032" s="6" t="s">
        <v>6739</v>
      </c>
      <c r="D1032" s="6" t="s">
        <v>3255</v>
      </c>
      <c r="E1032" s="6" t="s">
        <v>3256</v>
      </c>
      <c r="F1032" s="7" t="s">
        <v>6551</v>
      </c>
      <c r="G1032" s="6"/>
      <c r="H1032" s="6"/>
      <c r="I1032" s="6"/>
      <c r="J1032" s="6"/>
      <c r="K1032" s="6"/>
      <c r="L1032" s="6" t="s">
        <v>3257</v>
      </c>
      <c r="M1032" s="6"/>
      <c r="N1032" s="6" t="s">
        <v>3258</v>
      </c>
      <c r="O1032" s="6" t="str">
        <f>HYPERLINK("https://ceds.ed.gov/cedselementdetails.aspx?termid=6200")</f>
        <v>https://ceds.ed.gov/cedselementdetails.aspx?termid=6200</v>
      </c>
      <c r="P1032" s="6" t="str">
        <f>HYPERLINK("https://ceds.ed.gov/elementComment.aspx?elementName=Individualized Program Transition Plan Type &amp;elementID=6200", "Click here to submit comment")</f>
        <v>Click here to submit comment</v>
      </c>
    </row>
    <row r="1033" spans="1:16" ht="45">
      <c r="A1033" s="6" t="s">
        <v>6788</v>
      </c>
      <c r="B1033" s="6" t="s">
        <v>6804</v>
      </c>
      <c r="C1033" s="6" t="s">
        <v>6739</v>
      </c>
      <c r="D1033" s="6" t="s">
        <v>3231</v>
      </c>
      <c r="E1033" s="6" t="s">
        <v>3232</v>
      </c>
      <c r="F1033" s="6" t="s">
        <v>13</v>
      </c>
      <c r="G1033" s="6"/>
      <c r="H1033" s="6"/>
      <c r="I1033" s="6" t="s">
        <v>73</v>
      </c>
      <c r="J1033" s="6"/>
      <c r="K1033" s="6"/>
      <c r="L1033" s="6" t="s">
        <v>3233</v>
      </c>
      <c r="M1033" s="6"/>
      <c r="N1033" s="6" t="s">
        <v>3234</v>
      </c>
      <c r="O1033" s="6" t="str">
        <f>HYPERLINK("https://ceds.ed.gov/cedselementdetails.aspx?termid=6201")</f>
        <v>https://ceds.ed.gov/cedselementdetails.aspx?termid=6201</v>
      </c>
      <c r="P1033" s="6" t="str">
        <f>HYPERLINK("https://ceds.ed.gov/elementComment.aspx?elementName=Individualized Program Service Plan Date &amp;elementID=6201", "Click here to submit comment")</f>
        <v>Click here to submit comment</v>
      </c>
    </row>
    <row r="1034" spans="1:16" ht="345">
      <c r="A1034" s="6" t="s">
        <v>6788</v>
      </c>
      <c r="B1034" s="6" t="s">
        <v>6804</v>
      </c>
      <c r="C1034" s="6" t="s">
        <v>6739</v>
      </c>
      <c r="D1034" s="6" t="s">
        <v>3235</v>
      </c>
      <c r="E1034" s="6" t="s">
        <v>3236</v>
      </c>
      <c r="F1034" s="7" t="s">
        <v>6550</v>
      </c>
      <c r="G1034" s="6"/>
      <c r="H1034" s="6"/>
      <c r="I1034" s="6"/>
      <c r="J1034" s="6"/>
      <c r="K1034" s="6"/>
      <c r="L1034" s="6" t="s">
        <v>3237</v>
      </c>
      <c r="M1034" s="6"/>
      <c r="N1034" s="6" t="s">
        <v>3238</v>
      </c>
      <c r="O1034" s="6" t="str">
        <f>HYPERLINK("https://ceds.ed.gov/cedselementdetails.aspx?termid=6202")</f>
        <v>https://ceds.ed.gov/cedselementdetails.aspx?termid=6202</v>
      </c>
      <c r="P1034" s="6" t="str">
        <f>HYPERLINK("https://ceds.ed.gov/elementComment.aspx?elementName=Individualized Program Service Plan Meeting Location &amp;elementID=6202", "Click here to submit comment")</f>
        <v>Click here to submit comment</v>
      </c>
    </row>
    <row r="1035" spans="1:16" ht="60">
      <c r="A1035" s="6" t="s">
        <v>6788</v>
      </c>
      <c r="B1035" s="6" t="s">
        <v>6804</v>
      </c>
      <c r="C1035" s="6" t="s">
        <v>6739</v>
      </c>
      <c r="D1035" s="6" t="s">
        <v>3239</v>
      </c>
      <c r="E1035" s="6" t="s">
        <v>3240</v>
      </c>
      <c r="F1035" s="6" t="s">
        <v>13</v>
      </c>
      <c r="G1035" s="6"/>
      <c r="H1035" s="6"/>
      <c r="I1035" s="6" t="s">
        <v>319</v>
      </c>
      <c r="J1035" s="6"/>
      <c r="K1035" s="6"/>
      <c r="L1035" s="6" t="s">
        <v>3241</v>
      </c>
      <c r="M1035" s="6"/>
      <c r="N1035" s="6" t="s">
        <v>3242</v>
      </c>
      <c r="O1035" s="6" t="str">
        <f>HYPERLINK("https://ceds.ed.gov/cedselementdetails.aspx?termid=6203")</f>
        <v>https://ceds.ed.gov/cedselementdetails.aspx?termid=6203</v>
      </c>
      <c r="P1035" s="6" t="str">
        <f>HYPERLINK("https://ceds.ed.gov/elementComment.aspx?elementName=Individualized Program Service Plan Meeting Participants &amp;elementID=6203", "Click here to submit comment")</f>
        <v>Click here to submit comment</v>
      </c>
    </row>
    <row r="1036" spans="1:16" ht="45">
      <c r="A1036" s="6" t="s">
        <v>6788</v>
      </c>
      <c r="B1036" s="6" t="s">
        <v>6804</v>
      </c>
      <c r="C1036" s="6" t="s">
        <v>6739</v>
      </c>
      <c r="D1036" s="6" t="s">
        <v>3251</v>
      </c>
      <c r="E1036" s="6" t="s">
        <v>3252</v>
      </c>
      <c r="F1036" s="6" t="s">
        <v>13</v>
      </c>
      <c r="G1036" s="6"/>
      <c r="H1036" s="6"/>
      <c r="I1036" s="6" t="s">
        <v>319</v>
      </c>
      <c r="J1036" s="6"/>
      <c r="K1036" s="6"/>
      <c r="L1036" s="6" t="s">
        <v>3253</v>
      </c>
      <c r="M1036" s="6"/>
      <c r="N1036" s="6" t="s">
        <v>3254</v>
      </c>
      <c r="O1036" s="6" t="str">
        <f>HYPERLINK("https://ceds.ed.gov/cedselementdetails.aspx?termid=6204")</f>
        <v>https://ceds.ed.gov/cedselementdetails.aspx?termid=6204</v>
      </c>
      <c r="P1036" s="6" t="str">
        <f>HYPERLINK("https://ceds.ed.gov/elementComment.aspx?elementName=Individualized Program Service Plan Signed By &amp;elementID=6204", "Click here to submit comment")</f>
        <v>Click here to submit comment</v>
      </c>
    </row>
    <row r="1037" spans="1:16" ht="60">
      <c r="A1037" s="6" t="s">
        <v>6788</v>
      </c>
      <c r="B1037" s="6" t="s">
        <v>6804</v>
      </c>
      <c r="C1037" s="6" t="s">
        <v>6739</v>
      </c>
      <c r="D1037" s="6" t="s">
        <v>3247</v>
      </c>
      <c r="E1037" s="6" t="s">
        <v>3248</v>
      </c>
      <c r="F1037" s="6" t="s">
        <v>13</v>
      </c>
      <c r="G1037" s="6"/>
      <c r="H1037" s="6"/>
      <c r="I1037" s="6" t="s">
        <v>73</v>
      </c>
      <c r="J1037" s="6"/>
      <c r="K1037" s="6"/>
      <c r="L1037" s="6" t="s">
        <v>3249</v>
      </c>
      <c r="M1037" s="6"/>
      <c r="N1037" s="6" t="s">
        <v>3250</v>
      </c>
      <c r="O1037" s="6" t="str">
        <f>HYPERLINK("https://ceds.ed.gov/cedselementdetails.aspx?termid=6205")</f>
        <v>https://ceds.ed.gov/cedselementdetails.aspx?termid=6205</v>
      </c>
      <c r="P1037" s="6" t="str">
        <f>HYPERLINK("https://ceds.ed.gov/elementComment.aspx?elementName=Individualized Program Service Plan Signature Date &amp;elementID=6205", "Click here to submit comment")</f>
        <v>Click here to submit comment</v>
      </c>
    </row>
    <row r="1038" spans="1:16" ht="60">
      <c r="A1038" s="6" t="s">
        <v>6788</v>
      </c>
      <c r="B1038" s="6" t="s">
        <v>6804</v>
      </c>
      <c r="C1038" s="6" t="s">
        <v>6739</v>
      </c>
      <c r="D1038" s="6" t="s">
        <v>3243</v>
      </c>
      <c r="E1038" s="6" t="s">
        <v>3244</v>
      </c>
      <c r="F1038" s="6" t="s">
        <v>13</v>
      </c>
      <c r="G1038" s="6"/>
      <c r="H1038" s="6"/>
      <c r="I1038" s="6" t="s">
        <v>73</v>
      </c>
      <c r="J1038" s="6"/>
      <c r="K1038" s="6"/>
      <c r="L1038" s="6" t="s">
        <v>3245</v>
      </c>
      <c r="M1038" s="6"/>
      <c r="N1038" s="6" t="s">
        <v>3246</v>
      </c>
      <c r="O1038" s="6" t="str">
        <f>HYPERLINK("https://ceds.ed.gov/cedselementdetails.aspx?termid=6207")</f>
        <v>https://ceds.ed.gov/cedselementdetails.aspx?termid=6207</v>
      </c>
      <c r="P1038" s="6" t="str">
        <f>HYPERLINK("https://ceds.ed.gov/elementComment.aspx?elementName=Individualized Program Service Plan Reevaluation Date &amp;elementID=6207", "Click here to submit comment")</f>
        <v>Click here to submit comment</v>
      </c>
    </row>
    <row r="1039" spans="1:16" ht="409.5">
      <c r="A1039" s="6" t="s">
        <v>6788</v>
      </c>
      <c r="B1039" s="6" t="s">
        <v>6804</v>
      </c>
      <c r="C1039" s="6" t="s">
        <v>6739</v>
      </c>
      <c r="D1039" s="6" t="s">
        <v>5622</v>
      </c>
      <c r="E1039" s="6" t="s">
        <v>5623</v>
      </c>
      <c r="F1039" s="7" t="s">
        <v>6666</v>
      </c>
      <c r="G1039" s="6"/>
      <c r="H1039" s="6"/>
      <c r="I1039" s="6"/>
      <c r="J1039" s="6"/>
      <c r="K1039" s="6"/>
      <c r="L1039" s="6" t="s">
        <v>5624</v>
      </c>
      <c r="M1039" s="6"/>
      <c r="N1039" s="6" t="s">
        <v>5625</v>
      </c>
      <c r="O1039" s="6" t="str">
        <f>HYPERLINK("https://ceds.ed.gov/cedselementdetails.aspx?termid=5273")</f>
        <v>https://ceds.ed.gov/cedselementdetails.aspx?termid=5273</v>
      </c>
      <c r="P1039" s="6" t="str">
        <f>HYPERLINK("https://ceds.ed.gov/elementComment.aspx?elementName=Student Support Service Type &amp;elementID=5273", "Click here to submit comment")</f>
        <v>Click here to submit comment</v>
      </c>
    </row>
    <row r="1040" spans="1:16" ht="60">
      <c r="A1040" s="6" t="s">
        <v>6788</v>
      </c>
      <c r="B1040" s="6" t="s">
        <v>6804</v>
      </c>
      <c r="C1040" s="6" t="s">
        <v>6819</v>
      </c>
      <c r="D1040" s="6" t="s">
        <v>4069</v>
      </c>
      <c r="E1040" s="6" t="s">
        <v>4070</v>
      </c>
      <c r="F1040" s="6" t="s">
        <v>6253</v>
      </c>
      <c r="G1040" s="6" t="s">
        <v>1480</v>
      </c>
      <c r="H1040" s="6"/>
      <c r="I1040" s="6"/>
      <c r="J1040" s="6"/>
      <c r="K1040" s="6"/>
      <c r="L1040" s="6" t="s">
        <v>4072</v>
      </c>
      <c r="M1040" s="6"/>
      <c r="N1040" s="6" t="s">
        <v>4073</v>
      </c>
      <c r="O1040" s="6" t="str">
        <f>HYPERLINK("https://ceds.ed.gov/cedselementdetails.aspx?termid=5429")</f>
        <v>https://ceds.ed.gov/cedselementdetails.aspx?termid=5429</v>
      </c>
      <c r="P1040" s="6" t="str">
        <f>HYPERLINK("https://ceds.ed.gov/elementComment.aspx?elementName=Medical Alert Indicator &amp;elementID=5429", "Click here to submit comment")</f>
        <v>Click here to submit comment</v>
      </c>
    </row>
    <row r="1041" spans="1:16" ht="45">
      <c r="A1041" s="6" t="s">
        <v>6788</v>
      </c>
      <c r="B1041" s="6" t="s">
        <v>6804</v>
      </c>
      <c r="C1041" s="6" t="s">
        <v>6819</v>
      </c>
      <c r="D1041" s="6" t="s">
        <v>317</v>
      </c>
      <c r="E1041" s="6" t="s">
        <v>318</v>
      </c>
      <c r="F1041" s="6" t="s">
        <v>13</v>
      </c>
      <c r="G1041" s="6"/>
      <c r="H1041" s="6" t="s">
        <v>54</v>
      </c>
      <c r="I1041" s="6" t="s">
        <v>319</v>
      </c>
      <c r="J1041" s="6"/>
      <c r="K1041" s="6"/>
      <c r="L1041" s="6" t="s">
        <v>320</v>
      </c>
      <c r="M1041" s="6"/>
      <c r="N1041" s="6" t="s">
        <v>321</v>
      </c>
      <c r="O1041" s="6" t="str">
        <f>HYPERLINK("https://ceds.ed.gov/cedselementdetails.aspx?termid=6247")</f>
        <v>https://ceds.ed.gov/cedselementdetails.aspx?termid=6247</v>
      </c>
      <c r="P1041" s="6" t="str">
        <f>HYPERLINK("https://ceds.ed.gov/elementComment.aspx?elementName=Allergy Reaction Description &amp;elementID=6247", "Click here to submit comment")</f>
        <v>Click here to submit comment</v>
      </c>
    </row>
    <row r="1042" spans="1:16" ht="45">
      <c r="A1042" s="6" t="s">
        <v>6788</v>
      </c>
      <c r="B1042" s="6" t="s">
        <v>6804</v>
      </c>
      <c r="C1042" s="6" t="s">
        <v>6819</v>
      </c>
      <c r="D1042" s="6" t="s">
        <v>322</v>
      </c>
      <c r="E1042" s="6" t="s">
        <v>323</v>
      </c>
      <c r="F1042" s="6" t="s">
        <v>5984</v>
      </c>
      <c r="G1042" s="6"/>
      <c r="H1042" s="6" t="s">
        <v>54</v>
      </c>
      <c r="I1042" s="6"/>
      <c r="J1042" s="6"/>
      <c r="K1042" s="6"/>
      <c r="L1042" s="6" t="s">
        <v>324</v>
      </c>
      <c r="M1042" s="6"/>
      <c r="N1042" s="6" t="s">
        <v>325</v>
      </c>
      <c r="O1042" s="6" t="str">
        <f>HYPERLINK("https://ceds.ed.gov/cedselementdetails.aspx?termid=6248")</f>
        <v>https://ceds.ed.gov/cedselementdetails.aspx?termid=6248</v>
      </c>
      <c r="P1042" s="6" t="str">
        <f>HYPERLINK("https://ceds.ed.gov/elementComment.aspx?elementName=Allergy Severity &amp;elementID=6248", "Click here to submit comment")</f>
        <v>Click here to submit comment</v>
      </c>
    </row>
    <row r="1043" spans="1:16" ht="409.5">
      <c r="A1043" s="6" t="s">
        <v>6788</v>
      </c>
      <c r="B1043" s="6" t="s">
        <v>6804</v>
      </c>
      <c r="C1043" s="6" t="s">
        <v>6819</v>
      </c>
      <c r="D1043" s="6" t="s">
        <v>326</v>
      </c>
      <c r="E1043" s="6" t="s">
        <v>327</v>
      </c>
      <c r="F1043" s="7" t="s">
        <v>6370</v>
      </c>
      <c r="G1043" s="6"/>
      <c r="H1043" s="6" t="s">
        <v>54</v>
      </c>
      <c r="I1043" s="6"/>
      <c r="J1043" s="6"/>
      <c r="K1043" s="6" t="s">
        <v>328</v>
      </c>
      <c r="L1043" s="6" t="s">
        <v>329</v>
      </c>
      <c r="M1043" s="6"/>
      <c r="N1043" s="6" t="s">
        <v>330</v>
      </c>
      <c r="O1043" s="6" t="str">
        <f>HYPERLINK("https://ceds.ed.gov/cedselementdetails.aspx?termid=6249")</f>
        <v>https://ceds.ed.gov/cedselementdetails.aspx?termid=6249</v>
      </c>
      <c r="P1043" s="6" t="str">
        <f>HYPERLINK("https://ceds.ed.gov/elementComment.aspx?elementName=Allergy Type &amp;elementID=6249", "Click here to submit comment")</f>
        <v>Click here to submit comment</v>
      </c>
    </row>
    <row r="1044" spans="1:16" ht="30">
      <c r="A1044" s="6" t="s">
        <v>6788</v>
      </c>
      <c r="B1044" s="6" t="s">
        <v>6804</v>
      </c>
      <c r="C1044" s="6" t="s">
        <v>6819</v>
      </c>
      <c r="D1044" s="6" t="s">
        <v>2933</v>
      </c>
      <c r="E1044" s="6" t="s">
        <v>2934</v>
      </c>
      <c r="F1044" s="6" t="s">
        <v>13</v>
      </c>
      <c r="G1044" s="6"/>
      <c r="H1044" s="6" t="s">
        <v>3</v>
      </c>
      <c r="I1044" s="6" t="s">
        <v>73</v>
      </c>
      <c r="J1044" s="6"/>
      <c r="K1044" s="6"/>
      <c r="L1044" s="6" t="s">
        <v>2935</v>
      </c>
      <c r="M1044" s="6"/>
      <c r="N1044" s="6" t="s">
        <v>2936</v>
      </c>
      <c r="O1044" s="6" t="str">
        <f>HYPERLINK("https://ceds.ed.gov/cedselementdetails.aspx?termid=5681")</f>
        <v>https://ceds.ed.gov/cedselementdetails.aspx?termid=5681</v>
      </c>
      <c r="P1044" s="6" t="str">
        <f>HYPERLINK("https://ceds.ed.gov/elementComment.aspx?elementName=Hearing Screening Date &amp;elementID=5681", "Click here to submit comment")</f>
        <v>Click here to submit comment</v>
      </c>
    </row>
    <row r="1045" spans="1:16" ht="75">
      <c r="A1045" s="6" t="s">
        <v>6788</v>
      </c>
      <c r="B1045" s="6" t="s">
        <v>6804</v>
      </c>
      <c r="C1045" s="6" t="s">
        <v>6819</v>
      </c>
      <c r="D1045" s="6" t="s">
        <v>2937</v>
      </c>
      <c r="E1045" s="6" t="s">
        <v>2938</v>
      </c>
      <c r="F1045" s="7" t="s">
        <v>6526</v>
      </c>
      <c r="G1045" s="6" t="s">
        <v>2158</v>
      </c>
      <c r="H1045" s="6" t="s">
        <v>3</v>
      </c>
      <c r="I1045" s="6"/>
      <c r="J1045" s="6"/>
      <c r="K1045" s="6"/>
      <c r="L1045" s="6" t="s">
        <v>2939</v>
      </c>
      <c r="M1045" s="6"/>
      <c r="N1045" s="6" t="s">
        <v>2940</v>
      </c>
      <c r="O1045" s="6" t="str">
        <f>HYPERLINK("https://ceds.ed.gov/cedselementdetails.aspx?termid=5309")</f>
        <v>https://ceds.ed.gov/cedselementdetails.aspx?termid=5309</v>
      </c>
      <c r="P1045" s="6" t="str">
        <f>HYPERLINK("https://ceds.ed.gov/elementComment.aspx?elementName=Hearing Screening Status &amp;elementID=5309", "Click here to submit comment")</f>
        <v>Click here to submit comment</v>
      </c>
    </row>
    <row r="1046" spans="1:16" ht="75">
      <c r="A1046" s="6" t="s">
        <v>6788</v>
      </c>
      <c r="B1046" s="6" t="s">
        <v>6804</v>
      </c>
      <c r="C1046" s="6" t="s">
        <v>6819</v>
      </c>
      <c r="D1046" s="6" t="s">
        <v>3084</v>
      </c>
      <c r="E1046" s="6" t="s">
        <v>3085</v>
      </c>
      <c r="F1046" s="6" t="s">
        <v>13</v>
      </c>
      <c r="G1046" s="6" t="s">
        <v>6204</v>
      </c>
      <c r="H1046" s="6"/>
      <c r="I1046" s="6" t="s">
        <v>73</v>
      </c>
      <c r="J1046" s="6"/>
      <c r="K1046" s="6"/>
      <c r="L1046" s="6" t="s">
        <v>3086</v>
      </c>
      <c r="M1046" s="6"/>
      <c r="N1046" s="6" t="s">
        <v>3087</v>
      </c>
      <c r="O1046" s="6" t="str">
        <f>HYPERLINK("https://ceds.ed.gov/cedselementdetails.aspx?termid=5306")</f>
        <v>https://ceds.ed.gov/cedselementdetails.aspx?termid=5306</v>
      </c>
      <c r="P1046" s="6" t="str">
        <f>HYPERLINK("https://ceds.ed.gov/elementComment.aspx?elementName=Immunization Date &amp;elementID=5306", "Click here to submit comment")</f>
        <v>Click here to submit comment</v>
      </c>
    </row>
    <row r="1047" spans="1:16" ht="409.5">
      <c r="A1047" s="6" t="s">
        <v>6788</v>
      </c>
      <c r="B1047" s="6" t="s">
        <v>6804</v>
      </c>
      <c r="C1047" s="6" t="s">
        <v>6819</v>
      </c>
      <c r="D1047" s="6" t="s">
        <v>3096</v>
      </c>
      <c r="E1047" s="6" t="s">
        <v>3097</v>
      </c>
      <c r="F1047" s="7" t="s">
        <v>6540</v>
      </c>
      <c r="G1047" s="6"/>
      <c r="H1047" s="6"/>
      <c r="I1047" s="6"/>
      <c r="J1047" s="6"/>
      <c r="K1047" s="6"/>
      <c r="L1047" s="6" t="s">
        <v>3098</v>
      </c>
      <c r="M1047" s="6"/>
      <c r="N1047" s="6" t="s">
        <v>3099</v>
      </c>
      <c r="O1047" s="6" t="str">
        <f>HYPERLINK("https://ceds.ed.gov/cedselementdetails.aspx?termid=6214")</f>
        <v>https://ceds.ed.gov/cedselementdetails.aspx?termid=6214</v>
      </c>
      <c r="P1047" s="6" t="str">
        <f>HYPERLINK("https://ceds.ed.gov/elementComment.aspx?elementName=Immunization Type &amp;elementID=6214", "Click here to submit comment")</f>
        <v>Click here to submit comment</v>
      </c>
    </row>
    <row r="1048" spans="1:16" ht="30">
      <c r="A1048" s="6" t="s">
        <v>6788</v>
      </c>
      <c r="B1048" s="6" t="s">
        <v>6804</v>
      </c>
      <c r="C1048" s="6" t="s">
        <v>6819</v>
      </c>
      <c r="D1048" s="6" t="s">
        <v>5883</v>
      </c>
      <c r="E1048" s="6" t="s">
        <v>5884</v>
      </c>
      <c r="F1048" s="6" t="s">
        <v>13</v>
      </c>
      <c r="G1048" s="6"/>
      <c r="H1048" s="6" t="s">
        <v>3</v>
      </c>
      <c r="I1048" s="6" t="s">
        <v>73</v>
      </c>
      <c r="J1048" s="6"/>
      <c r="K1048" s="6"/>
      <c r="L1048" s="6" t="s">
        <v>5885</v>
      </c>
      <c r="M1048" s="6"/>
      <c r="N1048" s="6" t="s">
        <v>5886</v>
      </c>
      <c r="O1048" s="6" t="str">
        <f>HYPERLINK("https://ceds.ed.gov/cedselementdetails.aspx?termid=5680")</f>
        <v>https://ceds.ed.gov/cedselementdetails.aspx?termid=5680</v>
      </c>
      <c r="P1048" s="6" t="str">
        <f>HYPERLINK("https://ceds.ed.gov/elementComment.aspx?elementName=Vision Screening Date &amp;elementID=5680", "Click here to submit comment")</f>
        <v>Click here to submit comment</v>
      </c>
    </row>
    <row r="1049" spans="1:16" ht="75">
      <c r="A1049" s="6" t="s">
        <v>6788</v>
      </c>
      <c r="B1049" s="6" t="s">
        <v>6804</v>
      </c>
      <c r="C1049" s="6" t="s">
        <v>6819</v>
      </c>
      <c r="D1049" s="6" t="s">
        <v>5887</v>
      </c>
      <c r="E1049" s="6" t="s">
        <v>5888</v>
      </c>
      <c r="F1049" s="7" t="s">
        <v>6526</v>
      </c>
      <c r="G1049" s="6" t="s">
        <v>2158</v>
      </c>
      <c r="H1049" s="6" t="s">
        <v>3</v>
      </c>
      <c r="I1049" s="6"/>
      <c r="J1049" s="6"/>
      <c r="K1049" s="6"/>
      <c r="L1049" s="6" t="s">
        <v>5889</v>
      </c>
      <c r="M1049" s="6"/>
      <c r="N1049" s="6" t="s">
        <v>5890</v>
      </c>
      <c r="O1049" s="6" t="str">
        <f>HYPERLINK("https://ceds.ed.gov/cedselementdetails.aspx?termid=5308")</f>
        <v>https://ceds.ed.gov/cedselementdetails.aspx?termid=5308</v>
      </c>
      <c r="P1049" s="6" t="str">
        <f>HYPERLINK("https://ceds.ed.gov/elementComment.aspx?elementName=Vision Screening Status &amp;elementID=5308", "Click here to submit comment")</f>
        <v>Click here to submit comment</v>
      </c>
    </row>
    <row r="1050" spans="1:16" ht="225">
      <c r="A1050" s="6" t="s">
        <v>6788</v>
      </c>
      <c r="B1050" s="6" t="s">
        <v>6804</v>
      </c>
      <c r="C1050" s="6" t="s">
        <v>6770</v>
      </c>
      <c r="D1050" s="6" t="s">
        <v>2487</v>
      </c>
      <c r="E1050" s="6" t="s">
        <v>2488</v>
      </c>
      <c r="F1050" s="6" t="s">
        <v>6150</v>
      </c>
      <c r="G1050" s="6" t="s">
        <v>2476</v>
      </c>
      <c r="H1050" s="6" t="s">
        <v>66</v>
      </c>
      <c r="I1050" s="6"/>
      <c r="J1050" s="6" t="s">
        <v>2477</v>
      </c>
      <c r="K1050" s="6" t="s">
        <v>2489</v>
      </c>
      <c r="L1050" s="6" t="s">
        <v>2490</v>
      </c>
      <c r="M1050" s="6"/>
      <c r="N1050" s="6" t="s">
        <v>2491</v>
      </c>
      <c r="O1050" s="6" t="str">
        <f>HYPERLINK("https://ceds.ed.gov/cedselementdetails.aspx?termid=5989")</f>
        <v>https://ceds.ed.gov/cedselementdetails.aspx?termid=5989</v>
      </c>
      <c r="P1050" s="6" t="str">
        <f>HYPERLINK("https://ceds.ed.gov/elementComment.aspx?elementName=Employed While Enrolled &amp;elementID=5989", "Click here to submit comment")</f>
        <v>Click here to submit comment</v>
      </c>
    </row>
    <row r="1051" spans="1:16" ht="270">
      <c r="A1051" s="6" t="s">
        <v>6788</v>
      </c>
      <c r="B1051" s="6" t="s">
        <v>6804</v>
      </c>
      <c r="C1051" s="6" t="s">
        <v>6770</v>
      </c>
      <c r="D1051" s="6" t="s">
        <v>2474</v>
      </c>
      <c r="E1051" s="6" t="s">
        <v>2475</v>
      </c>
      <c r="F1051" s="6" t="s">
        <v>6150</v>
      </c>
      <c r="G1051" s="6" t="s">
        <v>2476</v>
      </c>
      <c r="H1051" s="6" t="s">
        <v>66</v>
      </c>
      <c r="I1051" s="6"/>
      <c r="J1051" s="6" t="s">
        <v>2477</v>
      </c>
      <c r="K1051" s="6" t="s">
        <v>2478</v>
      </c>
      <c r="L1051" s="6" t="s">
        <v>2479</v>
      </c>
      <c r="M1051" s="6"/>
      <c r="N1051" s="6" t="s">
        <v>2480</v>
      </c>
      <c r="O1051" s="6" t="str">
        <f>HYPERLINK("https://ceds.ed.gov/cedselementdetails.aspx?termid=5990")</f>
        <v>https://ceds.ed.gov/cedselementdetails.aspx?termid=5990</v>
      </c>
      <c r="P1051" s="6" t="str">
        <f>HYPERLINK("https://ceds.ed.gov/elementComment.aspx?elementName=Employed After Exit &amp;elementID=5990", "Click here to submit comment")</f>
        <v>Click here to submit comment</v>
      </c>
    </row>
    <row r="1052" spans="1:16" ht="60">
      <c r="A1052" s="6" t="s">
        <v>6788</v>
      </c>
      <c r="B1052" s="6" t="s">
        <v>6804</v>
      </c>
      <c r="C1052" s="6" t="s">
        <v>6770</v>
      </c>
      <c r="D1052" s="6" t="s">
        <v>2502</v>
      </c>
      <c r="E1052" s="6" t="s">
        <v>2503</v>
      </c>
      <c r="F1052" s="6" t="s">
        <v>2504</v>
      </c>
      <c r="G1052" s="6"/>
      <c r="H1052" s="6"/>
      <c r="I1052" s="6" t="s">
        <v>2505</v>
      </c>
      <c r="J1052" s="6"/>
      <c r="K1052" s="6"/>
      <c r="L1052" s="6" t="s">
        <v>2506</v>
      </c>
      <c r="M1052" s="6"/>
      <c r="N1052" s="6" t="s">
        <v>2507</v>
      </c>
      <c r="O1052" s="6" t="str">
        <f>HYPERLINK("https://ceds.ed.gov/cedselementdetails.aspx?termid=6070")</f>
        <v>https://ceds.ed.gov/cedselementdetails.aspx?termid=6070</v>
      </c>
      <c r="P1052" s="6" t="str">
        <f>HYPERLINK("https://ceds.ed.gov/elementComment.aspx?elementName=Employment NAICS Code &amp;elementID=6070", "Click here to submit comment")</f>
        <v>Click here to submit comment</v>
      </c>
    </row>
    <row r="1053" spans="1:16" ht="60">
      <c r="A1053" s="6" t="s">
        <v>6788</v>
      </c>
      <c r="B1053" s="6" t="s">
        <v>6804</v>
      </c>
      <c r="C1053" s="6" t="s">
        <v>6770</v>
      </c>
      <c r="D1053" s="6" t="s">
        <v>2492</v>
      </c>
      <c r="E1053" s="6" t="s">
        <v>2493</v>
      </c>
      <c r="F1053" s="6" t="s">
        <v>13</v>
      </c>
      <c r="G1053" s="6" t="s">
        <v>202</v>
      </c>
      <c r="H1053" s="6" t="s">
        <v>3</v>
      </c>
      <c r="I1053" s="6" t="s">
        <v>73</v>
      </c>
      <c r="J1053" s="6"/>
      <c r="K1053" s="6"/>
      <c r="L1053" s="6" t="s">
        <v>2494</v>
      </c>
      <c r="M1053" s="6"/>
      <c r="N1053" s="6" t="s">
        <v>2495</v>
      </c>
      <c r="O1053" s="6" t="str">
        <f>HYPERLINK("https://ceds.ed.gov/cedselementdetails.aspx?termid=5794")</f>
        <v>https://ceds.ed.gov/cedselementdetails.aspx?termid=5794</v>
      </c>
      <c r="P1053" s="6" t="str">
        <f>HYPERLINK("https://ceds.ed.gov/elementComment.aspx?elementName=Employment End Date &amp;elementID=5794", "Click here to submit comment")</f>
        <v>Click here to submit comment</v>
      </c>
    </row>
    <row r="1054" spans="1:16" ht="60">
      <c r="A1054" s="6" t="s">
        <v>6788</v>
      </c>
      <c r="B1054" s="6" t="s">
        <v>6804</v>
      </c>
      <c r="C1054" s="6" t="s">
        <v>6770</v>
      </c>
      <c r="D1054" s="6" t="s">
        <v>2534</v>
      </c>
      <c r="E1054" s="6" t="s">
        <v>2535</v>
      </c>
      <c r="F1054" s="6" t="s">
        <v>13</v>
      </c>
      <c r="G1054" s="6" t="s">
        <v>6154</v>
      </c>
      <c r="H1054" s="6" t="s">
        <v>3</v>
      </c>
      <c r="I1054" s="6" t="s">
        <v>73</v>
      </c>
      <c r="J1054" s="6"/>
      <c r="K1054" s="6"/>
      <c r="L1054" s="6" t="s">
        <v>2536</v>
      </c>
      <c r="M1054" s="6"/>
      <c r="N1054" s="6" t="s">
        <v>2537</v>
      </c>
      <c r="O1054" s="6" t="str">
        <f>HYPERLINK("https://ceds.ed.gov/cedselementdetails.aspx?termid=5345")</f>
        <v>https://ceds.ed.gov/cedselementdetails.aspx?termid=5345</v>
      </c>
      <c r="P1054" s="6" t="str">
        <f>HYPERLINK("https://ceds.ed.gov/elementComment.aspx?elementName=Employment Start Date &amp;elementID=5345", "Click here to submit comment")</f>
        <v>Click here to submit comment</v>
      </c>
    </row>
    <row r="1055" spans="1:16" ht="195">
      <c r="A1055" s="6" t="s">
        <v>6788</v>
      </c>
      <c r="B1055" s="6" t="s">
        <v>6741</v>
      </c>
      <c r="C1055" s="6" t="s">
        <v>6717</v>
      </c>
      <c r="D1055" s="6" t="s">
        <v>2776</v>
      </c>
      <c r="E1055" s="6" t="s">
        <v>2777</v>
      </c>
      <c r="F1055" s="6" t="s">
        <v>13</v>
      </c>
      <c r="G1055" s="6" t="s">
        <v>6176</v>
      </c>
      <c r="H1055" s="6" t="s">
        <v>3</v>
      </c>
      <c r="I1055" s="6" t="s">
        <v>1368</v>
      </c>
      <c r="J1055" s="6"/>
      <c r="K1055" s="6" t="s">
        <v>2778</v>
      </c>
      <c r="L1055" s="6" t="s">
        <v>2779</v>
      </c>
      <c r="M1055" s="6"/>
      <c r="N1055" s="6" t="s">
        <v>2780</v>
      </c>
      <c r="O1055" s="6" t="str">
        <f>HYPERLINK("https://ceds.ed.gov/cedselementdetails.aspx?termid=5115")</f>
        <v>https://ceds.ed.gov/cedselementdetails.aspx?termid=5115</v>
      </c>
      <c r="P1055" s="6" t="str">
        <f>HYPERLINK("https://ceds.ed.gov/elementComment.aspx?elementName=First Name &amp;elementID=5115", "Click here to submit comment")</f>
        <v>Click here to submit comment</v>
      </c>
    </row>
    <row r="1056" spans="1:16" ht="195">
      <c r="A1056" s="6" t="s">
        <v>6788</v>
      </c>
      <c r="B1056" s="6" t="s">
        <v>6741</v>
      </c>
      <c r="C1056" s="6" t="s">
        <v>6717</v>
      </c>
      <c r="D1056" s="6" t="s">
        <v>4088</v>
      </c>
      <c r="E1056" s="6" t="s">
        <v>4089</v>
      </c>
      <c r="F1056" s="6" t="s">
        <v>13</v>
      </c>
      <c r="G1056" s="6" t="s">
        <v>6176</v>
      </c>
      <c r="H1056" s="6" t="s">
        <v>3</v>
      </c>
      <c r="I1056" s="6" t="s">
        <v>1368</v>
      </c>
      <c r="J1056" s="6"/>
      <c r="K1056" s="6" t="s">
        <v>2778</v>
      </c>
      <c r="L1056" s="6" t="s">
        <v>4090</v>
      </c>
      <c r="M1056" s="6"/>
      <c r="N1056" s="6" t="s">
        <v>4091</v>
      </c>
      <c r="O1056" s="6" t="str">
        <f>HYPERLINK("https://ceds.ed.gov/cedselementdetails.aspx?termid=5184")</f>
        <v>https://ceds.ed.gov/cedselementdetails.aspx?termid=5184</v>
      </c>
      <c r="P1056" s="6" t="str">
        <f>HYPERLINK("https://ceds.ed.gov/elementComment.aspx?elementName=Middle Name &amp;elementID=5184", "Click here to submit comment")</f>
        <v>Click here to submit comment</v>
      </c>
    </row>
    <row r="1057" spans="1:16" ht="195">
      <c r="A1057" s="6" t="s">
        <v>6788</v>
      </c>
      <c r="B1057" s="6" t="s">
        <v>6741</v>
      </c>
      <c r="C1057" s="6" t="s">
        <v>6717</v>
      </c>
      <c r="D1057" s="6" t="s">
        <v>3427</v>
      </c>
      <c r="E1057" s="6" t="s">
        <v>3428</v>
      </c>
      <c r="F1057" s="6" t="s">
        <v>13</v>
      </c>
      <c r="G1057" s="6" t="s">
        <v>6176</v>
      </c>
      <c r="H1057" s="6" t="s">
        <v>3</v>
      </c>
      <c r="I1057" s="6" t="s">
        <v>1368</v>
      </c>
      <c r="J1057" s="6"/>
      <c r="K1057" s="6" t="s">
        <v>2778</v>
      </c>
      <c r="L1057" s="6" t="s">
        <v>3429</v>
      </c>
      <c r="M1057" s="6" t="s">
        <v>3430</v>
      </c>
      <c r="N1057" s="6" t="s">
        <v>3431</v>
      </c>
      <c r="O1057" s="6" t="str">
        <f>HYPERLINK("https://ceds.ed.gov/cedselementdetails.aspx?termid=5172")</f>
        <v>https://ceds.ed.gov/cedselementdetails.aspx?termid=5172</v>
      </c>
      <c r="P1057" s="6" t="str">
        <f>HYPERLINK("https://ceds.ed.gov/elementComment.aspx?elementName=Last or Surname &amp;elementID=5172", "Click here to submit comment")</f>
        <v>Click here to submit comment</v>
      </c>
    </row>
    <row r="1058" spans="1:16" ht="150">
      <c r="A1058" s="6" t="s">
        <v>6788</v>
      </c>
      <c r="B1058" s="6" t="s">
        <v>6741</v>
      </c>
      <c r="C1058" s="6" t="s">
        <v>6717</v>
      </c>
      <c r="D1058" s="6" t="s">
        <v>2829</v>
      </c>
      <c r="E1058" s="6" t="s">
        <v>2830</v>
      </c>
      <c r="F1058" s="6" t="s">
        <v>13</v>
      </c>
      <c r="G1058" s="6" t="s">
        <v>6179</v>
      </c>
      <c r="H1058" s="6" t="s">
        <v>3</v>
      </c>
      <c r="I1058" s="6" t="s">
        <v>2031</v>
      </c>
      <c r="J1058" s="6"/>
      <c r="K1058" s="6" t="s">
        <v>2778</v>
      </c>
      <c r="L1058" s="6" t="s">
        <v>2831</v>
      </c>
      <c r="M1058" s="6"/>
      <c r="N1058" s="6" t="s">
        <v>2832</v>
      </c>
      <c r="O1058" s="6" t="str">
        <f>HYPERLINK("https://ceds.ed.gov/cedselementdetails.aspx?termid=5121")</f>
        <v>https://ceds.ed.gov/cedselementdetails.aspx?termid=5121</v>
      </c>
      <c r="P1058" s="6" t="str">
        <f>HYPERLINK("https://ceds.ed.gov/elementComment.aspx?elementName=Generation Code or Suffix &amp;elementID=5121", "Click here to submit comment")</f>
        <v>Click here to submit comment</v>
      </c>
    </row>
    <row r="1059" spans="1:16" ht="105">
      <c r="A1059" s="6" t="s">
        <v>6788</v>
      </c>
      <c r="B1059" s="6" t="s">
        <v>6741</v>
      </c>
      <c r="C1059" s="6" t="s">
        <v>6717</v>
      </c>
      <c r="D1059" s="6" t="s">
        <v>4498</v>
      </c>
      <c r="E1059" s="6" t="s">
        <v>4499</v>
      </c>
      <c r="F1059" s="6" t="s">
        <v>13</v>
      </c>
      <c r="G1059" s="6" t="s">
        <v>6280</v>
      </c>
      <c r="H1059" s="6" t="s">
        <v>3</v>
      </c>
      <c r="I1059" s="6" t="s">
        <v>100</v>
      </c>
      <c r="J1059" s="6"/>
      <c r="K1059" s="6"/>
      <c r="L1059" s="6" t="s">
        <v>4500</v>
      </c>
      <c r="M1059" s="6" t="s">
        <v>4501</v>
      </c>
      <c r="N1059" s="6" t="s">
        <v>4502</v>
      </c>
      <c r="O1059" s="6" t="str">
        <f>HYPERLINK("https://ceds.ed.gov/cedselementdetails.aspx?termid=5212")</f>
        <v>https://ceds.ed.gov/cedselementdetails.aspx?termid=5212</v>
      </c>
      <c r="P1059" s="6" t="str">
        <f>HYPERLINK("https://ceds.ed.gov/elementComment.aspx?elementName=Personal Title or Prefix &amp;elementID=5212", "Click here to submit comment")</f>
        <v>Click here to submit comment</v>
      </c>
    </row>
    <row r="1060" spans="1:16" ht="30">
      <c r="A1060" s="6" t="s">
        <v>6788</v>
      </c>
      <c r="B1060" s="6" t="s">
        <v>6741</v>
      </c>
      <c r="C1060" s="6" t="s">
        <v>6718</v>
      </c>
      <c r="D1060" s="6" t="s">
        <v>4375</v>
      </c>
      <c r="E1060" s="6" t="s">
        <v>4376</v>
      </c>
      <c r="F1060" s="6" t="s">
        <v>13</v>
      </c>
      <c r="G1060" s="6"/>
      <c r="H1060" s="6" t="s">
        <v>54</v>
      </c>
      <c r="I1060" s="6" t="s">
        <v>1368</v>
      </c>
      <c r="J1060" s="6"/>
      <c r="K1060" s="6" t="s">
        <v>4377</v>
      </c>
      <c r="L1060" s="6" t="s">
        <v>4378</v>
      </c>
      <c r="M1060" s="6"/>
      <c r="N1060" s="6" t="s">
        <v>4379</v>
      </c>
      <c r="O1060" s="6" t="str">
        <f>HYPERLINK("https://ceds.ed.gov/cedselementdetails.aspx?termid=6486")</f>
        <v>https://ceds.ed.gov/cedselementdetails.aspx?termid=6486</v>
      </c>
      <c r="P1060" s="6" t="str">
        <f>HYPERLINK("https://ceds.ed.gov/elementComment.aspx?elementName=Other First Name &amp;elementID=6486", "Click here to submit comment")</f>
        <v>Click here to submit comment</v>
      </c>
    </row>
    <row r="1061" spans="1:16" ht="30">
      <c r="A1061" s="6" t="s">
        <v>6788</v>
      </c>
      <c r="B1061" s="6" t="s">
        <v>6741</v>
      </c>
      <c r="C1061" s="6" t="s">
        <v>6718</v>
      </c>
      <c r="D1061" s="6" t="s">
        <v>4380</v>
      </c>
      <c r="E1061" s="6" t="s">
        <v>4381</v>
      </c>
      <c r="F1061" s="6" t="s">
        <v>13</v>
      </c>
      <c r="G1061" s="6"/>
      <c r="H1061" s="6" t="s">
        <v>54</v>
      </c>
      <c r="I1061" s="6" t="s">
        <v>1368</v>
      </c>
      <c r="J1061" s="6"/>
      <c r="K1061" s="6" t="s">
        <v>4382</v>
      </c>
      <c r="L1061" s="6" t="s">
        <v>4383</v>
      </c>
      <c r="M1061" s="6"/>
      <c r="N1061" s="6" t="s">
        <v>4384</v>
      </c>
      <c r="O1061" s="6" t="str">
        <f>HYPERLINK("https://ceds.ed.gov/cedselementdetails.aspx?termid=6485")</f>
        <v>https://ceds.ed.gov/cedselementdetails.aspx?termid=6485</v>
      </c>
      <c r="P1061" s="6" t="str">
        <f>HYPERLINK("https://ceds.ed.gov/elementComment.aspx?elementName=Other Last Name &amp;elementID=6485", "Click here to submit comment")</f>
        <v>Click here to submit comment</v>
      </c>
    </row>
    <row r="1062" spans="1:16" ht="30">
      <c r="A1062" s="6" t="s">
        <v>6788</v>
      </c>
      <c r="B1062" s="6" t="s">
        <v>6741</v>
      </c>
      <c r="C1062" s="6" t="s">
        <v>6718</v>
      </c>
      <c r="D1062" s="6" t="s">
        <v>4385</v>
      </c>
      <c r="E1062" s="6" t="s">
        <v>4386</v>
      </c>
      <c r="F1062" s="6" t="s">
        <v>13</v>
      </c>
      <c r="G1062" s="6"/>
      <c r="H1062" s="6" t="s">
        <v>54</v>
      </c>
      <c r="I1062" s="6" t="s">
        <v>1368</v>
      </c>
      <c r="J1062" s="6"/>
      <c r="K1062" s="6" t="s">
        <v>4387</v>
      </c>
      <c r="L1062" s="6" t="s">
        <v>4388</v>
      </c>
      <c r="M1062" s="6"/>
      <c r="N1062" s="6" t="s">
        <v>4389</v>
      </c>
      <c r="O1062" s="6" t="str">
        <f>HYPERLINK("https://ceds.ed.gov/cedselementdetails.aspx?termid=6487")</f>
        <v>https://ceds.ed.gov/cedselementdetails.aspx?termid=6487</v>
      </c>
      <c r="P1062" s="6" t="str">
        <f>HYPERLINK("https://ceds.ed.gov/elementComment.aspx?elementName=Other Middle Name &amp;elementID=6487", "Click here to submit comment")</f>
        <v>Click here to submit comment</v>
      </c>
    </row>
    <row r="1063" spans="1:16" ht="150">
      <c r="A1063" s="6" t="s">
        <v>6788</v>
      </c>
      <c r="B1063" s="6" t="s">
        <v>6741</v>
      </c>
      <c r="C1063" s="6" t="s">
        <v>6718</v>
      </c>
      <c r="D1063" s="6" t="s">
        <v>4390</v>
      </c>
      <c r="E1063" s="6" t="s">
        <v>4391</v>
      </c>
      <c r="F1063" s="6" t="s">
        <v>13</v>
      </c>
      <c r="G1063" s="6" t="s">
        <v>6179</v>
      </c>
      <c r="H1063" s="6" t="s">
        <v>3</v>
      </c>
      <c r="I1063" s="6" t="s">
        <v>149</v>
      </c>
      <c r="J1063" s="6"/>
      <c r="K1063" s="6"/>
      <c r="L1063" s="6" t="s">
        <v>4392</v>
      </c>
      <c r="M1063" s="6"/>
      <c r="N1063" s="6" t="s">
        <v>4393</v>
      </c>
      <c r="O1063" s="6" t="str">
        <f>HYPERLINK("https://ceds.ed.gov/cedselementdetails.aspx?termid=5206")</f>
        <v>https://ceds.ed.gov/cedselementdetails.aspx?termid=5206</v>
      </c>
      <c r="P1063" s="6" t="str">
        <f>HYPERLINK("https://ceds.ed.gov/elementComment.aspx?elementName=Other Name &amp;elementID=5206", "Click here to submit comment")</f>
        <v>Click here to submit comment</v>
      </c>
    </row>
    <row r="1064" spans="1:16" ht="90">
      <c r="A1064" s="6" t="s">
        <v>6788</v>
      </c>
      <c r="B1064" s="6" t="s">
        <v>6741</v>
      </c>
      <c r="C1064" s="6" t="s">
        <v>6718</v>
      </c>
      <c r="D1064" s="6" t="s">
        <v>4394</v>
      </c>
      <c r="E1064" s="6" t="s">
        <v>4395</v>
      </c>
      <c r="F1064" s="7" t="s">
        <v>6593</v>
      </c>
      <c r="G1064" s="6" t="s">
        <v>6273</v>
      </c>
      <c r="H1064" s="6" t="s">
        <v>3</v>
      </c>
      <c r="I1064" s="6" t="s">
        <v>100</v>
      </c>
      <c r="J1064" s="6"/>
      <c r="K1064" s="6"/>
      <c r="L1064" s="6" t="s">
        <v>4396</v>
      </c>
      <c r="M1064" s="6"/>
      <c r="N1064" s="6" t="s">
        <v>4397</v>
      </c>
      <c r="O1064" s="6" t="str">
        <f>HYPERLINK("https://ceds.ed.gov/cedselementdetails.aspx?termid=5627")</f>
        <v>https://ceds.ed.gov/cedselementdetails.aspx?termid=5627</v>
      </c>
      <c r="P1064" s="6" t="str">
        <f>HYPERLINK("https://ceds.ed.gov/elementComment.aspx?elementName=Other Name Type &amp;elementID=5627", "Click here to submit comment")</f>
        <v>Click here to submit comment</v>
      </c>
    </row>
    <row r="1065" spans="1:16" ht="390">
      <c r="A1065" s="6" t="s">
        <v>6788</v>
      </c>
      <c r="B1065" s="6" t="s">
        <v>6741</v>
      </c>
      <c r="C1065" s="6" t="s">
        <v>6719</v>
      </c>
      <c r="D1065" s="6" t="s">
        <v>5383</v>
      </c>
      <c r="E1065" s="6" t="s">
        <v>5384</v>
      </c>
      <c r="F1065" s="6" t="s">
        <v>13</v>
      </c>
      <c r="G1065" s="6" t="s">
        <v>6315</v>
      </c>
      <c r="H1065" s="6" t="s">
        <v>3</v>
      </c>
      <c r="I1065" s="6" t="s">
        <v>5385</v>
      </c>
      <c r="J1065" s="6"/>
      <c r="K1065" s="6" t="s">
        <v>5386</v>
      </c>
      <c r="L1065" s="6" t="s">
        <v>5387</v>
      </c>
      <c r="M1065" s="6" t="s">
        <v>5388</v>
      </c>
      <c r="N1065" s="6" t="s">
        <v>5389</v>
      </c>
      <c r="O1065" s="6" t="str">
        <f>HYPERLINK("https://ceds.ed.gov/cedselementdetails.aspx?termid=5259")</f>
        <v>https://ceds.ed.gov/cedselementdetails.aspx?termid=5259</v>
      </c>
      <c r="P1065" s="6" t="str">
        <f>HYPERLINK("https://ceds.ed.gov/elementComment.aspx?elementName=Social Security Number &amp;elementID=5259", "Click here to submit comment")</f>
        <v>Click here to submit comment</v>
      </c>
    </row>
    <row r="1066" spans="1:16" ht="375">
      <c r="A1066" s="6" t="s">
        <v>6788</v>
      </c>
      <c r="B1066" s="6" t="s">
        <v>6741</v>
      </c>
      <c r="C1066" s="6" t="s">
        <v>6719</v>
      </c>
      <c r="D1066" s="6" t="s">
        <v>4494</v>
      </c>
      <c r="E1066" s="6" t="s">
        <v>4495</v>
      </c>
      <c r="F1066" s="7" t="s">
        <v>6599</v>
      </c>
      <c r="G1066" s="6"/>
      <c r="H1066" s="6" t="s">
        <v>3</v>
      </c>
      <c r="I1066" s="6"/>
      <c r="J1066" s="6"/>
      <c r="K1066" s="6"/>
      <c r="L1066" s="6" t="s">
        <v>4496</v>
      </c>
      <c r="M1066" s="6"/>
      <c r="N1066" s="6" t="s">
        <v>4497</v>
      </c>
      <c r="O1066" s="6" t="str">
        <f>HYPERLINK("https://ceds.ed.gov/cedselementdetails.aspx?termid=5611")</f>
        <v>https://ceds.ed.gov/cedselementdetails.aspx?termid=5611</v>
      </c>
      <c r="P1066" s="6" t="str">
        <f>HYPERLINK("https://ceds.ed.gov/elementComment.aspx?elementName=Personal Information Verification &amp;elementID=5611", "Click here to submit comment")</f>
        <v>Click here to submit comment</v>
      </c>
    </row>
    <row r="1067" spans="1:16" ht="285">
      <c r="A1067" s="6" t="s">
        <v>6788</v>
      </c>
      <c r="B1067" s="6" t="s">
        <v>6741</v>
      </c>
      <c r="C1067" s="6" t="s">
        <v>6720</v>
      </c>
      <c r="D1067" s="6" t="s">
        <v>191</v>
      </c>
      <c r="E1067" s="6" t="s">
        <v>192</v>
      </c>
      <c r="F1067" s="7" t="s">
        <v>6353</v>
      </c>
      <c r="G1067" s="6" t="s">
        <v>5976</v>
      </c>
      <c r="H1067" s="6" t="s">
        <v>66</v>
      </c>
      <c r="I1067" s="6" t="s">
        <v>100</v>
      </c>
      <c r="J1067" s="6" t="s">
        <v>193</v>
      </c>
      <c r="K1067" s="6"/>
      <c r="L1067" s="6" t="s">
        <v>194</v>
      </c>
      <c r="M1067" s="6"/>
      <c r="N1067" s="6" t="s">
        <v>195</v>
      </c>
      <c r="O1067" s="6" t="str">
        <f>HYPERLINK("https://ceds.ed.gov/cedselementdetails.aspx?termid=5358")</f>
        <v>https://ceds.ed.gov/cedselementdetails.aspx?termid=5358</v>
      </c>
      <c r="P1067" s="6" t="str">
        <f>HYPERLINK("https://ceds.ed.gov/elementComment.aspx?elementName=Address Type for Learner or Family &amp;elementID=5358", "Click here to submit comment")</f>
        <v>Click here to submit comment</v>
      </c>
    </row>
    <row r="1068" spans="1:16" ht="225">
      <c r="A1068" s="6" t="s">
        <v>6788</v>
      </c>
      <c r="B1068" s="6" t="s">
        <v>6741</v>
      </c>
      <c r="C1068" s="6" t="s">
        <v>6720</v>
      </c>
      <c r="D1068" s="6" t="s">
        <v>187</v>
      </c>
      <c r="E1068" s="6" t="s">
        <v>188</v>
      </c>
      <c r="F1068" s="6" t="s">
        <v>13</v>
      </c>
      <c r="G1068" s="6" t="s">
        <v>5973</v>
      </c>
      <c r="H1068" s="6" t="s">
        <v>3</v>
      </c>
      <c r="I1068" s="6" t="s">
        <v>149</v>
      </c>
      <c r="J1068" s="6"/>
      <c r="K1068" s="6"/>
      <c r="L1068" s="6" t="s">
        <v>189</v>
      </c>
      <c r="M1068" s="6"/>
      <c r="N1068" s="6" t="s">
        <v>190</v>
      </c>
      <c r="O1068" s="6" t="str">
        <f>HYPERLINK("https://ceds.ed.gov/cedselementdetails.aspx?termid=5269")</f>
        <v>https://ceds.ed.gov/cedselementdetails.aspx?termid=5269</v>
      </c>
      <c r="P1068" s="6" t="str">
        <f>HYPERLINK("https://ceds.ed.gov/elementComment.aspx?elementName=Address Street Number and Name &amp;elementID=5269", "Click here to submit comment")</f>
        <v>Click here to submit comment</v>
      </c>
    </row>
    <row r="1069" spans="1:16" ht="225">
      <c r="A1069" s="6" t="s">
        <v>6788</v>
      </c>
      <c r="B1069" s="6" t="s">
        <v>6741</v>
      </c>
      <c r="C1069" s="6" t="s">
        <v>6720</v>
      </c>
      <c r="D1069" s="6" t="s">
        <v>170</v>
      </c>
      <c r="E1069" s="6" t="s">
        <v>171</v>
      </c>
      <c r="F1069" s="6" t="s">
        <v>13</v>
      </c>
      <c r="G1069" s="6" t="s">
        <v>5973</v>
      </c>
      <c r="H1069" s="6" t="s">
        <v>3</v>
      </c>
      <c r="I1069" s="6" t="s">
        <v>100</v>
      </c>
      <c r="J1069" s="6"/>
      <c r="K1069" s="6"/>
      <c r="L1069" s="6" t="s">
        <v>172</v>
      </c>
      <c r="M1069" s="6"/>
      <c r="N1069" s="6" t="s">
        <v>173</v>
      </c>
      <c r="O1069" s="6" t="str">
        <f>HYPERLINK("https://ceds.ed.gov/cedselementdetails.aspx?termid=5019")</f>
        <v>https://ceds.ed.gov/cedselementdetails.aspx?termid=5019</v>
      </c>
      <c r="P1069" s="6" t="str">
        <f>HYPERLINK("https://ceds.ed.gov/elementComment.aspx?elementName=Address Apartment Room or Suite Number &amp;elementID=5019", "Click here to submit comment")</f>
        <v>Click here to submit comment</v>
      </c>
    </row>
    <row r="1070" spans="1:16" ht="225">
      <c r="A1070" s="6" t="s">
        <v>6788</v>
      </c>
      <c r="B1070" s="6" t="s">
        <v>6741</v>
      </c>
      <c r="C1070" s="6" t="s">
        <v>6720</v>
      </c>
      <c r="D1070" s="6" t="s">
        <v>174</v>
      </c>
      <c r="E1070" s="6" t="s">
        <v>175</v>
      </c>
      <c r="F1070" s="6" t="s">
        <v>13</v>
      </c>
      <c r="G1070" s="6" t="s">
        <v>5973</v>
      </c>
      <c r="H1070" s="6" t="s">
        <v>3</v>
      </c>
      <c r="I1070" s="6" t="s">
        <v>100</v>
      </c>
      <c r="J1070" s="6"/>
      <c r="K1070" s="6"/>
      <c r="L1070" s="6" t="s">
        <v>176</v>
      </c>
      <c r="M1070" s="6"/>
      <c r="N1070" s="6" t="s">
        <v>177</v>
      </c>
      <c r="O1070" s="6" t="str">
        <f>HYPERLINK("https://ceds.ed.gov/cedselementdetails.aspx?termid=5040")</f>
        <v>https://ceds.ed.gov/cedselementdetails.aspx?termid=5040</v>
      </c>
      <c r="P1070" s="6" t="str">
        <f>HYPERLINK("https://ceds.ed.gov/elementComment.aspx?elementName=Address City &amp;elementID=5040", "Click here to submit comment")</f>
        <v>Click here to submit comment</v>
      </c>
    </row>
    <row r="1071" spans="1:16" ht="409.5">
      <c r="A1071" s="6" t="s">
        <v>6788</v>
      </c>
      <c r="B1071" s="6" t="s">
        <v>6741</v>
      </c>
      <c r="C1071" s="6" t="s">
        <v>6720</v>
      </c>
      <c r="D1071" s="6" t="s">
        <v>5533</v>
      </c>
      <c r="E1071" s="6" t="s">
        <v>5534</v>
      </c>
      <c r="F1071" s="7" t="s">
        <v>6633</v>
      </c>
      <c r="G1071" s="6" t="s">
        <v>6324</v>
      </c>
      <c r="H1071" s="6" t="s">
        <v>3</v>
      </c>
      <c r="I1071" s="6"/>
      <c r="J1071" s="6"/>
      <c r="K1071" s="6"/>
      <c r="L1071" s="6" t="s">
        <v>5535</v>
      </c>
      <c r="M1071" s="6"/>
      <c r="N1071" s="6" t="s">
        <v>5536</v>
      </c>
      <c r="O1071" s="6" t="str">
        <f>HYPERLINK("https://ceds.ed.gov/cedselementdetails.aspx?termid=5267")</f>
        <v>https://ceds.ed.gov/cedselementdetails.aspx?termid=5267</v>
      </c>
      <c r="P1071" s="6" t="str">
        <f>HYPERLINK("https://ceds.ed.gov/elementComment.aspx?elementName=State Abbreviation &amp;elementID=5267", "Click here to submit comment")</f>
        <v>Click here to submit comment</v>
      </c>
    </row>
    <row r="1072" spans="1:16" ht="225">
      <c r="A1072" s="6" t="s">
        <v>6788</v>
      </c>
      <c r="B1072" s="6" t="s">
        <v>6741</v>
      </c>
      <c r="C1072" s="6" t="s">
        <v>6720</v>
      </c>
      <c r="D1072" s="6" t="s">
        <v>182</v>
      </c>
      <c r="E1072" s="6" t="s">
        <v>183</v>
      </c>
      <c r="F1072" s="6" t="s">
        <v>13</v>
      </c>
      <c r="G1072" s="6" t="s">
        <v>5973</v>
      </c>
      <c r="H1072" s="6" t="s">
        <v>3</v>
      </c>
      <c r="I1072" s="6" t="s">
        <v>184</v>
      </c>
      <c r="J1072" s="6"/>
      <c r="K1072" s="6"/>
      <c r="L1072" s="6" t="s">
        <v>185</v>
      </c>
      <c r="M1072" s="6"/>
      <c r="N1072" s="6" t="s">
        <v>186</v>
      </c>
      <c r="O1072" s="6" t="str">
        <f>HYPERLINK("https://ceds.ed.gov/cedselementdetails.aspx?termid=5214")</f>
        <v>https://ceds.ed.gov/cedselementdetails.aspx?termid=5214</v>
      </c>
      <c r="P1072" s="6" t="str">
        <f>HYPERLINK("https://ceds.ed.gov/elementComment.aspx?elementName=Address Postal Code &amp;elementID=5214", "Click here to submit comment")</f>
        <v>Click here to submit comment</v>
      </c>
    </row>
    <row r="1073" spans="1:16" ht="225">
      <c r="A1073" s="6" t="s">
        <v>6788</v>
      </c>
      <c r="B1073" s="6" t="s">
        <v>6741</v>
      </c>
      <c r="C1073" s="6" t="s">
        <v>6720</v>
      </c>
      <c r="D1073" s="6" t="s">
        <v>178</v>
      </c>
      <c r="E1073" s="6" t="s">
        <v>179</v>
      </c>
      <c r="F1073" s="6" t="s">
        <v>13</v>
      </c>
      <c r="G1073" s="6" t="s">
        <v>5973</v>
      </c>
      <c r="H1073" s="6" t="s">
        <v>3</v>
      </c>
      <c r="I1073" s="6" t="s">
        <v>100</v>
      </c>
      <c r="J1073" s="6"/>
      <c r="K1073" s="6"/>
      <c r="L1073" s="6" t="s">
        <v>180</v>
      </c>
      <c r="M1073" s="6"/>
      <c r="N1073" s="6" t="s">
        <v>181</v>
      </c>
      <c r="O1073" s="6" t="str">
        <f>HYPERLINK("https://ceds.ed.gov/cedselementdetails.aspx?termid=5190")</f>
        <v>https://ceds.ed.gov/cedselementdetails.aspx?termid=5190</v>
      </c>
      <c r="P1073" s="6" t="str">
        <f>HYPERLINK("https://ceds.ed.gov/elementComment.aspx?elementName=Address County Name &amp;elementID=5190", "Click here to submit comment")</f>
        <v>Click here to submit comment</v>
      </c>
    </row>
    <row r="1074" spans="1:16" ht="409.5">
      <c r="A1074" s="6" t="s">
        <v>6788</v>
      </c>
      <c r="B1074" s="6" t="s">
        <v>6741</v>
      </c>
      <c r="C1074" s="6" t="s">
        <v>6720</v>
      </c>
      <c r="D1074" s="6" t="s">
        <v>1809</v>
      </c>
      <c r="E1074" s="6" t="s">
        <v>1810</v>
      </c>
      <c r="F1074" s="7" t="s">
        <v>6433</v>
      </c>
      <c r="G1074" s="6" t="s">
        <v>6107</v>
      </c>
      <c r="H1074" s="6" t="s">
        <v>3</v>
      </c>
      <c r="I1074" s="6"/>
      <c r="J1074" s="6"/>
      <c r="K1074" s="6"/>
      <c r="L1074" s="6" t="s">
        <v>1811</v>
      </c>
      <c r="M1074" s="6"/>
      <c r="N1074" s="6" t="s">
        <v>1812</v>
      </c>
      <c r="O1074" s="6" t="str">
        <f>HYPERLINK("https://ceds.ed.gov/cedselementdetails.aspx?termid=5050")</f>
        <v>https://ceds.ed.gov/cedselementdetails.aspx?termid=5050</v>
      </c>
      <c r="P1074" s="6" t="str">
        <f>HYPERLINK("https://ceds.ed.gov/elementComment.aspx?elementName=Country Code &amp;elementID=5050", "Click here to submit comment")</f>
        <v>Click here to submit comment</v>
      </c>
    </row>
    <row r="1075" spans="1:16" ht="135">
      <c r="A1075" s="6" t="s">
        <v>6788</v>
      </c>
      <c r="B1075" s="6" t="s">
        <v>6741</v>
      </c>
      <c r="C1075" s="6" t="s">
        <v>6721</v>
      </c>
      <c r="D1075" s="6" t="s">
        <v>5732</v>
      </c>
      <c r="E1075" s="6" t="s">
        <v>5733</v>
      </c>
      <c r="F1075" s="7" t="s">
        <v>6675</v>
      </c>
      <c r="G1075" s="6" t="s">
        <v>5968</v>
      </c>
      <c r="H1075" s="6" t="s">
        <v>3</v>
      </c>
      <c r="I1075" s="6" t="s">
        <v>2844</v>
      </c>
      <c r="J1075" s="6"/>
      <c r="K1075" s="6"/>
      <c r="L1075" s="6" t="s">
        <v>5734</v>
      </c>
      <c r="M1075" s="6"/>
      <c r="N1075" s="6" t="s">
        <v>5735</v>
      </c>
      <c r="O1075" s="6" t="str">
        <f>HYPERLINK("https://ceds.ed.gov/cedselementdetails.aspx?termid=5280")</f>
        <v>https://ceds.ed.gov/cedselementdetails.aspx?termid=5280</v>
      </c>
      <c r="P1075" s="6" t="str">
        <f>HYPERLINK("https://ceds.ed.gov/elementComment.aspx?elementName=Telephone Number Type &amp;elementID=5280", "Click here to submit comment")</f>
        <v>Click here to submit comment</v>
      </c>
    </row>
    <row r="1076" spans="1:16" ht="90">
      <c r="A1076" s="6" t="s">
        <v>6788</v>
      </c>
      <c r="B1076" s="6" t="s">
        <v>6741</v>
      </c>
      <c r="C1076" s="6" t="s">
        <v>6721</v>
      </c>
      <c r="D1076" s="6" t="s">
        <v>4591</v>
      </c>
      <c r="E1076" s="6" t="s">
        <v>4592</v>
      </c>
      <c r="F1076" s="6" t="s">
        <v>5963</v>
      </c>
      <c r="G1076" s="6" t="s">
        <v>5968</v>
      </c>
      <c r="H1076" s="6" t="s">
        <v>3</v>
      </c>
      <c r="I1076" s="6"/>
      <c r="J1076" s="6"/>
      <c r="K1076" s="6"/>
      <c r="L1076" s="6" t="s">
        <v>4593</v>
      </c>
      <c r="M1076" s="6"/>
      <c r="N1076" s="6" t="s">
        <v>4594</v>
      </c>
      <c r="O1076" s="6" t="str">
        <f>HYPERLINK("https://ceds.ed.gov/cedselementdetails.aspx?termid=5219")</f>
        <v>https://ceds.ed.gov/cedselementdetails.aspx?termid=5219</v>
      </c>
      <c r="P1076" s="6" t="str">
        <f>HYPERLINK("https://ceds.ed.gov/elementComment.aspx?elementName=Primary Telephone Number Indicator &amp;elementID=5219", "Click here to submit comment")</f>
        <v>Click here to submit comment</v>
      </c>
    </row>
    <row r="1077" spans="1:16" ht="90">
      <c r="A1077" s="6" t="s">
        <v>6788</v>
      </c>
      <c r="B1077" s="6" t="s">
        <v>6741</v>
      </c>
      <c r="C1077" s="6" t="s">
        <v>6721</v>
      </c>
      <c r="D1077" s="6" t="s">
        <v>5727</v>
      </c>
      <c r="E1077" s="6" t="s">
        <v>5728</v>
      </c>
      <c r="F1077" s="6" t="s">
        <v>13</v>
      </c>
      <c r="G1077" s="6" t="s">
        <v>5968</v>
      </c>
      <c r="H1077" s="6" t="s">
        <v>3</v>
      </c>
      <c r="I1077" s="6" t="s">
        <v>5729</v>
      </c>
      <c r="J1077" s="6"/>
      <c r="K1077" s="6"/>
      <c r="L1077" s="6" t="s">
        <v>5730</v>
      </c>
      <c r="M1077" s="6"/>
      <c r="N1077" s="6" t="s">
        <v>5731</v>
      </c>
      <c r="O1077" s="6" t="str">
        <f>HYPERLINK("https://ceds.ed.gov/cedselementdetails.aspx?termid=5279")</f>
        <v>https://ceds.ed.gov/cedselementdetails.aspx?termid=5279</v>
      </c>
      <c r="P1077" s="6" t="str">
        <f>HYPERLINK("https://ceds.ed.gov/elementComment.aspx?elementName=Telephone Number &amp;elementID=5279", "Click here to submit comment")</f>
        <v>Click here to submit comment</v>
      </c>
    </row>
    <row r="1078" spans="1:16" ht="105">
      <c r="A1078" s="6" t="s">
        <v>6788</v>
      </c>
      <c r="B1078" s="6" t="s">
        <v>6741</v>
      </c>
      <c r="C1078" s="6" t="s">
        <v>6742</v>
      </c>
      <c r="D1078" s="6" t="s">
        <v>2457</v>
      </c>
      <c r="E1078" s="6" t="s">
        <v>2458</v>
      </c>
      <c r="F1078" s="7" t="s">
        <v>6489</v>
      </c>
      <c r="G1078" s="6" t="s">
        <v>5968</v>
      </c>
      <c r="H1078" s="6" t="s">
        <v>3</v>
      </c>
      <c r="I1078" s="6"/>
      <c r="J1078" s="6"/>
      <c r="K1078" s="6"/>
      <c r="L1078" s="6" t="s">
        <v>2459</v>
      </c>
      <c r="M1078" s="6" t="s">
        <v>2460</v>
      </c>
      <c r="N1078" s="6" t="s">
        <v>2461</v>
      </c>
      <c r="O1078" s="6" t="str">
        <f>HYPERLINK("https://ceds.ed.gov/cedselementdetails.aspx?termid=5089")</f>
        <v>https://ceds.ed.gov/cedselementdetails.aspx?termid=5089</v>
      </c>
      <c r="P1078" s="6" t="str">
        <f>HYPERLINK("https://ceds.ed.gov/elementComment.aspx?elementName=Electronic Mail Address Type &amp;elementID=5089", "Click here to submit comment")</f>
        <v>Click here to submit comment</v>
      </c>
    </row>
    <row r="1079" spans="1:16" ht="90">
      <c r="A1079" s="6" t="s">
        <v>6788</v>
      </c>
      <c r="B1079" s="6" t="s">
        <v>6741</v>
      </c>
      <c r="C1079" s="6" t="s">
        <v>6742</v>
      </c>
      <c r="D1079" s="6" t="s">
        <v>2451</v>
      </c>
      <c r="E1079" s="6" t="s">
        <v>2452</v>
      </c>
      <c r="F1079" s="6" t="s">
        <v>13</v>
      </c>
      <c r="G1079" s="6" t="s">
        <v>5968</v>
      </c>
      <c r="H1079" s="6" t="s">
        <v>3</v>
      </c>
      <c r="I1079" s="6" t="s">
        <v>2453</v>
      </c>
      <c r="J1079" s="6"/>
      <c r="K1079" s="6"/>
      <c r="L1079" s="6" t="s">
        <v>2454</v>
      </c>
      <c r="M1079" s="6" t="s">
        <v>2455</v>
      </c>
      <c r="N1079" s="6" t="s">
        <v>2456</v>
      </c>
      <c r="O1079" s="6" t="str">
        <f>HYPERLINK("https://ceds.ed.gov/cedselementdetails.aspx?termid=5088")</f>
        <v>https://ceds.ed.gov/cedselementdetails.aspx?termid=5088</v>
      </c>
      <c r="P1079" s="6" t="str">
        <f>HYPERLINK("https://ceds.ed.gov/elementComment.aspx?elementName=Electronic Mail Address &amp;elementID=5088", "Click here to submit comment")</f>
        <v>Click here to submit comment</v>
      </c>
    </row>
    <row r="1080" spans="1:16" ht="255">
      <c r="A1080" s="6" t="s">
        <v>6788</v>
      </c>
      <c r="B1080" s="6" t="s">
        <v>6741</v>
      </c>
      <c r="C1080" s="6" t="s">
        <v>6722</v>
      </c>
      <c r="D1080" s="6" t="s">
        <v>5353</v>
      </c>
      <c r="E1080" s="6" t="s">
        <v>5354</v>
      </c>
      <c r="F1080" s="7" t="s">
        <v>6656</v>
      </c>
      <c r="G1080" s="6" t="s">
        <v>6312</v>
      </c>
      <c r="H1080" s="6" t="s">
        <v>3</v>
      </c>
      <c r="I1080" s="6"/>
      <c r="J1080" s="6"/>
      <c r="K1080" s="6" t="s">
        <v>5355</v>
      </c>
      <c r="L1080" s="6" t="s">
        <v>5356</v>
      </c>
      <c r="M1080" s="6"/>
      <c r="N1080" s="6" t="s">
        <v>5353</v>
      </c>
      <c r="O1080" s="6" t="str">
        <f>HYPERLINK("https://ceds.ed.gov/cedselementdetails.aspx?termid=5255")</f>
        <v>https://ceds.ed.gov/cedselementdetails.aspx?termid=5255</v>
      </c>
      <c r="P1080" s="6" t="str">
        <f>HYPERLINK("https://ceds.ed.gov/elementComment.aspx?elementName=Sex &amp;elementID=5255", "Click here to submit comment")</f>
        <v>Click here to submit comment</v>
      </c>
    </row>
    <row r="1081" spans="1:16" ht="409.5">
      <c r="A1081" s="6" t="s">
        <v>6788</v>
      </c>
      <c r="B1081" s="6" t="s">
        <v>6741</v>
      </c>
      <c r="C1081" s="6" t="s">
        <v>6820</v>
      </c>
      <c r="D1081" s="6" t="s">
        <v>4490</v>
      </c>
      <c r="E1081" s="6" t="s">
        <v>4491</v>
      </c>
      <c r="F1081" s="7" t="s">
        <v>6598</v>
      </c>
      <c r="G1081" s="6" t="s">
        <v>1480</v>
      </c>
      <c r="H1081" s="6" t="s">
        <v>3</v>
      </c>
      <c r="I1081" s="6"/>
      <c r="J1081" s="6"/>
      <c r="K1081" s="6"/>
      <c r="L1081" s="6" t="s">
        <v>4492</v>
      </c>
      <c r="M1081" s="6"/>
      <c r="N1081" s="6" t="s">
        <v>4493</v>
      </c>
      <c r="O1081" s="6" t="str">
        <f>HYPERLINK("https://ceds.ed.gov/cedselementdetails.aspx?termid=5415")</f>
        <v>https://ceds.ed.gov/cedselementdetails.aspx?termid=5415</v>
      </c>
      <c r="P1081" s="6" t="str">
        <f>HYPERLINK("https://ceds.ed.gov/elementComment.aspx?elementName=Person Relationship to Learner Type &amp;elementID=5415", "Click here to submit comment")</f>
        <v>Click here to submit comment</v>
      </c>
    </row>
    <row r="1082" spans="1:16" ht="45">
      <c r="A1082" s="6" t="s">
        <v>6788</v>
      </c>
      <c r="B1082" s="6" t="s">
        <v>6741</v>
      </c>
      <c r="C1082" s="6" t="s">
        <v>6820</v>
      </c>
      <c r="D1082" s="6" t="s">
        <v>2470</v>
      </c>
      <c r="E1082" s="6" t="s">
        <v>2471</v>
      </c>
      <c r="F1082" s="6" t="s">
        <v>5963</v>
      </c>
      <c r="G1082" s="6"/>
      <c r="H1082" s="6" t="s">
        <v>54</v>
      </c>
      <c r="I1082" s="6"/>
      <c r="J1082" s="6"/>
      <c r="K1082" s="6"/>
      <c r="L1082" s="6" t="s">
        <v>2472</v>
      </c>
      <c r="M1082" s="6"/>
      <c r="N1082" s="6" t="s">
        <v>2473</v>
      </c>
      <c r="O1082" s="6" t="str">
        <f>HYPERLINK("https://ceds.ed.gov/cedselementdetails.aspx?termid=6308")</f>
        <v>https://ceds.ed.gov/cedselementdetails.aspx?termid=6308</v>
      </c>
      <c r="P1082" s="6" t="str">
        <f>HYPERLINK("https://ceds.ed.gov/elementComment.aspx?elementName=Emergency Contact Indicator &amp;elementID=6308", "Click here to submit comment")</f>
        <v>Click here to submit comment</v>
      </c>
    </row>
    <row r="1083" spans="1:16" ht="60">
      <c r="A1083" s="6" t="s">
        <v>6788</v>
      </c>
      <c r="B1083" s="6" t="s">
        <v>6741</v>
      </c>
      <c r="C1083" s="6" t="s">
        <v>6820</v>
      </c>
      <c r="D1083" s="6" t="s">
        <v>4478</v>
      </c>
      <c r="E1083" s="6" t="s">
        <v>4479</v>
      </c>
      <c r="F1083" s="6" t="s">
        <v>13</v>
      </c>
      <c r="G1083" s="6"/>
      <c r="H1083" s="6" t="s">
        <v>54</v>
      </c>
      <c r="I1083" s="6" t="s">
        <v>575</v>
      </c>
      <c r="J1083" s="6"/>
      <c r="K1083" s="6"/>
      <c r="L1083" s="6" t="s">
        <v>4480</v>
      </c>
      <c r="M1083" s="6"/>
      <c r="N1083" s="6" t="s">
        <v>4481</v>
      </c>
      <c r="O1083" s="6" t="str">
        <f>HYPERLINK("https://ceds.ed.gov/cedselementdetails.aspx?termid=6392")</f>
        <v>https://ceds.ed.gov/cedselementdetails.aspx?termid=6392</v>
      </c>
      <c r="P1083" s="6" t="str">
        <f>HYPERLINK("https://ceds.ed.gov/elementComment.aspx?elementName=Person Relationship to Learner Contact Priority Number &amp;elementID=6392", "Click here to submit comment")</f>
        <v>Click here to submit comment</v>
      </c>
    </row>
    <row r="1084" spans="1:16" ht="75">
      <c r="A1084" s="6" t="s">
        <v>6788</v>
      </c>
      <c r="B1084" s="6" t="s">
        <v>6741</v>
      </c>
      <c r="C1084" s="6" t="s">
        <v>6820</v>
      </c>
      <c r="D1084" s="6" t="s">
        <v>4482</v>
      </c>
      <c r="E1084" s="6" t="s">
        <v>4483</v>
      </c>
      <c r="F1084" s="6" t="s">
        <v>13</v>
      </c>
      <c r="G1084" s="6"/>
      <c r="H1084" s="6" t="s">
        <v>54</v>
      </c>
      <c r="I1084" s="6" t="s">
        <v>319</v>
      </c>
      <c r="J1084" s="6"/>
      <c r="K1084" s="6"/>
      <c r="L1084" s="6" t="s">
        <v>4484</v>
      </c>
      <c r="M1084" s="6"/>
      <c r="N1084" s="6" t="s">
        <v>4485</v>
      </c>
      <c r="O1084" s="6" t="str">
        <f>HYPERLINK("https://ceds.ed.gov/cedselementdetails.aspx?termid=6393")</f>
        <v>https://ceds.ed.gov/cedselementdetails.aspx?termid=6393</v>
      </c>
      <c r="P1084" s="6" t="str">
        <f>HYPERLINK("https://ceds.ed.gov/elementComment.aspx?elementName=Person Relationship to Learner Contact Restrictions Description &amp;elementID=6393", "Click here to submit comment")</f>
        <v>Click here to submit comment</v>
      </c>
    </row>
    <row r="1085" spans="1:16" ht="60">
      <c r="A1085" s="6" t="s">
        <v>6788</v>
      </c>
      <c r="B1085" s="6" t="s">
        <v>6741</v>
      </c>
      <c r="C1085" s="6" t="s">
        <v>6820</v>
      </c>
      <c r="D1085" s="6" t="s">
        <v>4486</v>
      </c>
      <c r="E1085" s="6" t="s">
        <v>4487</v>
      </c>
      <c r="F1085" s="6" t="s">
        <v>5963</v>
      </c>
      <c r="G1085" s="6"/>
      <c r="H1085" s="6" t="s">
        <v>54</v>
      </c>
      <c r="I1085" s="6"/>
      <c r="J1085" s="6"/>
      <c r="K1085" s="6"/>
      <c r="L1085" s="6" t="s">
        <v>4488</v>
      </c>
      <c r="M1085" s="6"/>
      <c r="N1085" s="6" t="s">
        <v>4489</v>
      </c>
      <c r="O1085" s="6" t="str">
        <f>HYPERLINK("https://ceds.ed.gov/cedselementdetails.aspx?termid=6394")</f>
        <v>https://ceds.ed.gov/cedselementdetails.aspx?termid=6394</v>
      </c>
      <c r="P1085" s="6" t="str">
        <f>HYPERLINK("https://ceds.ed.gov/elementComment.aspx?elementName=Person Relationship to Learner Lives With Indicator &amp;elementID=6394", "Click here to submit comment")</f>
        <v>Click here to submit comment</v>
      </c>
    </row>
    <row r="1086" spans="1:16" ht="90">
      <c r="A1086" s="6" t="s">
        <v>6788</v>
      </c>
      <c r="B1086" s="6" t="s">
        <v>6741</v>
      </c>
      <c r="C1086" s="6" t="s">
        <v>6820</v>
      </c>
      <c r="D1086" s="6" t="s">
        <v>4583</v>
      </c>
      <c r="E1086" s="6" t="s">
        <v>4584</v>
      </c>
      <c r="F1086" s="6" t="s">
        <v>5963</v>
      </c>
      <c r="G1086" s="6"/>
      <c r="H1086" s="6" t="s">
        <v>54</v>
      </c>
      <c r="I1086" s="6"/>
      <c r="J1086" s="6"/>
      <c r="K1086" s="6"/>
      <c r="L1086" s="6" t="s">
        <v>4585</v>
      </c>
      <c r="M1086" s="6"/>
      <c r="N1086" s="6" t="s">
        <v>4586</v>
      </c>
      <c r="O1086" s="6" t="str">
        <f>HYPERLINK("https://ceds.ed.gov/cedselementdetails.aspx?termid=6397")</f>
        <v>https://ceds.ed.gov/cedselementdetails.aspx?termid=6397</v>
      </c>
      <c r="P1086" s="6" t="str">
        <f>HYPERLINK("https://ceds.ed.gov/elementComment.aspx?elementName=Primary Contact Indicator &amp;elementID=6397", "Click here to submit comment")</f>
        <v>Click here to submit comment</v>
      </c>
    </row>
    <row r="1087" spans="1:16" ht="195">
      <c r="A1087" s="6" t="s">
        <v>6788</v>
      </c>
      <c r="B1087" s="6" t="s">
        <v>6821</v>
      </c>
      <c r="C1087" s="6" t="s">
        <v>6717</v>
      </c>
      <c r="D1087" s="6" t="s">
        <v>2776</v>
      </c>
      <c r="E1087" s="6" t="s">
        <v>2777</v>
      </c>
      <c r="F1087" s="6" t="s">
        <v>13</v>
      </c>
      <c r="G1087" s="6" t="s">
        <v>6176</v>
      </c>
      <c r="H1087" s="6" t="s">
        <v>3</v>
      </c>
      <c r="I1087" s="6" t="s">
        <v>1368</v>
      </c>
      <c r="J1087" s="6"/>
      <c r="K1087" s="6" t="s">
        <v>2778</v>
      </c>
      <c r="L1087" s="6" t="s">
        <v>2779</v>
      </c>
      <c r="M1087" s="6"/>
      <c r="N1087" s="6" t="s">
        <v>2780</v>
      </c>
      <c r="O1087" s="6" t="str">
        <f>HYPERLINK("https://ceds.ed.gov/cedselementdetails.aspx?termid=5115")</f>
        <v>https://ceds.ed.gov/cedselementdetails.aspx?termid=5115</v>
      </c>
      <c r="P1087" s="6" t="str">
        <f>HYPERLINK("https://ceds.ed.gov/elementComment.aspx?elementName=First Name &amp;elementID=5115", "Click here to submit comment")</f>
        <v>Click here to submit comment</v>
      </c>
    </row>
    <row r="1088" spans="1:16" ht="195">
      <c r="A1088" s="6" t="s">
        <v>6788</v>
      </c>
      <c r="B1088" s="6" t="s">
        <v>6821</v>
      </c>
      <c r="C1088" s="6" t="s">
        <v>6717</v>
      </c>
      <c r="D1088" s="6" t="s">
        <v>4088</v>
      </c>
      <c r="E1088" s="6" t="s">
        <v>4089</v>
      </c>
      <c r="F1088" s="6" t="s">
        <v>13</v>
      </c>
      <c r="G1088" s="6" t="s">
        <v>6176</v>
      </c>
      <c r="H1088" s="6" t="s">
        <v>3</v>
      </c>
      <c r="I1088" s="6" t="s">
        <v>1368</v>
      </c>
      <c r="J1088" s="6"/>
      <c r="K1088" s="6" t="s">
        <v>2778</v>
      </c>
      <c r="L1088" s="6" t="s">
        <v>4090</v>
      </c>
      <c r="M1088" s="6"/>
      <c r="N1088" s="6" t="s">
        <v>4091</v>
      </c>
      <c r="O1088" s="6" t="str">
        <f>HYPERLINK("https://ceds.ed.gov/cedselementdetails.aspx?termid=5184")</f>
        <v>https://ceds.ed.gov/cedselementdetails.aspx?termid=5184</v>
      </c>
      <c r="P1088" s="6" t="str">
        <f>HYPERLINK("https://ceds.ed.gov/elementComment.aspx?elementName=Middle Name &amp;elementID=5184", "Click here to submit comment")</f>
        <v>Click here to submit comment</v>
      </c>
    </row>
    <row r="1089" spans="1:16" ht="195">
      <c r="A1089" s="6" t="s">
        <v>6788</v>
      </c>
      <c r="B1089" s="6" t="s">
        <v>6821</v>
      </c>
      <c r="C1089" s="6" t="s">
        <v>6717</v>
      </c>
      <c r="D1089" s="6" t="s">
        <v>3427</v>
      </c>
      <c r="E1089" s="6" t="s">
        <v>3428</v>
      </c>
      <c r="F1089" s="6" t="s">
        <v>13</v>
      </c>
      <c r="G1089" s="6" t="s">
        <v>6176</v>
      </c>
      <c r="H1089" s="6" t="s">
        <v>3</v>
      </c>
      <c r="I1089" s="6" t="s">
        <v>1368</v>
      </c>
      <c r="J1089" s="6"/>
      <c r="K1089" s="6" t="s">
        <v>2778</v>
      </c>
      <c r="L1089" s="6" t="s">
        <v>3429</v>
      </c>
      <c r="M1089" s="6" t="s">
        <v>3430</v>
      </c>
      <c r="N1089" s="6" t="s">
        <v>3431</v>
      </c>
      <c r="O1089" s="6" t="str">
        <f>HYPERLINK("https://ceds.ed.gov/cedselementdetails.aspx?termid=5172")</f>
        <v>https://ceds.ed.gov/cedselementdetails.aspx?termid=5172</v>
      </c>
      <c r="P1089" s="6" t="str">
        <f>HYPERLINK("https://ceds.ed.gov/elementComment.aspx?elementName=Last or Surname &amp;elementID=5172", "Click here to submit comment")</f>
        <v>Click here to submit comment</v>
      </c>
    </row>
    <row r="1090" spans="1:16" ht="150">
      <c r="A1090" s="6" t="s">
        <v>6788</v>
      </c>
      <c r="B1090" s="6" t="s">
        <v>6821</v>
      </c>
      <c r="C1090" s="6" t="s">
        <v>6717</v>
      </c>
      <c r="D1090" s="6" t="s">
        <v>2829</v>
      </c>
      <c r="E1090" s="6" t="s">
        <v>2830</v>
      </c>
      <c r="F1090" s="6" t="s">
        <v>13</v>
      </c>
      <c r="G1090" s="6" t="s">
        <v>6179</v>
      </c>
      <c r="H1090" s="6" t="s">
        <v>3</v>
      </c>
      <c r="I1090" s="6" t="s">
        <v>2031</v>
      </c>
      <c r="J1090" s="6"/>
      <c r="K1090" s="6" t="s">
        <v>2778</v>
      </c>
      <c r="L1090" s="6" t="s">
        <v>2831</v>
      </c>
      <c r="M1090" s="6"/>
      <c r="N1090" s="6" t="s">
        <v>2832</v>
      </c>
      <c r="O1090" s="6" t="str">
        <f>HYPERLINK("https://ceds.ed.gov/cedselementdetails.aspx?termid=5121")</f>
        <v>https://ceds.ed.gov/cedselementdetails.aspx?termid=5121</v>
      </c>
      <c r="P1090" s="6" t="str">
        <f>HYPERLINK("https://ceds.ed.gov/elementComment.aspx?elementName=Generation Code or Suffix &amp;elementID=5121", "Click here to submit comment")</f>
        <v>Click here to submit comment</v>
      </c>
    </row>
    <row r="1091" spans="1:16" ht="105">
      <c r="A1091" s="6" t="s">
        <v>6788</v>
      </c>
      <c r="B1091" s="6" t="s">
        <v>6821</v>
      </c>
      <c r="C1091" s="6" t="s">
        <v>6717</v>
      </c>
      <c r="D1091" s="6" t="s">
        <v>4498</v>
      </c>
      <c r="E1091" s="6" t="s">
        <v>4499</v>
      </c>
      <c r="F1091" s="6" t="s">
        <v>13</v>
      </c>
      <c r="G1091" s="6" t="s">
        <v>6280</v>
      </c>
      <c r="H1091" s="6" t="s">
        <v>3</v>
      </c>
      <c r="I1091" s="6" t="s">
        <v>100</v>
      </c>
      <c r="J1091" s="6"/>
      <c r="K1091" s="6"/>
      <c r="L1091" s="6" t="s">
        <v>4500</v>
      </c>
      <c r="M1091" s="6" t="s">
        <v>4501</v>
      </c>
      <c r="N1091" s="6" t="s">
        <v>4502</v>
      </c>
      <c r="O1091" s="6" t="str">
        <f>HYPERLINK("https://ceds.ed.gov/cedselementdetails.aspx?termid=5212")</f>
        <v>https://ceds.ed.gov/cedselementdetails.aspx?termid=5212</v>
      </c>
      <c r="P1091" s="6" t="str">
        <f>HYPERLINK("https://ceds.ed.gov/elementComment.aspx?elementName=Personal Title or Prefix &amp;elementID=5212", "Click here to submit comment")</f>
        <v>Click here to submit comment</v>
      </c>
    </row>
    <row r="1092" spans="1:16" ht="30">
      <c r="A1092" s="6" t="s">
        <v>6788</v>
      </c>
      <c r="B1092" s="6" t="s">
        <v>6821</v>
      </c>
      <c r="C1092" s="6" t="s">
        <v>6718</v>
      </c>
      <c r="D1092" s="6" t="s">
        <v>4375</v>
      </c>
      <c r="E1092" s="6" t="s">
        <v>4376</v>
      </c>
      <c r="F1092" s="6" t="s">
        <v>13</v>
      </c>
      <c r="G1092" s="6"/>
      <c r="H1092" s="6" t="s">
        <v>54</v>
      </c>
      <c r="I1092" s="6" t="s">
        <v>1368</v>
      </c>
      <c r="J1092" s="6"/>
      <c r="K1092" s="6" t="s">
        <v>4377</v>
      </c>
      <c r="L1092" s="6" t="s">
        <v>4378</v>
      </c>
      <c r="M1092" s="6"/>
      <c r="N1092" s="6" t="s">
        <v>4379</v>
      </c>
      <c r="O1092" s="6" t="str">
        <f>HYPERLINK("https://ceds.ed.gov/cedselementdetails.aspx?termid=6486")</f>
        <v>https://ceds.ed.gov/cedselementdetails.aspx?termid=6486</v>
      </c>
      <c r="P1092" s="6" t="str">
        <f>HYPERLINK("https://ceds.ed.gov/elementComment.aspx?elementName=Other First Name &amp;elementID=6486", "Click here to submit comment")</f>
        <v>Click here to submit comment</v>
      </c>
    </row>
    <row r="1093" spans="1:16" ht="30">
      <c r="A1093" s="6" t="s">
        <v>6788</v>
      </c>
      <c r="B1093" s="6" t="s">
        <v>6821</v>
      </c>
      <c r="C1093" s="6" t="s">
        <v>6718</v>
      </c>
      <c r="D1093" s="6" t="s">
        <v>4380</v>
      </c>
      <c r="E1093" s="6" t="s">
        <v>4381</v>
      </c>
      <c r="F1093" s="6" t="s">
        <v>13</v>
      </c>
      <c r="G1093" s="6"/>
      <c r="H1093" s="6" t="s">
        <v>54</v>
      </c>
      <c r="I1093" s="6" t="s">
        <v>1368</v>
      </c>
      <c r="J1093" s="6"/>
      <c r="K1093" s="6" t="s">
        <v>4382</v>
      </c>
      <c r="L1093" s="6" t="s">
        <v>4383</v>
      </c>
      <c r="M1093" s="6"/>
      <c r="N1093" s="6" t="s">
        <v>4384</v>
      </c>
      <c r="O1093" s="6" t="str">
        <f>HYPERLINK("https://ceds.ed.gov/cedselementdetails.aspx?termid=6485")</f>
        <v>https://ceds.ed.gov/cedselementdetails.aspx?termid=6485</v>
      </c>
      <c r="P1093" s="6" t="str">
        <f>HYPERLINK("https://ceds.ed.gov/elementComment.aspx?elementName=Other Last Name &amp;elementID=6485", "Click here to submit comment")</f>
        <v>Click here to submit comment</v>
      </c>
    </row>
    <row r="1094" spans="1:16" ht="30">
      <c r="A1094" s="6" t="s">
        <v>6788</v>
      </c>
      <c r="B1094" s="6" t="s">
        <v>6821</v>
      </c>
      <c r="C1094" s="6" t="s">
        <v>6718</v>
      </c>
      <c r="D1094" s="6" t="s">
        <v>4385</v>
      </c>
      <c r="E1094" s="6" t="s">
        <v>4386</v>
      </c>
      <c r="F1094" s="6" t="s">
        <v>13</v>
      </c>
      <c r="G1094" s="6"/>
      <c r="H1094" s="6" t="s">
        <v>54</v>
      </c>
      <c r="I1094" s="6" t="s">
        <v>1368</v>
      </c>
      <c r="J1094" s="6"/>
      <c r="K1094" s="6" t="s">
        <v>4387</v>
      </c>
      <c r="L1094" s="6" t="s">
        <v>4388</v>
      </c>
      <c r="M1094" s="6"/>
      <c r="N1094" s="6" t="s">
        <v>4389</v>
      </c>
      <c r="O1094" s="6" t="str">
        <f>HYPERLINK("https://ceds.ed.gov/cedselementdetails.aspx?termid=6487")</f>
        <v>https://ceds.ed.gov/cedselementdetails.aspx?termid=6487</v>
      </c>
      <c r="P1094" s="6" t="str">
        <f>HYPERLINK("https://ceds.ed.gov/elementComment.aspx?elementName=Other Middle Name &amp;elementID=6487", "Click here to submit comment")</f>
        <v>Click here to submit comment</v>
      </c>
    </row>
    <row r="1095" spans="1:16" ht="150">
      <c r="A1095" s="6" t="s">
        <v>6788</v>
      </c>
      <c r="B1095" s="6" t="s">
        <v>6821</v>
      </c>
      <c r="C1095" s="6" t="s">
        <v>6718</v>
      </c>
      <c r="D1095" s="6" t="s">
        <v>4390</v>
      </c>
      <c r="E1095" s="6" t="s">
        <v>4391</v>
      </c>
      <c r="F1095" s="6" t="s">
        <v>13</v>
      </c>
      <c r="G1095" s="6" t="s">
        <v>6179</v>
      </c>
      <c r="H1095" s="6" t="s">
        <v>3</v>
      </c>
      <c r="I1095" s="6" t="s">
        <v>149</v>
      </c>
      <c r="J1095" s="6"/>
      <c r="K1095" s="6"/>
      <c r="L1095" s="6" t="s">
        <v>4392</v>
      </c>
      <c r="M1095" s="6"/>
      <c r="N1095" s="6" t="s">
        <v>4393</v>
      </c>
      <c r="O1095" s="6" t="str">
        <f>HYPERLINK("https://ceds.ed.gov/cedselementdetails.aspx?termid=5206")</f>
        <v>https://ceds.ed.gov/cedselementdetails.aspx?termid=5206</v>
      </c>
      <c r="P1095" s="6" t="str">
        <f>HYPERLINK("https://ceds.ed.gov/elementComment.aspx?elementName=Other Name &amp;elementID=5206", "Click here to submit comment")</f>
        <v>Click here to submit comment</v>
      </c>
    </row>
    <row r="1096" spans="1:16" ht="90">
      <c r="A1096" s="6" t="s">
        <v>6788</v>
      </c>
      <c r="B1096" s="6" t="s">
        <v>6821</v>
      </c>
      <c r="C1096" s="6" t="s">
        <v>6718</v>
      </c>
      <c r="D1096" s="6" t="s">
        <v>4394</v>
      </c>
      <c r="E1096" s="6" t="s">
        <v>4395</v>
      </c>
      <c r="F1096" s="7" t="s">
        <v>6593</v>
      </c>
      <c r="G1096" s="6" t="s">
        <v>6273</v>
      </c>
      <c r="H1096" s="6" t="s">
        <v>3</v>
      </c>
      <c r="I1096" s="6" t="s">
        <v>100</v>
      </c>
      <c r="J1096" s="6"/>
      <c r="K1096" s="6"/>
      <c r="L1096" s="6" t="s">
        <v>4396</v>
      </c>
      <c r="M1096" s="6"/>
      <c r="N1096" s="6" t="s">
        <v>4397</v>
      </c>
      <c r="O1096" s="6" t="str">
        <f>HYPERLINK("https://ceds.ed.gov/cedselementdetails.aspx?termid=5627")</f>
        <v>https://ceds.ed.gov/cedselementdetails.aspx?termid=5627</v>
      </c>
      <c r="P1096" s="6" t="str">
        <f>HYPERLINK("https://ceds.ed.gov/elementComment.aspx?elementName=Other Name Type &amp;elementID=5627", "Click here to submit comment")</f>
        <v>Click here to submit comment</v>
      </c>
    </row>
    <row r="1097" spans="1:16" ht="135">
      <c r="A1097" s="6" t="s">
        <v>6788</v>
      </c>
      <c r="B1097" s="6" t="s">
        <v>6821</v>
      </c>
      <c r="C1097" s="6" t="s">
        <v>6719</v>
      </c>
      <c r="D1097" s="6" t="s">
        <v>5506</v>
      </c>
      <c r="E1097" s="6" t="s">
        <v>5507</v>
      </c>
      <c r="F1097" s="6" t="s">
        <v>13</v>
      </c>
      <c r="G1097" s="6" t="s">
        <v>6322</v>
      </c>
      <c r="H1097" s="6" t="s">
        <v>3</v>
      </c>
      <c r="I1097" s="6" t="s">
        <v>100</v>
      </c>
      <c r="J1097" s="6"/>
      <c r="K1097" s="6"/>
      <c r="L1097" s="6" t="s">
        <v>5508</v>
      </c>
      <c r="M1097" s="6"/>
      <c r="N1097" s="6" t="s">
        <v>5509</v>
      </c>
      <c r="O1097" s="6" t="str">
        <f>HYPERLINK("https://ceds.ed.gov/cedselementdetails.aspx?termid=5156")</f>
        <v>https://ceds.ed.gov/cedselementdetails.aspx?termid=5156</v>
      </c>
      <c r="P1097" s="6" t="str">
        <f>HYPERLINK("https://ceds.ed.gov/elementComment.aspx?elementName=Staff Member Identifier &amp;elementID=5156", "Click here to submit comment")</f>
        <v>Click here to submit comment</v>
      </c>
    </row>
    <row r="1098" spans="1:16" ht="409.5">
      <c r="A1098" s="6" t="s">
        <v>6788</v>
      </c>
      <c r="B1098" s="6" t="s">
        <v>6821</v>
      </c>
      <c r="C1098" s="6" t="s">
        <v>6719</v>
      </c>
      <c r="D1098" s="6" t="s">
        <v>5502</v>
      </c>
      <c r="E1098" s="6" t="s">
        <v>5503</v>
      </c>
      <c r="F1098" s="7" t="s">
        <v>6662</v>
      </c>
      <c r="G1098" s="6" t="s">
        <v>6321</v>
      </c>
      <c r="H1098" s="6" t="s">
        <v>3</v>
      </c>
      <c r="I1098" s="6"/>
      <c r="J1098" s="6"/>
      <c r="K1098" s="6"/>
      <c r="L1098" s="6" t="s">
        <v>5504</v>
      </c>
      <c r="M1098" s="6"/>
      <c r="N1098" s="6" t="s">
        <v>5505</v>
      </c>
      <c r="O1098" s="6" t="str">
        <f>HYPERLINK("https://ceds.ed.gov/cedselementdetails.aspx?termid=5162")</f>
        <v>https://ceds.ed.gov/cedselementdetails.aspx?termid=5162</v>
      </c>
      <c r="P1098" s="6" t="str">
        <f>HYPERLINK("https://ceds.ed.gov/elementComment.aspx?elementName=Staff Member Identification System &amp;elementID=5162", "Click here to submit comment")</f>
        <v>Click here to submit comment</v>
      </c>
    </row>
    <row r="1099" spans="1:16" ht="390">
      <c r="A1099" s="6" t="s">
        <v>6788</v>
      </c>
      <c r="B1099" s="6" t="s">
        <v>6821</v>
      </c>
      <c r="C1099" s="6" t="s">
        <v>6719</v>
      </c>
      <c r="D1099" s="6" t="s">
        <v>5383</v>
      </c>
      <c r="E1099" s="6" t="s">
        <v>5384</v>
      </c>
      <c r="F1099" s="6" t="s">
        <v>13</v>
      </c>
      <c r="G1099" s="6" t="s">
        <v>6315</v>
      </c>
      <c r="H1099" s="6" t="s">
        <v>3</v>
      </c>
      <c r="I1099" s="6" t="s">
        <v>5385</v>
      </c>
      <c r="J1099" s="6"/>
      <c r="K1099" s="6" t="s">
        <v>5386</v>
      </c>
      <c r="L1099" s="6" t="s">
        <v>5387</v>
      </c>
      <c r="M1099" s="6" t="s">
        <v>5388</v>
      </c>
      <c r="N1099" s="6" t="s">
        <v>5389</v>
      </c>
      <c r="O1099" s="6" t="str">
        <f>HYPERLINK("https://ceds.ed.gov/cedselementdetails.aspx?termid=5259")</f>
        <v>https://ceds.ed.gov/cedselementdetails.aspx?termid=5259</v>
      </c>
      <c r="P1099" s="6" t="str">
        <f>HYPERLINK("https://ceds.ed.gov/elementComment.aspx?elementName=Social Security Number &amp;elementID=5259", "Click here to submit comment")</f>
        <v>Click here to submit comment</v>
      </c>
    </row>
    <row r="1100" spans="1:16" ht="375">
      <c r="A1100" s="6" t="s">
        <v>6788</v>
      </c>
      <c r="B1100" s="6" t="s">
        <v>6821</v>
      </c>
      <c r="C1100" s="6" t="s">
        <v>6719</v>
      </c>
      <c r="D1100" s="6" t="s">
        <v>4494</v>
      </c>
      <c r="E1100" s="6" t="s">
        <v>4495</v>
      </c>
      <c r="F1100" s="7" t="s">
        <v>6599</v>
      </c>
      <c r="G1100" s="6"/>
      <c r="H1100" s="6" t="s">
        <v>3</v>
      </c>
      <c r="I1100" s="6"/>
      <c r="J1100" s="6"/>
      <c r="K1100" s="6"/>
      <c r="L1100" s="6" t="s">
        <v>4496</v>
      </c>
      <c r="M1100" s="6"/>
      <c r="N1100" s="6" t="s">
        <v>4497</v>
      </c>
      <c r="O1100" s="6" t="str">
        <f>HYPERLINK("https://ceds.ed.gov/cedselementdetails.aspx?termid=5611")</f>
        <v>https://ceds.ed.gov/cedselementdetails.aspx?termid=5611</v>
      </c>
      <c r="P1100" s="6" t="str">
        <f>HYPERLINK("https://ceds.ed.gov/elementComment.aspx?elementName=Personal Information Verification &amp;elementID=5611", "Click here to submit comment")</f>
        <v>Click here to submit comment</v>
      </c>
    </row>
    <row r="1101" spans="1:16" ht="150">
      <c r="A1101" s="6" t="s">
        <v>6788</v>
      </c>
      <c r="B1101" s="6" t="s">
        <v>6821</v>
      </c>
      <c r="C1101" s="6" t="s">
        <v>6720</v>
      </c>
      <c r="D1101" s="6" t="s">
        <v>200</v>
      </c>
      <c r="E1101" s="6" t="s">
        <v>201</v>
      </c>
      <c r="F1101" s="7" t="s">
        <v>6355</v>
      </c>
      <c r="G1101" s="6" t="s">
        <v>202</v>
      </c>
      <c r="H1101" s="6" t="s">
        <v>3</v>
      </c>
      <c r="I1101" s="6" t="s">
        <v>100</v>
      </c>
      <c r="J1101" s="6"/>
      <c r="K1101" s="6"/>
      <c r="L1101" s="6" t="s">
        <v>203</v>
      </c>
      <c r="M1101" s="6"/>
      <c r="N1101" s="6" t="s">
        <v>204</v>
      </c>
      <c r="O1101" s="6" t="str">
        <f>HYPERLINK("https://ceds.ed.gov/cedselementdetails.aspx?termid=5698")</f>
        <v>https://ceds.ed.gov/cedselementdetails.aspx?termid=5698</v>
      </c>
      <c r="P1101" s="6" t="str">
        <f>HYPERLINK("https://ceds.ed.gov/elementComment.aspx?elementName=Address Type for Staff &amp;elementID=5698", "Click here to submit comment")</f>
        <v>Click here to submit comment</v>
      </c>
    </row>
    <row r="1102" spans="1:16" ht="225">
      <c r="A1102" s="6" t="s">
        <v>6788</v>
      </c>
      <c r="B1102" s="6" t="s">
        <v>6821</v>
      </c>
      <c r="C1102" s="6" t="s">
        <v>6720</v>
      </c>
      <c r="D1102" s="6" t="s">
        <v>187</v>
      </c>
      <c r="E1102" s="6" t="s">
        <v>188</v>
      </c>
      <c r="F1102" s="6" t="s">
        <v>13</v>
      </c>
      <c r="G1102" s="6" t="s">
        <v>5973</v>
      </c>
      <c r="H1102" s="6" t="s">
        <v>3</v>
      </c>
      <c r="I1102" s="6" t="s">
        <v>149</v>
      </c>
      <c r="J1102" s="6"/>
      <c r="K1102" s="6"/>
      <c r="L1102" s="6" t="s">
        <v>189</v>
      </c>
      <c r="M1102" s="6"/>
      <c r="N1102" s="6" t="s">
        <v>190</v>
      </c>
      <c r="O1102" s="6" t="str">
        <f>HYPERLINK("https://ceds.ed.gov/cedselementdetails.aspx?termid=5269")</f>
        <v>https://ceds.ed.gov/cedselementdetails.aspx?termid=5269</v>
      </c>
      <c r="P1102" s="6" t="str">
        <f>HYPERLINK("https://ceds.ed.gov/elementComment.aspx?elementName=Address Street Number and Name &amp;elementID=5269", "Click here to submit comment")</f>
        <v>Click here to submit comment</v>
      </c>
    </row>
    <row r="1103" spans="1:16" ht="225">
      <c r="A1103" s="6" t="s">
        <v>6788</v>
      </c>
      <c r="B1103" s="6" t="s">
        <v>6821</v>
      </c>
      <c r="C1103" s="6" t="s">
        <v>6720</v>
      </c>
      <c r="D1103" s="6" t="s">
        <v>170</v>
      </c>
      <c r="E1103" s="6" t="s">
        <v>171</v>
      </c>
      <c r="F1103" s="6" t="s">
        <v>13</v>
      </c>
      <c r="G1103" s="6" t="s">
        <v>5973</v>
      </c>
      <c r="H1103" s="6" t="s">
        <v>3</v>
      </c>
      <c r="I1103" s="6" t="s">
        <v>100</v>
      </c>
      <c r="J1103" s="6"/>
      <c r="K1103" s="6"/>
      <c r="L1103" s="6" t="s">
        <v>172</v>
      </c>
      <c r="M1103" s="6"/>
      <c r="N1103" s="6" t="s">
        <v>173</v>
      </c>
      <c r="O1103" s="6" t="str">
        <f>HYPERLINK("https://ceds.ed.gov/cedselementdetails.aspx?termid=5019")</f>
        <v>https://ceds.ed.gov/cedselementdetails.aspx?termid=5019</v>
      </c>
      <c r="P1103" s="6" t="str">
        <f>HYPERLINK("https://ceds.ed.gov/elementComment.aspx?elementName=Address Apartment Room or Suite Number &amp;elementID=5019", "Click here to submit comment")</f>
        <v>Click here to submit comment</v>
      </c>
    </row>
    <row r="1104" spans="1:16" ht="225">
      <c r="A1104" s="6" t="s">
        <v>6788</v>
      </c>
      <c r="B1104" s="6" t="s">
        <v>6821</v>
      </c>
      <c r="C1104" s="6" t="s">
        <v>6720</v>
      </c>
      <c r="D1104" s="6" t="s">
        <v>174</v>
      </c>
      <c r="E1104" s="6" t="s">
        <v>175</v>
      </c>
      <c r="F1104" s="6" t="s">
        <v>13</v>
      </c>
      <c r="G1104" s="6" t="s">
        <v>5973</v>
      </c>
      <c r="H1104" s="6" t="s">
        <v>3</v>
      </c>
      <c r="I1104" s="6" t="s">
        <v>100</v>
      </c>
      <c r="J1104" s="6"/>
      <c r="K1104" s="6"/>
      <c r="L1104" s="6" t="s">
        <v>176</v>
      </c>
      <c r="M1104" s="6"/>
      <c r="N1104" s="6" t="s">
        <v>177</v>
      </c>
      <c r="O1104" s="6" t="str">
        <f>HYPERLINK("https://ceds.ed.gov/cedselementdetails.aspx?termid=5040")</f>
        <v>https://ceds.ed.gov/cedselementdetails.aspx?termid=5040</v>
      </c>
      <c r="P1104" s="6" t="str">
        <f>HYPERLINK("https://ceds.ed.gov/elementComment.aspx?elementName=Address City &amp;elementID=5040", "Click here to submit comment")</f>
        <v>Click here to submit comment</v>
      </c>
    </row>
    <row r="1105" spans="1:16" ht="409.5">
      <c r="A1105" s="6" t="s">
        <v>6788</v>
      </c>
      <c r="B1105" s="6" t="s">
        <v>6821</v>
      </c>
      <c r="C1105" s="6" t="s">
        <v>6720</v>
      </c>
      <c r="D1105" s="6" t="s">
        <v>5533</v>
      </c>
      <c r="E1105" s="6" t="s">
        <v>5534</v>
      </c>
      <c r="F1105" s="7" t="s">
        <v>6633</v>
      </c>
      <c r="G1105" s="6" t="s">
        <v>6324</v>
      </c>
      <c r="H1105" s="6" t="s">
        <v>3</v>
      </c>
      <c r="I1105" s="6"/>
      <c r="J1105" s="6"/>
      <c r="K1105" s="6"/>
      <c r="L1105" s="6" t="s">
        <v>5535</v>
      </c>
      <c r="M1105" s="6"/>
      <c r="N1105" s="6" t="s">
        <v>5536</v>
      </c>
      <c r="O1105" s="6" t="str">
        <f>HYPERLINK("https://ceds.ed.gov/cedselementdetails.aspx?termid=5267")</f>
        <v>https://ceds.ed.gov/cedselementdetails.aspx?termid=5267</v>
      </c>
      <c r="P1105" s="6" t="str">
        <f>HYPERLINK("https://ceds.ed.gov/elementComment.aspx?elementName=State Abbreviation &amp;elementID=5267", "Click here to submit comment")</f>
        <v>Click here to submit comment</v>
      </c>
    </row>
    <row r="1106" spans="1:16" ht="225">
      <c r="A1106" s="6" t="s">
        <v>6788</v>
      </c>
      <c r="B1106" s="6" t="s">
        <v>6821</v>
      </c>
      <c r="C1106" s="6" t="s">
        <v>6720</v>
      </c>
      <c r="D1106" s="6" t="s">
        <v>182</v>
      </c>
      <c r="E1106" s="6" t="s">
        <v>183</v>
      </c>
      <c r="F1106" s="6" t="s">
        <v>13</v>
      </c>
      <c r="G1106" s="6" t="s">
        <v>5973</v>
      </c>
      <c r="H1106" s="6" t="s">
        <v>3</v>
      </c>
      <c r="I1106" s="6" t="s">
        <v>184</v>
      </c>
      <c r="J1106" s="6"/>
      <c r="K1106" s="6"/>
      <c r="L1106" s="6" t="s">
        <v>185</v>
      </c>
      <c r="M1106" s="6"/>
      <c r="N1106" s="6" t="s">
        <v>186</v>
      </c>
      <c r="O1106" s="6" t="str">
        <f>HYPERLINK("https://ceds.ed.gov/cedselementdetails.aspx?termid=5214")</f>
        <v>https://ceds.ed.gov/cedselementdetails.aspx?termid=5214</v>
      </c>
      <c r="P1106" s="6" t="str">
        <f>HYPERLINK("https://ceds.ed.gov/elementComment.aspx?elementName=Address Postal Code &amp;elementID=5214", "Click here to submit comment")</f>
        <v>Click here to submit comment</v>
      </c>
    </row>
    <row r="1107" spans="1:16" ht="225">
      <c r="A1107" s="6" t="s">
        <v>6788</v>
      </c>
      <c r="B1107" s="6" t="s">
        <v>6821</v>
      </c>
      <c r="C1107" s="6" t="s">
        <v>6720</v>
      </c>
      <c r="D1107" s="6" t="s">
        <v>178</v>
      </c>
      <c r="E1107" s="6" t="s">
        <v>179</v>
      </c>
      <c r="F1107" s="6" t="s">
        <v>13</v>
      </c>
      <c r="G1107" s="6" t="s">
        <v>5973</v>
      </c>
      <c r="H1107" s="6" t="s">
        <v>3</v>
      </c>
      <c r="I1107" s="6" t="s">
        <v>100</v>
      </c>
      <c r="J1107" s="6"/>
      <c r="K1107" s="6"/>
      <c r="L1107" s="6" t="s">
        <v>180</v>
      </c>
      <c r="M1107" s="6"/>
      <c r="N1107" s="6" t="s">
        <v>181</v>
      </c>
      <c r="O1107" s="6" t="str">
        <f>HYPERLINK("https://ceds.ed.gov/cedselementdetails.aspx?termid=5190")</f>
        <v>https://ceds.ed.gov/cedselementdetails.aspx?termid=5190</v>
      </c>
      <c r="P1107" s="6" t="str">
        <f>HYPERLINK("https://ceds.ed.gov/elementComment.aspx?elementName=Address County Name &amp;elementID=5190", "Click here to submit comment")</f>
        <v>Click here to submit comment</v>
      </c>
    </row>
    <row r="1108" spans="1:16" ht="409.5">
      <c r="A1108" s="6" t="s">
        <v>6788</v>
      </c>
      <c r="B1108" s="6" t="s">
        <v>6821</v>
      </c>
      <c r="C1108" s="6" t="s">
        <v>6720</v>
      </c>
      <c r="D1108" s="6" t="s">
        <v>1809</v>
      </c>
      <c r="E1108" s="6" t="s">
        <v>1810</v>
      </c>
      <c r="F1108" s="7" t="s">
        <v>6433</v>
      </c>
      <c r="G1108" s="6" t="s">
        <v>6107</v>
      </c>
      <c r="H1108" s="6" t="s">
        <v>3</v>
      </c>
      <c r="I1108" s="6"/>
      <c r="J1108" s="6"/>
      <c r="K1108" s="6"/>
      <c r="L1108" s="6" t="s">
        <v>1811</v>
      </c>
      <c r="M1108" s="6"/>
      <c r="N1108" s="6" t="s">
        <v>1812</v>
      </c>
      <c r="O1108" s="6" t="str">
        <f>HYPERLINK("https://ceds.ed.gov/cedselementdetails.aspx?termid=5050")</f>
        <v>https://ceds.ed.gov/cedselementdetails.aspx?termid=5050</v>
      </c>
      <c r="P1108" s="6" t="str">
        <f>HYPERLINK("https://ceds.ed.gov/elementComment.aspx?elementName=Country Code &amp;elementID=5050", "Click here to submit comment")</f>
        <v>Click here to submit comment</v>
      </c>
    </row>
    <row r="1109" spans="1:16" ht="135">
      <c r="A1109" s="6" t="s">
        <v>6788</v>
      </c>
      <c r="B1109" s="6" t="s">
        <v>6821</v>
      </c>
      <c r="C1109" s="6" t="s">
        <v>6721</v>
      </c>
      <c r="D1109" s="6" t="s">
        <v>5732</v>
      </c>
      <c r="E1109" s="6" t="s">
        <v>5733</v>
      </c>
      <c r="F1109" s="7" t="s">
        <v>6675</v>
      </c>
      <c r="G1109" s="6" t="s">
        <v>5968</v>
      </c>
      <c r="H1109" s="6" t="s">
        <v>3</v>
      </c>
      <c r="I1109" s="6" t="s">
        <v>2844</v>
      </c>
      <c r="J1109" s="6"/>
      <c r="K1109" s="6"/>
      <c r="L1109" s="6" t="s">
        <v>5734</v>
      </c>
      <c r="M1109" s="6"/>
      <c r="N1109" s="6" t="s">
        <v>5735</v>
      </c>
      <c r="O1109" s="6" t="str">
        <f>HYPERLINK("https://ceds.ed.gov/cedselementdetails.aspx?termid=5280")</f>
        <v>https://ceds.ed.gov/cedselementdetails.aspx?termid=5280</v>
      </c>
      <c r="P1109" s="6" t="str">
        <f>HYPERLINK("https://ceds.ed.gov/elementComment.aspx?elementName=Telephone Number Type &amp;elementID=5280", "Click here to submit comment")</f>
        <v>Click here to submit comment</v>
      </c>
    </row>
    <row r="1110" spans="1:16" ht="90">
      <c r="A1110" s="6" t="s">
        <v>6788</v>
      </c>
      <c r="B1110" s="6" t="s">
        <v>6821</v>
      </c>
      <c r="C1110" s="6" t="s">
        <v>6721</v>
      </c>
      <c r="D1110" s="6" t="s">
        <v>4591</v>
      </c>
      <c r="E1110" s="6" t="s">
        <v>4592</v>
      </c>
      <c r="F1110" s="6" t="s">
        <v>5963</v>
      </c>
      <c r="G1110" s="6" t="s">
        <v>5968</v>
      </c>
      <c r="H1110" s="6" t="s">
        <v>3</v>
      </c>
      <c r="I1110" s="6"/>
      <c r="J1110" s="6"/>
      <c r="K1110" s="6"/>
      <c r="L1110" s="6" t="s">
        <v>4593</v>
      </c>
      <c r="M1110" s="6"/>
      <c r="N1110" s="6" t="s">
        <v>4594</v>
      </c>
      <c r="O1110" s="6" t="str">
        <f>HYPERLINK("https://ceds.ed.gov/cedselementdetails.aspx?termid=5219")</f>
        <v>https://ceds.ed.gov/cedselementdetails.aspx?termid=5219</v>
      </c>
      <c r="P1110" s="6" t="str">
        <f>HYPERLINK("https://ceds.ed.gov/elementComment.aspx?elementName=Primary Telephone Number Indicator &amp;elementID=5219", "Click here to submit comment")</f>
        <v>Click here to submit comment</v>
      </c>
    </row>
    <row r="1111" spans="1:16" ht="90">
      <c r="A1111" s="6" t="s">
        <v>6788</v>
      </c>
      <c r="B1111" s="6" t="s">
        <v>6821</v>
      </c>
      <c r="C1111" s="6" t="s">
        <v>6721</v>
      </c>
      <c r="D1111" s="6" t="s">
        <v>5727</v>
      </c>
      <c r="E1111" s="6" t="s">
        <v>5728</v>
      </c>
      <c r="F1111" s="6" t="s">
        <v>13</v>
      </c>
      <c r="G1111" s="6" t="s">
        <v>5968</v>
      </c>
      <c r="H1111" s="6" t="s">
        <v>3</v>
      </c>
      <c r="I1111" s="6" t="s">
        <v>5729</v>
      </c>
      <c r="J1111" s="6"/>
      <c r="K1111" s="6"/>
      <c r="L1111" s="6" t="s">
        <v>5730</v>
      </c>
      <c r="M1111" s="6"/>
      <c r="N1111" s="6" t="s">
        <v>5731</v>
      </c>
      <c r="O1111" s="6" t="str">
        <f>HYPERLINK("https://ceds.ed.gov/cedselementdetails.aspx?termid=5279")</f>
        <v>https://ceds.ed.gov/cedselementdetails.aspx?termid=5279</v>
      </c>
      <c r="P1111" s="6" t="str">
        <f>HYPERLINK("https://ceds.ed.gov/elementComment.aspx?elementName=Telephone Number &amp;elementID=5279", "Click here to submit comment")</f>
        <v>Click here to submit comment</v>
      </c>
    </row>
    <row r="1112" spans="1:16" ht="105">
      <c r="A1112" s="6" t="s">
        <v>6788</v>
      </c>
      <c r="B1112" s="6" t="s">
        <v>6821</v>
      </c>
      <c r="C1112" s="6" t="s">
        <v>6742</v>
      </c>
      <c r="D1112" s="6" t="s">
        <v>2457</v>
      </c>
      <c r="E1112" s="6" t="s">
        <v>2458</v>
      </c>
      <c r="F1112" s="7" t="s">
        <v>6489</v>
      </c>
      <c r="G1112" s="6" t="s">
        <v>5968</v>
      </c>
      <c r="H1112" s="6" t="s">
        <v>3</v>
      </c>
      <c r="I1112" s="6"/>
      <c r="J1112" s="6"/>
      <c r="K1112" s="6"/>
      <c r="L1112" s="6" t="s">
        <v>2459</v>
      </c>
      <c r="M1112" s="6" t="s">
        <v>2460</v>
      </c>
      <c r="N1112" s="6" t="s">
        <v>2461</v>
      </c>
      <c r="O1112" s="6" t="str">
        <f>HYPERLINK("https://ceds.ed.gov/cedselementdetails.aspx?termid=5089")</f>
        <v>https://ceds.ed.gov/cedselementdetails.aspx?termid=5089</v>
      </c>
      <c r="P1112" s="6" t="str">
        <f>HYPERLINK("https://ceds.ed.gov/elementComment.aspx?elementName=Electronic Mail Address Type &amp;elementID=5089", "Click here to submit comment")</f>
        <v>Click here to submit comment</v>
      </c>
    </row>
    <row r="1113" spans="1:16" ht="90">
      <c r="A1113" s="6" t="s">
        <v>6788</v>
      </c>
      <c r="B1113" s="6" t="s">
        <v>6821</v>
      </c>
      <c r="C1113" s="6" t="s">
        <v>6742</v>
      </c>
      <c r="D1113" s="6" t="s">
        <v>2451</v>
      </c>
      <c r="E1113" s="6" t="s">
        <v>2452</v>
      </c>
      <c r="F1113" s="6" t="s">
        <v>13</v>
      </c>
      <c r="G1113" s="6" t="s">
        <v>5968</v>
      </c>
      <c r="H1113" s="6" t="s">
        <v>3</v>
      </c>
      <c r="I1113" s="6" t="s">
        <v>2453</v>
      </c>
      <c r="J1113" s="6"/>
      <c r="K1113" s="6"/>
      <c r="L1113" s="6" t="s">
        <v>2454</v>
      </c>
      <c r="M1113" s="6" t="s">
        <v>2455</v>
      </c>
      <c r="N1113" s="6" t="s">
        <v>2456</v>
      </c>
      <c r="O1113" s="6" t="str">
        <f>HYPERLINK("https://ceds.ed.gov/cedselementdetails.aspx?termid=5088")</f>
        <v>https://ceds.ed.gov/cedselementdetails.aspx?termid=5088</v>
      </c>
      <c r="P1113" s="6" t="str">
        <f>HYPERLINK("https://ceds.ed.gov/elementComment.aspx?elementName=Electronic Mail Address &amp;elementID=5088", "Click here to submit comment")</f>
        <v>Click here to submit comment</v>
      </c>
    </row>
    <row r="1114" spans="1:16" ht="240">
      <c r="A1114" s="6" t="s">
        <v>6788</v>
      </c>
      <c r="B1114" s="6" t="s">
        <v>6821</v>
      </c>
      <c r="C1114" s="6" t="s">
        <v>6722</v>
      </c>
      <c r="D1114" s="6" t="s">
        <v>1474</v>
      </c>
      <c r="E1114" s="6" t="s">
        <v>1475</v>
      </c>
      <c r="F1114" s="6" t="s">
        <v>13</v>
      </c>
      <c r="G1114" s="6" t="s">
        <v>6080</v>
      </c>
      <c r="H1114" s="6" t="s">
        <v>3</v>
      </c>
      <c r="I1114" s="6" t="s">
        <v>73</v>
      </c>
      <c r="J1114" s="6"/>
      <c r="K1114" s="6"/>
      <c r="L1114" s="6" t="s">
        <v>1476</v>
      </c>
      <c r="M1114" s="6"/>
      <c r="N1114" s="6" t="s">
        <v>1474</v>
      </c>
      <c r="O1114" s="6" t="str">
        <f>HYPERLINK("https://ceds.ed.gov/cedselementdetails.aspx?termid=5033")</f>
        <v>https://ceds.ed.gov/cedselementdetails.aspx?termid=5033</v>
      </c>
      <c r="P1114" s="6" t="str">
        <f>HYPERLINK("https://ceds.ed.gov/elementComment.aspx?elementName=Birthdate &amp;elementID=5033", "Click here to submit comment")</f>
        <v>Click here to submit comment</v>
      </c>
    </row>
    <row r="1115" spans="1:16" ht="255">
      <c r="A1115" s="6" t="s">
        <v>6788</v>
      </c>
      <c r="B1115" s="6" t="s">
        <v>6821</v>
      </c>
      <c r="C1115" s="6" t="s">
        <v>6722</v>
      </c>
      <c r="D1115" s="6" t="s">
        <v>5353</v>
      </c>
      <c r="E1115" s="6" t="s">
        <v>5354</v>
      </c>
      <c r="F1115" s="7" t="s">
        <v>6656</v>
      </c>
      <c r="G1115" s="6" t="s">
        <v>6312</v>
      </c>
      <c r="H1115" s="6" t="s">
        <v>3</v>
      </c>
      <c r="I1115" s="6"/>
      <c r="J1115" s="6"/>
      <c r="K1115" s="6" t="s">
        <v>5355</v>
      </c>
      <c r="L1115" s="6" t="s">
        <v>5356</v>
      </c>
      <c r="M1115" s="6"/>
      <c r="N1115" s="6" t="s">
        <v>5353</v>
      </c>
      <c r="O1115" s="6" t="str">
        <f>HYPERLINK("https://ceds.ed.gov/cedselementdetails.aspx?termid=5255")</f>
        <v>https://ceds.ed.gov/cedselementdetails.aspx?termid=5255</v>
      </c>
      <c r="P1115" s="6" t="str">
        <f>HYPERLINK("https://ceds.ed.gov/elementComment.aspx?elementName=Sex &amp;elementID=5255", "Click here to submit comment")</f>
        <v>Click here to submit comment</v>
      </c>
    </row>
    <row r="1116" spans="1:16" ht="225">
      <c r="A1116" s="6" t="s">
        <v>6788</v>
      </c>
      <c r="B1116" s="6" t="s">
        <v>6821</v>
      </c>
      <c r="C1116" s="6" t="s">
        <v>6722</v>
      </c>
      <c r="D1116" s="6" t="s">
        <v>351</v>
      </c>
      <c r="E1116" s="6" t="s">
        <v>352</v>
      </c>
      <c r="F1116" s="7" t="s">
        <v>6373</v>
      </c>
      <c r="G1116" s="6" t="s">
        <v>5986</v>
      </c>
      <c r="H1116" s="6"/>
      <c r="I1116" s="6"/>
      <c r="J1116" s="6"/>
      <c r="K1116" s="6" t="s">
        <v>353</v>
      </c>
      <c r="L1116" s="6" t="s">
        <v>354</v>
      </c>
      <c r="M1116" s="6"/>
      <c r="N1116" s="6" t="s">
        <v>355</v>
      </c>
      <c r="O1116" s="6" t="str">
        <f>HYPERLINK("https://ceds.ed.gov/cedselementdetails.aspx?termid=5655")</f>
        <v>https://ceds.ed.gov/cedselementdetails.aspx?termid=5655</v>
      </c>
      <c r="P1116" s="6" t="str">
        <f>HYPERLINK("https://ceds.ed.gov/elementComment.aspx?elementName=American Indian or Alaska Native &amp;elementID=5655", "Click here to submit comment")</f>
        <v>Click here to submit comment</v>
      </c>
    </row>
    <row r="1117" spans="1:16" ht="225">
      <c r="A1117" s="6" t="s">
        <v>6788</v>
      </c>
      <c r="B1117" s="6" t="s">
        <v>6821</v>
      </c>
      <c r="C1117" s="6" t="s">
        <v>6722</v>
      </c>
      <c r="D1117" s="6" t="s">
        <v>392</v>
      </c>
      <c r="E1117" s="6" t="s">
        <v>393</v>
      </c>
      <c r="F1117" s="7" t="s">
        <v>6373</v>
      </c>
      <c r="G1117" s="6" t="s">
        <v>5986</v>
      </c>
      <c r="H1117" s="6"/>
      <c r="I1117" s="6"/>
      <c r="J1117" s="6"/>
      <c r="K1117" s="6" t="s">
        <v>353</v>
      </c>
      <c r="L1117" s="6" t="s">
        <v>394</v>
      </c>
      <c r="M1117" s="6"/>
      <c r="N1117" s="6" t="s">
        <v>392</v>
      </c>
      <c r="O1117" s="6" t="str">
        <f>HYPERLINK("https://ceds.ed.gov/cedselementdetails.aspx?termid=5656")</f>
        <v>https://ceds.ed.gov/cedselementdetails.aspx?termid=5656</v>
      </c>
      <c r="P1117" s="6" t="str">
        <f>HYPERLINK("https://ceds.ed.gov/elementComment.aspx?elementName=Asian &amp;elementID=5656", "Click here to submit comment")</f>
        <v>Click here to submit comment</v>
      </c>
    </row>
    <row r="1118" spans="1:16" ht="225">
      <c r="A1118" s="6" t="s">
        <v>6788</v>
      </c>
      <c r="B1118" s="6" t="s">
        <v>6821</v>
      </c>
      <c r="C1118" s="6" t="s">
        <v>6722</v>
      </c>
      <c r="D1118" s="6" t="s">
        <v>1483</v>
      </c>
      <c r="E1118" s="6" t="s">
        <v>1484</v>
      </c>
      <c r="F1118" s="7" t="s">
        <v>6373</v>
      </c>
      <c r="G1118" s="6" t="s">
        <v>5986</v>
      </c>
      <c r="H1118" s="6"/>
      <c r="I1118" s="6"/>
      <c r="J1118" s="6"/>
      <c r="K1118" s="6" t="s">
        <v>353</v>
      </c>
      <c r="L1118" s="6" t="s">
        <v>1485</v>
      </c>
      <c r="M1118" s="6"/>
      <c r="N1118" s="6" t="s">
        <v>1486</v>
      </c>
      <c r="O1118" s="6" t="str">
        <f>HYPERLINK("https://ceds.ed.gov/cedselementdetails.aspx?termid=5657")</f>
        <v>https://ceds.ed.gov/cedselementdetails.aspx?termid=5657</v>
      </c>
      <c r="P1118" s="6" t="str">
        <f>HYPERLINK("https://ceds.ed.gov/elementComment.aspx?elementName=Black or African American &amp;elementID=5657", "Click here to submit comment")</f>
        <v>Click here to submit comment</v>
      </c>
    </row>
    <row r="1119" spans="1:16" ht="225">
      <c r="A1119" s="6" t="s">
        <v>6788</v>
      </c>
      <c r="B1119" s="6" t="s">
        <v>6821</v>
      </c>
      <c r="C1119" s="6" t="s">
        <v>6722</v>
      </c>
      <c r="D1119" s="6" t="s">
        <v>4202</v>
      </c>
      <c r="E1119" s="6" t="s">
        <v>4203</v>
      </c>
      <c r="F1119" s="7" t="s">
        <v>6373</v>
      </c>
      <c r="G1119" s="6" t="s">
        <v>5986</v>
      </c>
      <c r="H1119" s="6"/>
      <c r="I1119" s="6"/>
      <c r="J1119" s="6"/>
      <c r="K1119" s="6" t="s">
        <v>353</v>
      </c>
      <c r="L1119" s="6" t="s">
        <v>4204</v>
      </c>
      <c r="M1119" s="6"/>
      <c r="N1119" s="6" t="s">
        <v>4205</v>
      </c>
      <c r="O1119" s="6" t="str">
        <f>HYPERLINK("https://ceds.ed.gov/cedselementdetails.aspx?termid=5658")</f>
        <v>https://ceds.ed.gov/cedselementdetails.aspx?termid=5658</v>
      </c>
      <c r="P1119" s="6" t="str">
        <f>HYPERLINK("https://ceds.ed.gov/elementComment.aspx?elementName=Native Hawaiian or Other Pacific Islander &amp;elementID=5658", "Click here to submit comment")</f>
        <v>Click here to submit comment</v>
      </c>
    </row>
    <row r="1120" spans="1:16" ht="225">
      <c r="A1120" s="6" t="s">
        <v>6788</v>
      </c>
      <c r="B1120" s="6" t="s">
        <v>6821</v>
      </c>
      <c r="C1120" s="6" t="s">
        <v>6722</v>
      </c>
      <c r="D1120" s="6" t="s">
        <v>5925</v>
      </c>
      <c r="E1120" s="6" t="s">
        <v>5926</v>
      </c>
      <c r="F1120" s="7" t="s">
        <v>6373</v>
      </c>
      <c r="G1120" s="6" t="s">
        <v>5986</v>
      </c>
      <c r="H1120" s="6"/>
      <c r="I1120" s="6"/>
      <c r="J1120" s="6"/>
      <c r="K1120" s="6" t="s">
        <v>353</v>
      </c>
      <c r="L1120" s="6" t="s">
        <v>5927</v>
      </c>
      <c r="M1120" s="6"/>
      <c r="N1120" s="6" t="s">
        <v>5925</v>
      </c>
      <c r="O1120" s="6" t="str">
        <f>HYPERLINK("https://ceds.ed.gov/cedselementdetails.aspx?termid=5659")</f>
        <v>https://ceds.ed.gov/cedselementdetails.aspx?termid=5659</v>
      </c>
      <c r="P1120" s="6" t="str">
        <f>HYPERLINK("https://ceds.ed.gov/elementComment.aspx?elementName=White &amp;elementID=5659", "Click here to submit comment")</f>
        <v>Click here to submit comment</v>
      </c>
    </row>
    <row r="1121" spans="1:16" ht="225">
      <c r="A1121" s="6" t="s">
        <v>6788</v>
      </c>
      <c r="B1121" s="6" t="s">
        <v>6821</v>
      </c>
      <c r="C1121" s="6" t="s">
        <v>6722</v>
      </c>
      <c r="D1121" s="6" t="s">
        <v>2985</v>
      </c>
      <c r="E1121" s="6" t="s">
        <v>2986</v>
      </c>
      <c r="F1121" s="7" t="s">
        <v>6373</v>
      </c>
      <c r="G1121" s="6" t="s">
        <v>5986</v>
      </c>
      <c r="H1121" s="6"/>
      <c r="I1121" s="6"/>
      <c r="J1121" s="6"/>
      <c r="K1121" s="6" t="s">
        <v>353</v>
      </c>
      <c r="L1121" s="6" t="s">
        <v>2987</v>
      </c>
      <c r="M1121" s="6"/>
      <c r="N1121" s="6" t="s">
        <v>2988</v>
      </c>
      <c r="O1121" s="6" t="str">
        <f>HYPERLINK("https://ceds.ed.gov/cedselementdetails.aspx?termid=5144")</f>
        <v>https://ceds.ed.gov/cedselementdetails.aspx?termid=5144</v>
      </c>
      <c r="P1121" s="6" t="str">
        <f>HYPERLINK("https://ceds.ed.gov/elementComment.aspx?elementName=Hispanic or Latino Ethnicity &amp;elementID=5144", "Click here to submit comment")</f>
        <v>Click here to submit comment</v>
      </c>
    </row>
    <row r="1122" spans="1:16" ht="120">
      <c r="A1122" s="6" t="s">
        <v>6788</v>
      </c>
      <c r="B1122" s="6" t="s">
        <v>6821</v>
      </c>
      <c r="C1122" s="6" t="s">
        <v>6822</v>
      </c>
      <c r="D1122" s="6" t="s">
        <v>4022</v>
      </c>
      <c r="E1122" s="6" t="s">
        <v>4023</v>
      </c>
      <c r="F1122" s="6" t="s">
        <v>13</v>
      </c>
      <c r="G1122" s="6" t="s">
        <v>6252</v>
      </c>
      <c r="H1122" s="6"/>
      <c r="I1122" s="6" t="s">
        <v>100</v>
      </c>
      <c r="J1122" s="6"/>
      <c r="K1122" s="6"/>
      <c r="L1122" s="6" t="s">
        <v>4024</v>
      </c>
      <c r="M1122" s="6" t="s">
        <v>4025</v>
      </c>
      <c r="N1122" s="6" t="s">
        <v>4026</v>
      </c>
      <c r="O1122" s="6" t="str">
        <f>HYPERLINK("https://ceds.ed.gov/cedselementdetails.aspx?termid=5153")</f>
        <v>https://ceds.ed.gov/cedselementdetails.aspx?termid=5153</v>
      </c>
      <c r="P1122" s="6" t="str">
        <f>HYPERLINK("https://ceds.ed.gov/elementComment.aspx?elementName=Local Education Agency Identifier &amp;elementID=5153", "Click here to submit comment")</f>
        <v>Click here to submit comment</v>
      </c>
    </row>
    <row r="1123" spans="1:16" ht="285">
      <c r="A1123" s="6" t="s">
        <v>6788</v>
      </c>
      <c r="B1123" s="6" t="s">
        <v>6821</v>
      </c>
      <c r="C1123" s="6" t="s">
        <v>6822</v>
      </c>
      <c r="D1123" s="6" t="s">
        <v>4017</v>
      </c>
      <c r="E1123" s="6" t="s">
        <v>4018</v>
      </c>
      <c r="F1123" s="7" t="s">
        <v>6577</v>
      </c>
      <c r="G1123" s="6" t="s">
        <v>6252</v>
      </c>
      <c r="H1123" s="6"/>
      <c r="I1123" s="6"/>
      <c r="J1123" s="6"/>
      <c r="K1123" s="6"/>
      <c r="L1123" s="6" t="s">
        <v>4019</v>
      </c>
      <c r="M1123" s="6" t="s">
        <v>4020</v>
      </c>
      <c r="N1123" s="6" t="s">
        <v>4021</v>
      </c>
      <c r="O1123" s="6" t="str">
        <f>HYPERLINK("https://ceds.ed.gov/cedselementdetails.aspx?termid=5159")</f>
        <v>https://ceds.ed.gov/cedselementdetails.aspx?termid=5159</v>
      </c>
      <c r="P1123" s="6" t="str">
        <f>HYPERLINK("https://ceds.ed.gov/elementComment.aspx?elementName=Local Education Agency Identification System &amp;elementID=5159", "Click here to submit comment")</f>
        <v>Click here to submit comment</v>
      </c>
    </row>
    <row r="1124" spans="1:16" ht="165">
      <c r="A1124" s="6" t="s">
        <v>6788</v>
      </c>
      <c r="B1124" s="6" t="s">
        <v>6821</v>
      </c>
      <c r="C1124" s="6" t="s">
        <v>6822</v>
      </c>
      <c r="D1124" s="6" t="s">
        <v>5224</v>
      </c>
      <c r="E1124" s="6" t="s">
        <v>269</v>
      </c>
      <c r="F1124" s="6" t="s">
        <v>13</v>
      </c>
      <c r="G1124" s="6" t="s">
        <v>6308</v>
      </c>
      <c r="H1124" s="6"/>
      <c r="I1124" s="6" t="s">
        <v>100</v>
      </c>
      <c r="J1124" s="6"/>
      <c r="K1124" s="6"/>
      <c r="L1124" s="6" t="s">
        <v>5225</v>
      </c>
      <c r="M1124" s="6"/>
      <c r="N1124" s="6" t="s">
        <v>5226</v>
      </c>
      <c r="O1124" s="6" t="str">
        <f>HYPERLINK("https://ceds.ed.gov/cedselementdetails.aspx?termid=5155")</f>
        <v>https://ceds.ed.gov/cedselementdetails.aspx?termid=5155</v>
      </c>
      <c r="P1124" s="6" t="str">
        <f>HYPERLINK("https://ceds.ed.gov/elementComment.aspx?elementName=School Identifier &amp;elementID=5155", "Click here to submit comment")</f>
        <v>Click here to submit comment</v>
      </c>
    </row>
    <row r="1125" spans="1:16" ht="360">
      <c r="A1125" s="6" t="s">
        <v>6788</v>
      </c>
      <c r="B1125" s="6" t="s">
        <v>6821</v>
      </c>
      <c r="C1125" s="6" t="s">
        <v>6822</v>
      </c>
      <c r="D1125" s="6" t="s">
        <v>5221</v>
      </c>
      <c r="E1125" s="6" t="s">
        <v>265</v>
      </c>
      <c r="F1125" s="7" t="s">
        <v>6645</v>
      </c>
      <c r="G1125" s="6" t="s">
        <v>6308</v>
      </c>
      <c r="H1125" s="6"/>
      <c r="I1125" s="6"/>
      <c r="J1125" s="6"/>
      <c r="K1125" s="6"/>
      <c r="L1125" s="6" t="s">
        <v>5222</v>
      </c>
      <c r="M1125" s="6"/>
      <c r="N1125" s="6" t="s">
        <v>5223</v>
      </c>
      <c r="O1125" s="6" t="str">
        <f>HYPERLINK("https://ceds.ed.gov/cedselementdetails.aspx?termid=5161")</f>
        <v>https://ceds.ed.gov/cedselementdetails.aspx?termid=5161</v>
      </c>
      <c r="P1125" s="6" t="str">
        <f>HYPERLINK("https://ceds.ed.gov/elementComment.aspx?elementName=School Identification System &amp;elementID=5161", "Click here to submit comment")</f>
        <v>Click here to submit comment</v>
      </c>
    </row>
    <row r="1126" spans="1:16" ht="45">
      <c r="A1126" s="6" t="s">
        <v>6788</v>
      </c>
      <c r="B1126" s="6" t="s">
        <v>6821</v>
      </c>
      <c r="C1126" s="6" t="s">
        <v>6822</v>
      </c>
      <c r="D1126" s="6" t="s">
        <v>5695</v>
      </c>
      <c r="E1126" s="6" t="s">
        <v>5696</v>
      </c>
      <c r="F1126" s="6" t="s">
        <v>13</v>
      </c>
      <c r="G1126" s="6" t="s">
        <v>5665</v>
      </c>
      <c r="H1126" s="6"/>
      <c r="I1126" s="6" t="s">
        <v>73</v>
      </c>
      <c r="J1126" s="6"/>
      <c r="K1126" s="6"/>
      <c r="L1126" s="6" t="s">
        <v>5697</v>
      </c>
      <c r="M1126" s="6"/>
      <c r="N1126" s="6" t="s">
        <v>5698</v>
      </c>
      <c r="O1126" s="6" t="str">
        <f>HYPERLINK("https://ceds.ed.gov/cedselementdetails.aspx?termid=5647")</f>
        <v>https://ceds.ed.gov/cedselementdetails.aspx?termid=5647</v>
      </c>
      <c r="P1126" s="6" t="str">
        <f>HYPERLINK("https://ceds.ed.gov/elementComment.aspx?elementName=Teaching Assignment Start Date &amp;elementID=5647", "Click here to submit comment")</f>
        <v>Click here to submit comment</v>
      </c>
    </row>
    <row r="1127" spans="1:16" ht="45">
      <c r="A1127" s="6" t="s">
        <v>6788</v>
      </c>
      <c r="B1127" s="6" t="s">
        <v>6821</v>
      </c>
      <c r="C1127" s="6" t="s">
        <v>6822</v>
      </c>
      <c r="D1127" s="6" t="s">
        <v>5687</v>
      </c>
      <c r="E1127" s="6" t="s">
        <v>5688</v>
      </c>
      <c r="F1127" s="6" t="s">
        <v>13</v>
      </c>
      <c r="G1127" s="6" t="s">
        <v>5665</v>
      </c>
      <c r="H1127" s="6"/>
      <c r="I1127" s="6" t="s">
        <v>73</v>
      </c>
      <c r="J1127" s="6"/>
      <c r="K1127" s="6"/>
      <c r="L1127" s="6" t="s">
        <v>5689</v>
      </c>
      <c r="M1127" s="6"/>
      <c r="N1127" s="6" t="s">
        <v>5690</v>
      </c>
      <c r="O1127" s="6" t="str">
        <f>HYPERLINK("https://ceds.ed.gov/cedselementdetails.aspx?termid=5648")</f>
        <v>https://ceds.ed.gov/cedselementdetails.aspx?termid=5648</v>
      </c>
      <c r="P1127" s="6" t="str">
        <f>HYPERLINK("https://ceds.ed.gov/elementComment.aspx?elementName=Teaching Assignment End Date &amp;elementID=5648", "Click here to submit comment")</f>
        <v>Click here to submit comment</v>
      </c>
    </row>
    <row r="1128" spans="1:16" ht="409.5">
      <c r="A1128" s="6" t="s">
        <v>6788</v>
      </c>
      <c r="B1128" s="6" t="s">
        <v>6821</v>
      </c>
      <c r="C1128" s="6" t="s">
        <v>6822</v>
      </c>
      <c r="D1128" s="6" t="s">
        <v>2443</v>
      </c>
      <c r="E1128" s="6" t="s">
        <v>2444</v>
      </c>
      <c r="F1128" s="7" t="s">
        <v>6488</v>
      </c>
      <c r="G1128" s="6" t="s">
        <v>6147</v>
      </c>
      <c r="H1128" s="6"/>
      <c r="I1128" s="6"/>
      <c r="J1128" s="6"/>
      <c r="K1128" s="6"/>
      <c r="L1128" s="6" t="s">
        <v>2445</v>
      </c>
      <c r="M1128" s="6"/>
      <c r="N1128" s="6" t="s">
        <v>2446</v>
      </c>
      <c r="O1128" s="6" t="str">
        <f>HYPERLINK("https://ceds.ed.gov/cedselementdetails.aspx?termid=5087")</f>
        <v>https://ceds.ed.gov/cedselementdetails.aspx?termid=5087</v>
      </c>
      <c r="P1128" s="6" t="str">
        <f>HYPERLINK("https://ceds.ed.gov/elementComment.aspx?elementName=Education Staff Classification &amp;elementID=5087", "Click here to submit comment")</f>
        <v>Click here to submit comment</v>
      </c>
    </row>
    <row r="1129" spans="1:16" ht="45">
      <c r="A1129" s="6" t="s">
        <v>6788</v>
      </c>
      <c r="B1129" s="6" t="s">
        <v>6821</v>
      </c>
      <c r="C1129" s="6" t="s">
        <v>6822</v>
      </c>
      <c r="D1129" s="6" t="s">
        <v>4579</v>
      </c>
      <c r="E1129" s="6" t="s">
        <v>4580</v>
      </c>
      <c r="F1129" s="6" t="s">
        <v>5963</v>
      </c>
      <c r="G1129" s="6"/>
      <c r="H1129" s="6"/>
      <c r="I1129" s="6"/>
      <c r="J1129" s="6"/>
      <c r="K1129" s="6"/>
      <c r="L1129" s="6" t="s">
        <v>4581</v>
      </c>
      <c r="M1129" s="6"/>
      <c r="N1129" s="6" t="s">
        <v>4582</v>
      </c>
      <c r="O1129" s="6" t="str">
        <f>HYPERLINK("https://ceds.ed.gov/cedselementdetails.aspx?termid=5516")</f>
        <v>https://ceds.ed.gov/cedselementdetails.aspx?termid=5516</v>
      </c>
      <c r="P1129" s="6" t="str">
        <f>HYPERLINK("https://ceds.ed.gov/elementComment.aspx?elementName=Primary Assignment Indicator &amp;elementID=5516", "Click here to submit comment")</f>
        <v>Click here to submit comment</v>
      </c>
    </row>
    <row r="1130" spans="1:16" ht="60">
      <c r="A1130" s="6" t="s">
        <v>6788</v>
      </c>
      <c r="B1130" s="6" t="s">
        <v>6821</v>
      </c>
      <c r="C1130" s="6" t="s">
        <v>6822</v>
      </c>
      <c r="D1130" s="6" t="s">
        <v>5496</v>
      </c>
      <c r="E1130" s="6" t="s">
        <v>5497</v>
      </c>
      <c r="F1130" s="6" t="s">
        <v>13</v>
      </c>
      <c r="G1130" s="6" t="s">
        <v>6319</v>
      </c>
      <c r="H1130" s="6" t="s">
        <v>3</v>
      </c>
      <c r="I1130" s="6" t="s">
        <v>5498</v>
      </c>
      <c r="J1130" s="6"/>
      <c r="K1130" s="6"/>
      <c r="L1130" s="6" t="s">
        <v>5499</v>
      </c>
      <c r="M1130" s="6" t="s">
        <v>5500</v>
      </c>
      <c r="N1130" s="6" t="s">
        <v>5501</v>
      </c>
      <c r="O1130" s="6" t="str">
        <f>HYPERLINK("https://ceds.ed.gov/cedselementdetails.aspx?termid=5118")</f>
        <v>https://ceds.ed.gov/cedselementdetails.aspx?termid=5118</v>
      </c>
      <c r="P1130" s="6" t="str">
        <f>HYPERLINK("https://ceds.ed.gov/elementComment.aspx?elementName=Staff Full Time Equivalency &amp;elementID=5118", "Click here to submit comment")</f>
        <v>Click here to submit comment</v>
      </c>
    </row>
    <row r="1131" spans="1:16" ht="30">
      <c r="A1131" s="6" t="s">
        <v>6788</v>
      </c>
      <c r="B1131" s="6" t="s">
        <v>6821</v>
      </c>
      <c r="C1131" s="6" t="s">
        <v>6822</v>
      </c>
      <c r="D1131" s="6" t="s">
        <v>1403</v>
      </c>
      <c r="E1131" s="6" t="s">
        <v>1404</v>
      </c>
      <c r="F1131" s="6" t="s">
        <v>13</v>
      </c>
      <c r="G1131" s="6"/>
      <c r="H1131" s="6"/>
      <c r="I1131" s="6" t="s">
        <v>73</v>
      </c>
      <c r="J1131" s="6"/>
      <c r="K1131" s="6"/>
      <c r="L1131" s="6" t="s">
        <v>1405</v>
      </c>
      <c r="M1131" s="6"/>
      <c r="N1131" s="6" t="s">
        <v>1406</v>
      </c>
      <c r="O1131" s="6" t="str">
        <f>HYPERLINK("https://ceds.ed.gov/cedselementdetails.aspx?termid=5517")</f>
        <v>https://ceds.ed.gov/cedselementdetails.aspx?termid=5517</v>
      </c>
      <c r="P1131" s="6" t="str">
        <f>HYPERLINK("https://ceds.ed.gov/elementComment.aspx?elementName=Assignment Start Date &amp;elementID=5517", "Click here to submit comment")</f>
        <v>Click here to submit comment</v>
      </c>
    </row>
    <row r="1132" spans="1:16" ht="30">
      <c r="A1132" s="6" t="s">
        <v>6788</v>
      </c>
      <c r="B1132" s="6" t="s">
        <v>6821</v>
      </c>
      <c r="C1132" s="6" t="s">
        <v>6822</v>
      </c>
      <c r="D1132" s="6" t="s">
        <v>1399</v>
      </c>
      <c r="E1132" s="6" t="s">
        <v>1400</v>
      </c>
      <c r="F1132" s="6" t="s">
        <v>13</v>
      </c>
      <c r="G1132" s="6"/>
      <c r="H1132" s="6"/>
      <c r="I1132" s="6" t="s">
        <v>73</v>
      </c>
      <c r="J1132" s="6"/>
      <c r="K1132" s="6"/>
      <c r="L1132" s="6" t="s">
        <v>1401</v>
      </c>
      <c r="M1132" s="6"/>
      <c r="N1132" s="6" t="s">
        <v>1402</v>
      </c>
      <c r="O1132" s="6" t="str">
        <f>HYPERLINK("https://ceds.ed.gov/cedselementdetails.aspx?termid=5518")</f>
        <v>https://ceds.ed.gov/cedselementdetails.aspx?termid=5518</v>
      </c>
      <c r="P1132" s="6" t="str">
        <f>HYPERLINK("https://ceds.ed.gov/elementComment.aspx?elementName=Assignment End Date &amp;elementID=5518", "Click here to submit comment")</f>
        <v>Click here to submit comment</v>
      </c>
    </row>
    <row r="1133" spans="1:16" ht="390">
      <c r="A1133" s="6" t="s">
        <v>6788</v>
      </c>
      <c r="B1133" s="6" t="s">
        <v>6821</v>
      </c>
      <c r="C1133" s="6" t="s">
        <v>6822</v>
      </c>
      <c r="D1133" s="6" t="s">
        <v>1721</v>
      </c>
      <c r="E1133" s="6" t="s">
        <v>1722</v>
      </c>
      <c r="F1133" s="7" t="s">
        <v>6426</v>
      </c>
      <c r="G1133" s="6"/>
      <c r="H1133" s="6"/>
      <c r="I1133" s="6"/>
      <c r="J1133" s="6"/>
      <c r="K1133" s="6"/>
      <c r="L1133" s="6" t="s">
        <v>1724</v>
      </c>
      <c r="M1133" s="6"/>
      <c r="N1133" s="6" t="s">
        <v>1725</v>
      </c>
      <c r="O1133" s="6" t="str">
        <f>HYPERLINK("https://ceds.ed.gov/cedselementdetails.aspx?termid=5615")</f>
        <v>https://ceds.ed.gov/cedselementdetails.aspx?termid=5615</v>
      </c>
      <c r="P1133" s="6" t="str">
        <f>HYPERLINK("https://ceds.ed.gov/elementComment.aspx?elementName=Classroom Position Type &amp;elementID=5615", "Click here to submit comment")</f>
        <v>Click here to submit comment</v>
      </c>
    </row>
    <row r="1134" spans="1:16" ht="45">
      <c r="A1134" s="6" t="s">
        <v>6788</v>
      </c>
      <c r="B1134" s="6" t="s">
        <v>6821</v>
      </c>
      <c r="C1134" s="6" t="s">
        <v>6822</v>
      </c>
      <c r="D1134" s="6" t="s">
        <v>3388</v>
      </c>
      <c r="E1134" s="6" t="s">
        <v>3389</v>
      </c>
      <c r="F1134" s="6" t="s">
        <v>5963</v>
      </c>
      <c r="G1134" s="6"/>
      <c r="H1134" s="6"/>
      <c r="I1134" s="6"/>
      <c r="J1134" s="6"/>
      <c r="K1134" s="6"/>
      <c r="L1134" s="6" t="s">
        <v>3390</v>
      </c>
      <c r="M1134" s="6"/>
      <c r="N1134" s="6" t="s">
        <v>3391</v>
      </c>
      <c r="O1134" s="6" t="str">
        <f>HYPERLINK("https://ceds.ed.gov/cedselementdetails.aspx?termid=5519")</f>
        <v>https://ceds.ed.gov/cedselementdetails.aspx?termid=5519</v>
      </c>
      <c r="P1134" s="6" t="str">
        <f>HYPERLINK("https://ceds.ed.gov/elementComment.aspx?elementName=Itinerant Teacher &amp;elementID=5519", "Click here to submit comment")</f>
        <v>Click here to submit comment</v>
      </c>
    </row>
    <row r="1135" spans="1:16" ht="150">
      <c r="A1135" s="6" t="s">
        <v>6788</v>
      </c>
      <c r="B1135" s="6" t="s">
        <v>6821</v>
      </c>
      <c r="C1135" s="6" t="s">
        <v>6822</v>
      </c>
      <c r="D1135" s="6" t="s">
        <v>4137</v>
      </c>
      <c r="E1135" s="6" t="s">
        <v>4138</v>
      </c>
      <c r="F1135" s="7" t="s">
        <v>6587</v>
      </c>
      <c r="G1135" s="6" t="s">
        <v>218</v>
      </c>
      <c r="H1135" s="6"/>
      <c r="I1135" s="6"/>
      <c r="J1135" s="6"/>
      <c r="K1135" s="6" t="s">
        <v>4139</v>
      </c>
      <c r="L1135" s="6" t="s">
        <v>4140</v>
      </c>
      <c r="M1135" s="6" t="s">
        <v>4141</v>
      </c>
      <c r="N1135" s="6" t="s">
        <v>4142</v>
      </c>
      <c r="O1135" s="6" t="str">
        <f>HYPERLINK("https://ceds.ed.gov/cedselementdetails.aspx?termid=5188")</f>
        <v>https://ceds.ed.gov/cedselementdetails.aspx?termid=5188</v>
      </c>
      <c r="P1135" s="6" t="str">
        <f>HYPERLINK("https://ceds.ed.gov/elementComment.aspx?elementName=Migrant Education Program Staff Category &amp;elementID=5188", "Click here to submit comment")</f>
        <v>Click here to submit comment</v>
      </c>
    </row>
    <row r="1136" spans="1:16" ht="330">
      <c r="A1136" s="6" t="s">
        <v>6788</v>
      </c>
      <c r="B1136" s="6" t="s">
        <v>6821</v>
      </c>
      <c r="C1136" s="6" t="s">
        <v>6822</v>
      </c>
      <c r="D1136" s="6" t="s">
        <v>4759</v>
      </c>
      <c r="E1136" s="6" t="s">
        <v>4760</v>
      </c>
      <c r="F1136" s="7" t="s">
        <v>6619</v>
      </c>
      <c r="G1136" s="6"/>
      <c r="H1136" s="6"/>
      <c r="I1136" s="6"/>
      <c r="J1136" s="6"/>
      <c r="K1136" s="6"/>
      <c r="L1136" s="6" t="s">
        <v>4761</v>
      </c>
      <c r="M1136" s="6"/>
      <c r="N1136" s="6" t="s">
        <v>4762</v>
      </c>
      <c r="O1136" s="6" t="str">
        <f>HYPERLINK("https://ceds.ed.gov/cedselementdetails.aspx?termid=5220")</f>
        <v>https://ceds.ed.gov/cedselementdetails.aspx?termid=5220</v>
      </c>
      <c r="P1136" s="6" t="str">
        <f>HYPERLINK("https://ceds.ed.gov/elementComment.aspx?elementName=Professional Educational Job Classification &amp;elementID=5220", "Click here to submit comment")</f>
        <v>Click here to submit comment</v>
      </c>
    </row>
    <row r="1137" spans="1:16" ht="45">
      <c r="A1137" s="6" t="s">
        <v>6788</v>
      </c>
      <c r="B1137" s="6" t="s">
        <v>6821</v>
      </c>
      <c r="C1137" s="6" t="s">
        <v>6822</v>
      </c>
      <c r="D1137" s="6" t="s">
        <v>5402</v>
      </c>
      <c r="E1137" s="6" t="s">
        <v>5403</v>
      </c>
      <c r="F1137" s="7" t="s">
        <v>6659</v>
      </c>
      <c r="G1137" s="6" t="s">
        <v>218</v>
      </c>
      <c r="H1137" s="6"/>
      <c r="I1137" s="6"/>
      <c r="J1137" s="6"/>
      <c r="K1137" s="6"/>
      <c r="L1137" s="6" t="s">
        <v>5404</v>
      </c>
      <c r="M1137" s="6"/>
      <c r="N1137" s="6" t="s">
        <v>5405</v>
      </c>
      <c r="O1137" s="6" t="str">
        <f>HYPERLINK("https://ceds.ed.gov/cedselementdetails.aspx?termid=5556")</f>
        <v>https://ceds.ed.gov/cedselementdetails.aspx?termid=5556</v>
      </c>
      <c r="P1137" s="6" t="str">
        <f>HYPERLINK("https://ceds.ed.gov/elementComment.aspx?elementName=Special Education Age Group Taught &amp;elementID=5556", "Click here to submit comment")</f>
        <v>Click here to submit comment</v>
      </c>
    </row>
    <row r="1138" spans="1:16" ht="60">
      <c r="A1138" s="6" t="s">
        <v>6788</v>
      </c>
      <c r="B1138" s="6" t="s">
        <v>6821</v>
      </c>
      <c r="C1138" s="6" t="s">
        <v>6822</v>
      </c>
      <c r="D1138" s="6" t="s">
        <v>5417</v>
      </c>
      <c r="E1138" s="6" t="s">
        <v>5418</v>
      </c>
      <c r="F1138" s="6" t="s">
        <v>5963</v>
      </c>
      <c r="G1138" s="6" t="s">
        <v>218</v>
      </c>
      <c r="H1138" s="6"/>
      <c r="I1138" s="6"/>
      <c r="J1138" s="6"/>
      <c r="K1138" s="6"/>
      <c r="L1138" s="6" t="s">
        <v>5419</v>
      </c>
      <c r="M1138" s="6"/>
      <c r="N1138" s="6" t="s">
        <v>5420</v>
      </c>
      <c r="O1138" s="6" t="str">
        <f>HYPERLINK("https://ceds.ed.gov/cedselementdetails.aspx?termid=5261")</f>
        <v>https://ceds.ed.gov/cedselementdetails.aspx?termid=5261</v>
      </c>
      <c r="P1138" s="6" t="str">
        <f>HYPERLINK("https://ceds.ed.gov/elementComment.aspx?elementName=Special Education Paraprofessional &amp;elementID=5261", "Click here to submit comment")</f>
        <v>Click here to submit comment</v>
      </c>
    </row>
    <row r="1139" spans="1:16" ht="60">
      <c r="A1139" s="6" t="s">
        <v>6788</v>
      </c>
      <c r="B1139" s="6" t="s">
        <v>6821</v>
      </c>
      <c r="C1139" s="6" t="s">
        <v>6822</v>
      </c>
      <c r="D1139" s="6" t="s">
        <v>5421</v>
      </c>
      <c r="E1139" s="6" t="s">
        <v>5422</v>
      </c>
      <c r="F1139" s="6" t="s">
        <v>5963</v>
      </c>
      <c r="G1139" s="6" t="s">
        <v>218</v>
      </c>
      <c r="H1139" s="6"/>
      <c r="I1139" s="6"/>
      <c r="J1139" s="6"/>
      <c r="K1139" s="6"/>
      <c r="L1139" s="6" t="s">
        <v>5423</v>
      </c>
      <c r="M1139" s="6"/>
      <c r="N1139" s="6" t="s">
        <v>5424</v>
      </c>
      <c r="O1139" s="6" t="str">
        <f>HYPERLINK("https://ceds.ed.gov/cedselementdetails.aspx?termid=5262")</f>
        <v>https://ceds.ed.gov/cedselementdetails.aspx?termid=5262</v>
      </c>
      <c r="P1139" s="6" t="str">
        <f>HYPERLINK("https://ceds.ed.gov/elementComment.aspx?elementName=Special Education Related Services Personnel &amp;elementID=5262", "Click here to submit comment")</f>
        <v>Click here to submit comment</v>
      </c>
    </row>
    <row r="1140" spans="1:16" ht="390">
      <c r="A1140" s="6" t="s">
        <v>6788</v>
      </c>
      <c r="B1140" s="6" t="s">
        <v>6821</v>
      </c>
      <c r="C1140" s="6" t="s">
        <v>6822</v>
      </c>
      <c r="D1140" s="6" t="s">
        <v>5430</v>
      </c>
      <c r="E1140" s="6" t="s">
        <v>5431</v>
      </c>
      <c r="F1140" s="7" t="s">
        <v>6661</v>
      </c>
      <c r="G1140" s="6" t="s">
        <v>218</v>
      </c>
      <c r="H1140" s="6"/>
      <c r="I1140" s="6"/>
      <c r="J1140" s="6"/>
      <c r="K1140" s="6"/>
      <c r="L1140" s="6" t="s">
        <v>5432</v>
      </c>
      <c r="M1140" s="6"/>
      <c r="N1140" s="6" t="s">
        <v>5433</v>
      </c>
      <c r="O1140" s="6" t="str">
        <f>HYPERLINK("https://ceds.ed.gov/cedselementdetails.aspx?termid=5549")</f>
        <v>https://ceds.ed.gov/cedselementdetails.aspx?termid=5549</v>
      </c>
      <c r="P1140" s="6" t="str">
        <f>HYPERLINK("https://ceds.ed.gov/elementComment.aspx?elementName=Special Education Staff Category &amp;elementID=5549", "Click here to submit comment")</f>
        <v>Click here to submit comment</v>
      </c>
    </row>
    <row r="1141" spans="1:16" ht="60">
      <c r="A1141" s="6" t="s">
        <v>6788</v>
      </c>
      <c r="B1141" s="6" t="s">
        <v>6821</v>
      </c>
      <c r="C1141" s="6" t="s">
        <v>6822</v>
      </c>
      <c r="D1141" s="6" t="s">
        <v>5434</v>
      </c>
      <c r="E1141" s="6" t="s">
        <v>5435</v>
      </c>
      <c r="F1141" s="6" t="s">
        <v>5963</v>
      </c>
      <c r="G1141" s="6" t="s">
        <v>218</v>
      </c>
      <c r="H1141" s="6"/>
      <c r="I1141" s="6"/>
      <c r="J1141" s="6"/>
      <c r="K1141" s="6"/>
      <c r="L1141" s="6" t="s">
        <v>5436</v>
      </c>
      <c r="M1141" s="6"/>
      <c r="N1141" s="6" t="s">
        <v>5437</v>
      </c>
      <c r="O1141" s="6" t="str">
        <f>HYPERLINK("https://ceds.ed.gov/cedselementdetails.aspx?termid=5264")</f>
        <v>https://ceds.ed.gov/cedselementdetails.aspx?termid=5264</v>
      </c>
      <c r="P1141" s="6" t="str">
        <f>HYPERLINK("https://ceds.ed.gov/elementComment.aspx?elementName=Special Education Teacher &amp;elementID=5264", "Click here to submit comment")</f>
        <v>Click here to submit comment</v>
      </c>
    </row>
    <row r="1142" spans="1:16" ht="195">
      <c r="A1142" s="6" t="s">
        <v>6788</v>
      </c>
      <c r="B1142" s="6" t="s">
        <v>6821</v>
      </c>
      <c r="C1142" s="6" t="s">
        <v>6822</v>
      </c>
      <c r="D1142" s="6" t="s">
        <v>5760</v>
      </c>
      <c r="E1142" s="6" t="s">
        <v>5761</v>
      </c>
      <c r="F1142" s="7" t="s">
        <v>6678</v>
      </c>
      <c r="G1142" s="6" t="s">
        <v>218</v>
      </c>
      <c r="H1142" s="6"/>
      <c r="I1142" s="6"/>
      <c r="J1142" s="6"/>
      <c r="K1142" s="6"/>
      <c r="L1142" s="6" t="s">
        <v>5762</v>
      </c>
      <c r="M1142" s="6"/>
      <c r="N1142" s="6" t="s">
        <v>5763</v>
      </c>
      <c r="O1142" s="6" t="str">
        <f>HYPERLINK("https://ceds.ed.gov/cedselementdetails.aspx?termid=5283")</f>
        <v>https://ceds.ed.gov/cedselementdetails.aspx?termid=5283</v>
      </c>
      <c r="P1142" s="6" t="str">
        <f>HYPERLINK("https://ceds.ed.gov/elementComment.aspx?elementName=Title I Program Staff Category &amp;elementID=5283", "Click here to submit comment")</f>
        <v>Click here to submit comment</v>
      </c>
    </row>
    <row r="1143" spans="1:16" ht="90">
      <c r="A1143" s="6" t="s">
        <v>6788</v>
      </c>
      <c r="B1143" s="6" t="s">
        <v>6821</v>
      </c>
      <c r="C1143" s="6" t="s">
        <v>6771</v>
      </c>
      <c r="D1143" s="6" t="s">
        <v>2050</v>
      </c>
      <c r="E1143" s="6" t="s">
        <v>2051</v>
      </c>
      <c r="F1143" s="6" t="s">
        <v>6125</v>
      </c>
      <c r="G1143" s="6"/>
      <c r="H1143" s="6" t="s">
        <v>3</v>
      </c>
      <c r="I1143" s="6"/>
      <c r="J1143" s="6"/>
      <c r="K1143" s="6"/>
      <c r="L1143" s="6" t="s">
        <v>2052</v>
      </c>
      <c r="M1143" s="6"/>
      <c r="N1143" s="6" t="s">
        <v>2053</v>
      </c>
      <c r="O1143" s="6" t="str">
        <f>HYPERLINK("https://ceds.ed.gov/cedselementdetails.aspx?termid=5071")</f>
        <v>https://ceds.ed.gov/cedselementdetails.aspx?termid=5071</v>
      </c>
      <c r="P1143" s="6" t="str">
        <f>HYPERLINK("https://ceds.ed.gov/elementComment.aspx?elementName=Credential Type &amp;elementID=5071", "Click here to submit comment")</f>
        <v>Click here to submit comment</v>
      </c>
    </row>
    <row r="1144" spans="1:16" ht="300">
      <c r="A1144" s="6" t="s">
        <v>6788</v>
      </c>
      <c r="B1144" s="6" t="s">
        <v>6821</v>
      </c>
      <c r="C1144" s="6" t="s">
        <v>6771</v>
      </c>
      <c r="D1144" s="6" t="s">
        <v>5703</v>
      </c>
      <c r="E1144" s="6" t="s">
        <v>5704</v>
      </c>
      <c r="F1144" s="7" t="s">
        <v>6672</v>
      </c>
      <c r="G1144" s="6" t="s">
        <v>344</v>
      </c>
      <c r="H1144" s="6"/>
      <c r="I1144" s="6"/>
      <c r="J1144" s="6"/>
      <c r="K1144" s="6"/>
      <c r="L1144" s="6" t="s">
        <v>5705</v>
      </c>
      <c r="M1144" s="6"/>
      <c r="N1144" s="6" t="s">
        <v>5706</v>
      </c>
      <c r="O1144" s="6" t="str">
        <f>HYPERLINK("https://ceds.ed.gov/cedselementdetails.aspx?termid=5278")</f>
        <v>https://ceds.ed.gov/cedselementdetails.aspx?termid=5278</v>
      </c>
      <c r="P1144" s="6" t="str">
        <f>HYPERLINK("https://ceds.ed.gov/elementComment.aspx?elementName=Teaching Credential Type &amp;elementID=5278", "Click here to submit comment")</f>
        <v>Click here to submit comment</v>
      </c>
    </row>
    <row r="1145" spans="1:16" ht="390">
      <c r="A1145" s="6" t="s">
        <v>6788</v>
      </c>
      <c r="B1145" s="6" t="s">
        <v>6821</v>
      </c>
      <c r="C1145" s="6" t="s">
        <v>6771</v>
      </c>
      <c r="D1145" s="6" t="s">
        <v>5699</v>
      </c>
      <c r="E1145" s="6" t="s">
        <v>5700</v>
      </c>
      <c r="F1145" s="7" t="s">
        <v>6671</v>
      </c>
      <c r="G1145" s="6" t="s">
        <v>344</v>
      </c>
      <c r="H1145" s="6" t="s">
        <v>66</v>
      </c>
      <c r="I1145" s="6"/>
      <c r="J1145" s="6" t="s">
        <v>2527</v>
      </c>
      <c r="K1145" s="6"/>
      <c r="L1145" s="6" t="s">
        <v>5701</v>
      </c>
      <c r="M1145" s="6"/>
      <c r="N1145" s="6" t="s">
        <v>5702</v>
      </c>
      <c r="O1145" s="6" t="str">
        <f>HYPERLINK("https://ceds.ed.gov/cedselementdetails.aspx?termid=5277")</f>
        <v>https://ceds.ed.gov/cedselementdetails.aspx?termid=5277</v>
      </c>
      <c r="P1145" s="6" t="str">
        <f>HYPERLINK("https://ceds.ed.gov/elementComment.aspx?elementName=Teaching Credential Basis &amp;elementID=5277", "Click here to submit comment")</f>
        <v>Click here to submit comment</v>
      </c>
    </row>
    <row r="1146" spans="1:16" ht="45">
      <c r="A1146" s="6" t="s">
        <v>6788</v>
      </c>
      <c r="B1146" s="6" t="s">
        <v>6821</v>
      </c>
      <c r="C1146" s="6" t="s">
        <v>6771</v>
      </c>
      <c r="D1146" s="6" t="s">
        <v>2046</v>
      </c>
      <c r="E1146" s="6" t="s">
        <v>2047</v>
      </c>
      <c r="F1146" s="6" t="s">
        <v>13</v>
      </c>
      <c r="G1146" s="6" t="s">
        <v>202</v>
      </c>
      <c r="H1146" s="6"/>
      <c r="I1146" s="6" t="s">
        <v>73</v>
      </c>
      <c r="J1146" s="6"/>
      <c r="K1146" s="6"/>
      <c r="L1146" s="6" t="s">
        <v>2048</v>
      </c>
      <c r="M1146" s="6"/>
      <c r="N1146" s="6" t="s">
        <v>2049</v>
      </c>
      <c r="O1146" s="6" t="str">
        <f>HYPERLINK("https://ceds.ed.gov/cedselementdetails.aspx?termid=5070")</f>
        <v>https://ceds.ed.gov/cedselementdetails.aspx?termid=5070</v>
      </c>
      <c r="P1146" s="6" t="str">
        <f>HYPERLINK("https://ceds.ed.gov/elementComment.aspx?elementName=Credential Issuance Date &amp;elementID=5070", "Click here to submit comment")</f>
        <v>Click here to submit comment</v>
      </c>
    </row>
    <row r="1147" spans="1:16" ht="45">
      <c r="A1147" s="6" t="s">
        <v>6788</v>
      </c>
      <c r="B1147" s="6" t="s">
        <v>6821</v>
      </c>
      <c r="C1147" s="6" t="s">
        <v>6771</v>
      </c>
      <c r="D1147" s="6" t="s">
        <v>2042</v>
      </c>
      <c r="E1147" s="6" t="s">
        <v>2043</v>
      </c>
      <c r="F1147" s="6" t="s">
        <v>13</v>
      </c>
      <c r="G1147" s="6" t="s">
        <v>202</v>
      </c>
      <c r="H1147" s="6"/>
      <c r="I1147" s="6" t="s">
        <v>73</v>
      </c>
      <c r="J1147" s="6"/>
      <c r="K1147" s="6"/>
      <c r="L1147" s="6" t="s">
        <v>2044</v>
      </c>
      <c r="M1147" s="6"/>
      <c r="N1147" s="6" t="s">
        <v>2045</v>
      </c>
      <c r="O1147" s="6" t="str">
        <f>HYPERLINK("https://ceds.ed.gov/cedselementdetails.aspx?termid=5069")</f>
        <v>https://ceds.ed.gov/cedselementdetails.aspx?termid=5069</v>
      </c>
      <c r="P1147" s="6" t="str">
        <f>HYPERLINK("https://ceds.ed.gov/elementComment.aspx?elementName=Credential Expiration Date &amp;elementID=5069", "Click here to submit comment")</f>
        <v>Click here to submit comment</v>
      </c>
    </row>
    <row r="1148" spans="1:16" ht="45">
      <c r="A1148" s="6" t="s">
        <v>6788</v>
      </c>
      <c r="B1148" s="6" t="s">
        <v>6821</v>
      </c>
      <c r="C1148" s="6" t="s">
        <v>6771</v>
      </c>
      <c r="D1148" s="6" t="s">
        <v>5959</v>
      </c>
      <c r="E1148" s="6" t="s">
        <v>5960</v>
      </c>
      <c r="F1148" s="6" t="s">
        <v>13</v>
      </c>
      <c r="G1148" s="6" t="s">
        <v>1780</v>
      </c>
      <c r="H1148" s="6"/>
      <c r="I1148" s="6" t="s">
        <v>1461</v>
      </c>
      <c r="J1148" s="6"/>
      <c r="K1148" s="6"/>
      <c r="L1148" s="6" t="s">
        <v>5961</v>
      </c>
      <c r="M1148" s="6"/>
      <c r="N1148" s="6" t="s">
        <v>5962</v>
      </c>
      <c r="O1148" s="6" t="str">
        <f>HYPERLINK("https://ceds.ed.gov/cedselementdetails.aspx?termid=5302")</f>
        <v>https://ceds.ed.gov/cedselementdetails.aspx?termid=5302</v>
      </c>
      <c r="P1148" s="6" t="str">
        <f>HYPERLINK("https://ceds.ed.gov/elementComment.aspx?elementName=Years of Prior Teaching Experience &amp;elementID=5302", "Click here to submit comment")</f>
        <v>Click here to submit comment</v>
      </c>
    </row>
    <row r="1149" spans="1:16" ht="409.5">
      <c r="A1149" s="6" t="s">
        <v>6788</v>
      </c>
      <c r="B1149" s="6" t="s">
        <v>6821</v>
      </c>
      <c r="C1149" s="6" t="s">
        <v>6771</v>
      </c>
      <c r="D1149" s="6" t="s">
        <v>2970</v>
      </c>
      <c r="E1149" s="6" t="s">
        <v>2971</v>
      </c>
      <c r="F1149" s="7" t="s">
        <v>6531</v>
      </c>
      <c r="G1149" s="6" t="s">
        <v>6195</v>
      </c>
      <c r="H1149" s="6" t="s">
        <v>66</v>
      </c>
      <c r="I1149" s="6"/>
      <c r="J1149" s="6" t="s">
        <v>2972</v>
      </c>
      <c r="K1149" s="6"/>
      <c r="L1149" s="6" t="s">
        <v>2973</v>
      </c>
      <c r="M1149" s="6"/>
      <c r="N1149" s="6" t="s">
        <v>2974</v>
      </c>
      <c r="O1149" s="6" t="str">
        <f>HYPERLINK("https://ceds.ed.gov/cedselementdetails.aspx?termid=5141")</f>
        <v>https://ceds.ed.gov/cedselementdetails.aspx?termid=5141</v>
      </c>
      <c r="P1149" s="6" t="str">
        <f>HYPERLINK("https://ceds.ed.gov/elementComment.aspx?elementName=Highest Level of Education Completed &amp;elementID=5141", "Click here to submit comment")</f>
        <v>Click here to submit comment</v>
      </c>
    </row>
    <row r="1150" spans="1:16" ht="75">
      <c r="A1150" s="6" t="s">
        <v>6788</v>
      </c>
      <c r="B1150" s="6" t="s">
        <v>6821</v>
      </c>
      <c r="C1150" s="6" t="s">
        <v>6771</v>
      </c>
      <c r="D1150" s="6" t="s">
        <v>2975</v>
      </c>
      <c r="E1150" s="6" t="s">
        <v>2976</v>
      </c>
      <c r="F1150" s="7" t="s">
        <v>6532</v>
      </c>
      <c r="G1150" s="6" t="s">
        <v>218</v>
      </c>
      <c r="H1150" s="6"/>
      <c r="I1150" s="6"/>
      <c r="J1150" s="6"/>
      <c r="K1150" s="6"/>
      <c r="L1150" s="6" t="s">
        <v>2978</v>
      </c>
      <c r="M1150" s="6"/>
      <c r="N1150" s="6" t="s">
        <v>2979</v>
      </c>
      <c r="O1150" s="6" t="str">
        <f>HYPERLINK("https://ceds.ed.gov/cedselementdetails.aspx?termid=5142")</f>
        <v>https://ceds.ed.gov/cedselementdetails.aspx?termid=5142</v>
      </c>
      <c r="P1150" s="6" t="str">
        <f>HYPERLINK("https://ceds.ed.gov/elementComment.aspx?elementName=Highly Qualified Teacher Indicator &amp;elementID=5142", "Click here to submit comment")</f>
        <v>Click here to submit comment</v>
      </c>
    </row>
    <row r="1151" spans="1:16" ht="60">
      <c r="A1151" s="6" t="s">
        <v>6788</v>
      </c>
      <c r="B1151" s="6" t="s">
        <v>6821</v>
      </c>
      <c r="C1151" s="6" t="s">
        <v>6771</v>
      </c>
      <c r="D1151" s="6" t="s">
        <v>4411</v>
      </c>
      <c r="E1151" s="6" t="s">
        <v>4412</v>
      </c>
      <c r="F1151" s="7" t="s">
        <v>6594</v>
      </c>
      <c r="G1151" s="6" t="s">
        <v>218</v>
      </c>
      <c r="H1151" s="6"/>
      <c r="I1151" s="6"/>
      <c r="J1151" s="6"/>
      <c r="K1151" s="6"/>
      <c r="L1151" s="6" t="s">
        <v>4413</v>
      </c>
      <c r="M1151" s="6"/>
      <c r="N1151" s="6" t="s">
        <v>4414</v>
      </c>
      <c r="O1151" s="6" t="str">
        <f>HYPERLINK("https://ceds.ed.gov/cedselementdetails.aspx?termid=5207")</f>
        <v>https://ceds.ed.gov/cedselementdetails.aspx?termid=5207</v>
      </c>
      <c r="P1151" s="6" t="str">
        <f>HYPERLINK("https://ceds.ed.gov/elementComment.aspx?elementName=Paraprofessional Qualification Status &amp;elementID=5207", "Click here to submit comment")</f>
        <v>Click here to submit comment</v>
      </c>
    </row>
    <row r="1152" spans="1:16" ht="390">
      <c r="A1152" s="6" t="s">
        <v>6788</v>
      </c>
      <c r="B1152" s="6" t="s">
        <v>6821</v>
      </c>
      <c r="C1152" s="6" t="s">
        <v>6771</v>
      </c>
      <c r="D1152" s="6" t="s">
        <v>4847</v>
      </c>
      <c r="E1152" s="6" t="s">
        <v>4848</v>
      </c>
      <c r="F1152" s="7" t="s">
        <v>6625</v>
      </c>
      <c r="G1152" s="6"/>
      <c r="H1152" s="6" t="s">
        <v>66</v>
      </c>
      <c r="I1152" s="6"/>
      <c r="J1152" s="6" t="s">
        <v>4849</v>
      </c>
      <c r="K1152" s="6"/>
      <c r="L1152" s="6" t="s">
        <v>4850</v>
      </c>
      <c r="M1152" s="6"/>
      <c r="N1152" s="6" t="s">
        <v>4851</v>
      </c>
      <c r="O1152" s="6" t="str">
        <f>HYPERLINK("https://ceds.ed.gov/cedselementdetails.aspx?termid=5692")</f>
        <v>https://ceds.ed.gov/cedselementdetails.aspx?termid=5692</v>
      </c>
      <c r="P1152" s="6" t="str">
        <f>HYPERLINK("https://ceds.ed.gov/elementComment.aspx?elementName=Program Sponsor Type &amp;elementID=5692", "Click here to submit comment")</f>
        <v>Click here to submit comment</v>
      </c>
    </row>
    <row r="1153" spans="1:16" ht="75">
      <c r="A1153" s="6" t="s">
        <v>6788</v>
      </c>
      <c r="B1153" s="6" t="s">
        <v>6821</v>
      </c>
      <c r="C1153" s="6" t="s">
        <v>6771</v>
      </c>
      <c r="D1153" s="6" t="s">
        <v>1562</v>
      </c>
      <c r="E1153" s="6" t="s">
        <v>1563</v>
      </c>
      <c r="F1153" s="6" t="s">
        <v>5963</v>
      </c>
      <c r="G1153" s="6"/>
      <c r="H1153" s="6" t="s">
        <v>54</v>
      </c>
      <c r="I1153" s="6"/>
      <c r="J1153" s="6"/>
      <c r="K1153" s="6"/>
      <c r="L1153" s="6" t="s">
        <v>1564</v>
      </c>
      <c r="M1153" s="6" t="s">
        <v>1565</v>
      </c>
      <c r="N1153" s="6" t="s">
        <v>1566</v>
      </c>
      <c r="O1153" s="6" t="str">
        <f>HYPERLINK("https://ceds.ed.gov/cedselementdetails.aspx?termid=6284")</f>
        <v>https://ceds.ed.gov/cedselementdetails.aspx?termid=6284</v>
      </c>
      <c r="P1153" s="6" t="str">
        <f>HYPERLINK("https://ceds.ed.gov/elementComment.aspx?elementName=Career and Technical Education Instructor Industry Certification &amp;elementID=6284", "Click here to submit comment")</f>
        <v>Click here to submit comment</v>
      </c>
    </row>
    <row r="1154" spans="1:16" ht="90">
      <c r="A1154" s="6" t="s">
        <v>6788</v>
      </c>
      <c r="B1154" s="6" t="s">
        <v>6821</v>
      </c>
      <c r="C1154" s="6" t="s">
        <v>6770</v>
      </c>
      <c r="D1154" s="6" t="s">
        <v>4507</v>
      </c>
      <c r="E1154" s="6" t="s">
        <v>4508</v>
      </c>
      <c r="F1154" s="6" t="s">
        <v>13</v>
      </c>
      <c r="G1154" s="6" t="s">
        <v>5968</v>
      </c>
      <c r="H1154" s="6" t="s">
        <v>3</v>
      </c>
      <c r="I1154" s="6" t="s">
        <v>1249</v>
      </c>
      <c r="J1154" s="6"/>
      <c r="K1154" s="6"/>
      <c r="L1154" s="6" t="s">
        <v>4509</v>
      </c>
      <c r="M1154" s="6"/>
      <c r="N1154" s="6" t="s">
        <v>4510</v>
      </c>
      <c r="O1154" s="6" t="str">
        <f>HYPERLINK("https://ceds.ed.gov/cedselementdetails.aspx?termid=5213")</f>
        <v>https://ceds.ed.gov/cedselementdetails.aspx?termid=5213</v>
      </c>
      <c r="P1154" s="6" t="str">
        <f>HYPERLINK("https://ceds.ed.gov/elementComment.aspx?elementName=Position Title &amp;elementID=5213", "Click here to submit comment")</f>
        <v>Click here to submit comment</v>
      </c>
    </row>
    <row r="1155" spans="1:16" ht="210">
      <c r="A1155" s="6" t="s">
        <v>6788</v>
      </c>
      <c r="B1155" s="6" t="s">
        <v>6821</v>
      </c>
      <c r="C1155" s="6" t="s">
        <v>6770</v>
      </c>
      <c r="D1155" s="6" t="s">
        <v>2980</v>
      </c>
      <c r="E1155" s="6" t="s">
        <v>2981</v>
      </c>
      <c r="F1155" s="6" t="s">
        <v>13</v>
      </c>
      <c r="G1155" s="6" t="s">
        <v>6197</v>
      </c>
      <c r="H1155" s="6" t="s">
        <v>3</v>
      </c>
      <c r="I1155" s="6" t="s">
        <v>73</v>
      </c>
      <c r="J1155" s="6"/>
      <c r="K1155" s="6" t="s">
        <v>2982</v>
      </c>
      <c r="L1155" s="6" t="s">
        <v>2983</v>
      </c>
      <c r="M1155" s="6"/>
      <c r="N1155" s="6" t="s">
        <v>2984</v>
      </c>
      <c r="O1155" s="6" t="str">
        <f>HYPERLINK("https://ceds.ed.gov/cedselementdetails.aspx?termid=5143")</f>
        <v>https://ceds.ed.gov/cedselementdetails.aspx?termid=5143</v>
      </c>
      <c r="P1155" s="6" t="str">
        <f>HYPERLINK("https://ceds.ed.gov/elementComment.aspx?elementName=Hire Date &amp;elementID=5143", "Click here to submit comment")</f>
        <v>Click here to submit comment</v>
      </c>
    </row>
    <row r="1156" spans="1:16" ht="60">
      <c r="A1156" s="6" t="s">
        <v>6788</v>
      </c>
      <c r="B1156" s="6" t="s">
        <v>6821</v>
      </c>
      <c r="C1156" s="6" t="s">
        <v>6770</v>
      </c>
      <c r="D1156" s="6" t="s">
        <v>1777</v>
      </c>
      <c r="E1156" s="6" t="s">
        <v>1778</v>
      </c>
      <c r="F1156" s="6" t="s">
        <v>13</v>
      </c>
      <c r="G1156" s="6" t="s">
        <v>1780</v>
      </c>
      <c r="H1156" s="6"/>
      <c r="I1156" s="6" t="s">
        <v>1461</v>
      </c>
      <c r="J1156" s="6"/>
      <c r="K1156" s="6"/>
      <c r="L1156" s="6" t="s">
        <v>1781</v>
      </c>
      <c r="M1156" s="6"/>
      <c r="N1156" s="6" t="s">
        <v>1782</v>
      </c>
      <c r="O1156" s="6" t="str">
        <f>HYPERLINK("https://ceds.ed.gov/cedselementdetails.aspx?termid=5047")</f>
        <v>https://ceds.ed.gov/cedselementdetails.aspx?termid=5047</v>
      </c>
      <c r="P1156" s="6" t="str">
        <f>HYPERLINK("https://ceds.ed.gov/elementComment.aspx?elementName=Contract Days of Service per Year &amp;elementID=5047", "Click here to submit comment")</f>
        <v>Click here to submit comment</v>
      </c>
    </row>
    <row r="1157" spans="1:16" ht="315">
      <c r="A1157" s="6" t="s">
        <v>6788</v>
      </c>
      <c r="B1157" s="6" t="s">
        <v>6821</v>
      </c>
      <c r="C1157" s="6" t="s">
        <v>6770</v>
      </c>
      <c r="D1157" s="6" t="s">
        <v>2538</v>
      </c>
      <c r="E1157" s="6" t="s">
        <v>285</v>
      </c>
      <c r="F1157" s="7" t="s">
        <v>6496</v>
      </c>
      <c r="G1157" s="6" t="s">
        <v>6131</v>
      </c>
      <c r="H1157" s="6"/>
      <c r="I1157" s="6"/>
      <c r="J1157" s="6"/>
      <c r="K1157" s="6"/>
      <c r="L1157" s="6" t="s">
        <v>2539</v>
      </c>
      <c r="M1157" s="6"/>
      <c r="N1157" s="6" t="s">
        <v>2540</v>
      </c>
      <c r="O1157" s="6" t="str">
        <f>HYPERLINK("https://ceds.ed.gov/cedselementdetails.aspx?termid=5346")</f>
        <v>https://ceds.ed.gov/cedselementdetails.aspx?termid=5346</v>
      </c>
      <c r="P1157" s="6" t="str">
        <f>HYPERLINK("https://ceds.ed.gov/elementComment.aspx?elementName=Employment Status &amp;elementID=5346", "Click here to submit comment")</f>
        <v>Click here to submit comment</v>
      </c>
    </row>
    <row r="1158" spans="1:16" ht="409.5">
      <c r="A1158" s="6" t="s">
        <v>6788</v>
      </c>
      <c r="B1158" s="6" t="s">
        <v>6821</v>
      </c>
      <c r="C1158" s="6" t="s">
        <v>6770</v>
      </c>
      <c r="D1158" s="6" t="s">
        <v>2525</v>
      </c>
      <c r="E1158" s="6" t="s">
        <v>2526</v>
      </c>
      <c r="F1158" s="7" t="s">
        <v>6494</v>
      </c>
      <c r="G1158" s="6"/>
      <c r="H1158" s="6" t="s">
        <v>66</v>
      </c>
      <c r="I1158" s="6"/>
      <c r="J1158" s="6" t="s">
        <v>2527</v>
      </c>
      <c r="K1158" s="6"/>
      <c r="L1158" s="6" t="s">
        <v>2528</v>
      </c>
      <c r="M1158" s="6"/>
      <c r="N1158" s="6" t="s">
        <v>2529</v>
      </c>
      <c r="O1158" s="6" t="str">
        <f>HYPERLINK("https://ceds.ed.gov/cedselementdetails.aspx?termid=5613")</f>
        <v>https://ceds.ed.gov/cedselementdetails.aspx?termid=5613</v>
      </c>
      <c r="P1158" s="6" t="str">
        <f>HYPERLINK("https://ceds.ed.gov/elementComment.aspx?elementName=Employment Separation Reason &amp;elementID=5613", "Click here to submit comment")</f>
        <v>Click here to submit comment</v>
      </c>
    </row>
    <row r="1159" spans="1:16" ht="120">
      <c r="A1159" s="6" t="s">
        <v>6788</v>
      </c>
      <c r="B1159" s="6" t="s">
        <v>6821</v>
      </c>
      <c r="C1159" s="6" t="s">
        <v>6770</v>
      </c>
      <c r="D1159" s="6" t="s">
        <v>2530</v>
      </c>
      <c r="E1159" s="6" t="s">
        <v>2531</v>
      </c>
      <c r="F1159" s="7" t="s">
        <v>6495</v>
      </c>
      <c r="G1159" s="6"/>
      <c r="H1159" s="6"/>
      <c r="I1159" s="6"/>
      <c r="J1159" s="6"/>
      <c r="K1159" s="6"/>
      <c r="L1159" s="6" t="s">
        <v>2532</v>
      </c>
      <c r="M1159" s="6"/>
      <c r="N1159" s="6" t="s">
        <v>2533</v>
      </c>
      <c r="O1159" s="6" t="str">
        <f>HYPERLINK("https://ceds.ed.gov/cedselementdetails.aspx?termid=5614")</f>
        <v>https://ceds.ed.gov/cedselementdetails.aspx?termid=5614</v>
      </c>
      <c r="P1159" s="6" t="str">
        <f>HYPERLINK("https://ceds.ed.gov/elementComment.aspx?elementName=Employment Separation Type &amp;elementID=5614", "Click here to submit comment")</f>
        <v>Click here to submit comment</v>
      </c>
    </row>
    <row r="1160" spans="1:16" ht="225">
      <c r="A1160" s="6" t="s">
        <v>6788</v>
      </c>
      <c r="B1160" s="6" t="s">
        <v>6821</v>
      </c>
      <c r="C1160" s="6" t="s">
        <v>6770</v>
      </c>
      <c r="D1160" s="6" t="s">
        <v>5447</v>
      </c>
      <c r="E1160" s="6" t="s">
        <v>5448</v>
      </c>
      <c r="F1160" s="6" t="s">
        <v>13</v>
      </c>
      <c r="G1160" s="6" t="s">
        <v>1780</v>
      </c>
      <c r="H1160" s="6" t="s">
        <v>3</v>
      </c>
      <c r="I1160" s="6" t="s">
        <v>1461</v>
      </c>
      <c r="J1160" s="6"/>
      <c r="K1160" s="6" t="s">
        <v>5449</v>
      </c>
      <c r="L1160" s="6" t="s">
        <v>5450</v>
      </c>
      <c r="M1160" s="6"/>
      <c r="N1160" s="6" t="s">
        <v>5451</v>
      </c>
      <c r="O1160" s="6" t="str">
        <f>HYPERLINK("https://ceds.ed.gov/cedselementdetails.aspx?termid=5032")</f>
        <v>https://ceds.ed.gov/cedselementdetails.aspx?termid=5032</v>
      </c>
      <c r="P1160" s="6" t="str">
        <f>HYPERLINK("https://ceds.ed.gov/elementComment.aspx?elementName=Staff Compensation Base Salary &amp;elementID=5032", "Click here to submit comment")</f>
        <v>Click here to submit comment</v>
      </c>
    </row>
    <row r="1161" spans="1:16" ht="105">
      <c r="A1161" s="6" t="s">
        <v>6788</v>
      </c>
      <c r="B1161" s="6" t="s">
        <v>6821</v>
      </c>
      <c r="C1161" s="6" t="s">
        <v>6770</v>
      </c>
      <c r="D1161" s="6" t="s">
        <v>5452</v>
      </c>
      <c r="E1161" s="6" t="s">
        <v>5453</v>
      </c>
      <c r="F1161" s="6" t="s">
        <v>13</v>
      </c>
      <c r="G1161" s="6" t="s">
        <v>1780</v>
      </c>
      <c r="H1161" s="6"/>
      <c r="I1161" s="6" t="s">
        <v>1461</v>
      </c>
      <c r="J1161" s="6"/>
      <c r="K1161" s="6"/>
      <c r="L1161" s="6" t="s">
        <v>5454</v>
      </c>
      <c r="M1161" s="6"/>
      <c r="N1161" s="6" t="s">
        <v>5455</v>
      </c>
      <c r="O1161" s="6" t="str">
        <f>HYPERLINK("https://ceds.ed.gov/cedselementdetails.aspx?termid=5136")</f>
        <v>https://ceds.ed.gov/cedselementdetails.aspx?termid=5136</v>
      </c>
      <c r="P1161" s="6" t="str">
        <f>HYPERLINK("https://ceds.ed.gov/elementComment.aspx?elementName=Staff Compensation Health Benefits &amp;elementID=5136", "Click here to submit comment")</f>
        <v>Click here to submit comment</v>
      </c>
    </row>
    <row r="1162" spans="1:16" ht="105">
      <c r="A1162" s="6" t="s">
        <v>6788</v>
      </c>
      <c r="B1162" s="6" t="s">
        <v>6821</v>
      </c>
      <c r="C1162" s="6" t="s">
        <v>6770</v>
      </c>
      <c r="D1162" s="6" t="s">
        <v>5460</v>
      </c>
      <c r="E1162" s="6" t="s">
        <v>5461</v>
      </c>
      <c r="F1162" s="6" t="s">
        <v>13</v>
      </c>
      <c r="G1162" s="6" t="s">
        <v>1780</v>
      </c>
      <c r="H1162" s="6"/>
      <c r="I1162" s="6" t="s">
        <v>1461</v>
      </c>
      <c r="J1162" s="6"/>
      <c r="K1162" s="6"/>
      <c r="L1162" s="6" t="s">
        <v>5462</v>
      </c>
      <c r="M1162" s="6"/>
      <c r="N1162" s="6" t="s">
        <v>5463</v>
      </c>
      <c r="O1162" s="6" t="str">
        <f>HYPERLINK("https://ceds.ed.gov/cedselementdetails.aspx?termid=5233")</f>
        <v>https://ceds.ed.gov/cedselementdetails.aspx?termid=5233</v>
      </c>
      <c r="P1162" s="6" t="str">
        <f>HYPERLINK("https://ceds.ed.gov/elementComment.aspx?elementName=Staff Compensation Retirement Benefits &amp;elementID=5233", "Click here to submit comment")</f>
        <v>Click here to submit comment</v>
      </c>
    </row>
    <row r="1163" spans="1:16" ht="120">
      <c r="A1163" s="6" t="s">
        <v>6788</v>
      </c>
      <c r="B1163" s="6" t="s">
        <v>6821</v>
      </c>
      <c r="C1163" s="6" t="s">
        <v>6770</v>
      </c>
      <c r="D1163" s="6" t="s">
        <v>5456</v>
      </c>
      <c r="E1163" s="6" t="s">
        <v>5457</v>
      </c>
      <c r="F1163" s="6" t="s">
        <v>13</v>
      </c>
      <c r="G1163" s="6" t="s">
        <v>1780</v>
      </c>
      <c r="H1163" s="6"/>
      <c r="I1163" s="6" t="s">
        <v>1461</v>
      </c>
      <c r="J1163" s="6"/>
      <c r="K1163" s="6"/>
      <c r="L1163" s="6" t="s">
        <v>5458</v>
      </c>
      <c r="M1163" s="6"/>
      <c r="N1163" s="6" t="s">
        <v>5459</v>
      </c>
      <c r="O1163" s="6" t="str">
        <f>HYPERLINK("https://ceds.ed.gov/cedselementdetails.aspx?termid=5205")</f>
        <v>https://ceds.ed.gov/cedselementdetails.aspx?termid=5205</v>
      </c>
      <c r="P1163" s="6" t="str">
        <f>HYPERLINK("https://ceds.ed.gov/elementComment.aspx?elementName=Staff Compensation Other Benefits &amp;elementID=5205", "Click here to submit comment")</f>
        <v>Click here to submit comment</v>
      </c>
    </row>
    <row r="1164" spans="1:16" ht="45">
      <c r="A1164" s="6" t="s">
        <v>6788</v>
      </c>
      <c r="B1164" s="6" t="s">
        <v>6821</v>
      </c>
      <c r="C1164" s="6" t="s">
        <v>6770</v>
      </c>
      <c r="D1164" s="6" t="s">
        <v>5168</v>
      </c>
      <c r="E1164" s="6" t="s">
        <v>5169</v>
      </c>
      <c r="F1164" s="6" t="s">
        <v>5963</v>
      </c>
      <c r="G1164" s="6" t="s">
        <v>1780</v>
      </c>
      <c r="H1164" s="6"/>
      <c r="I1164" s="6"/>
      <c r="J1164" s="6"/>
      <c r="K1164" s="6"/>
      <c r="L1164" s="6" t="s">
        <v>5170</v>
      </c>
      <c r="M1164" s="6"/>
      <c r="N1164" s="6" t="s">
        <v>5171</v>
      </c>
      <c r="O1164" s="6" t="str">
        <f>HYPERLINK("https://ceds.ed.gov/cedselementdetails.aspx?termid=5234")</f>
        <v>https://ceds.ed.gov/cedselementdetails.aspx?termid=5234</v>
      </c>
      <c r="P1164" s="6" t="str">
        <f>HYPERLINK("https://ceds.ed.gov/elementComment.aspx?elementName=Salary For Teaching Assignment Only Indicator &amp;elementID=5234", "Click here to submit comment")</f>
        <v>Click here to submit comment</v>
      </c>
    </row>
    <row r="1165" spans="1:16" ht="90">
      <c r="A1165" s="6" t="s">
        <v>6788</v>
      </c>
      <c r="B1165" s="6" t="s">
        <v>6821</v>
      </c>
      <c r="C1165" s="6" t="s">
        <v>6770</v>
      </c>
      <c r="D1165" s="6" t="s">
        <v>5464</v>
      </c>
      <c r="E1165" s="6" t="s">
        <v>5465</v>
      </c>
      <c r="F1165" s="6" t="s">
        <v>13</v>
      </c>
      <c r="G1165" s="6" t="s">
        <v>1780</v>
      </c>
      <c r="H1165" s="6"/>
      <c r="I1165" s="6" t="s">
        <v>1461</v>
      </c>
      <c r="J1165" s="6"/>
      <c r="K1165" s="6"/>
      <c r="L1165" s="6" t="s">
        <v>5466</v>
      </c>
      <c r="M1165" s="6"/>
      <c r="N1165" s="6" t="s">
        <v>5467</v>
      </c>
      <c r="O1165" s="6" t="str">
        <f>HYPERLINK("https://ceds.ed.gov/cedselementdetails.aspx?termid=5293")</f>
        <v>https://ceds.ed.gov/cedselementdetails.aspx?termid=5293</v>
      </c>
      <c r="P1165" s="6" t="str">
        <f>HYPERLINK("https://ceds.ed.gov/elementComment.aspx?elementName=Staff Compensation Total Benefits &amp;elementID=5293", "Click here to submit comment")</f>
        <v>Click here to submit comment</v>
      </c>
    </row>
    <row r="1166" spans="1:16" ht="60">
      <c r="A1166" s="6" t="s">
        <v>6788</v>
      </c>
      <c r="B1166" s="6" t="s">
        <v>6821</v>
      </c>
      <c r="C1166" s="6" t="s">
        <v>6770</v>
      </c>
      <c r="D1166" s="6" t="s">
        <v>5468</v>
      </c>
      <c r="E1166" s="6" t="s">
        <v>5469</v>
      </c>
      <c r="F1166" s="6" t="s">
        <v>13</v>
      </c>
      <c r="G1166" s="6" t="s">
        <v>1780</v>
      </c>
      <c r="H1166" s="6"/>
      <c r="I1166" s="6" t="s">
        <v>1461</v>
      </c>
      <c r="J1166" s="6"/>
      <c r="K1166" s="6"/>
      <c r="L1166" s="6" t="s">
        <v>5470</v>
      </c>
      <c r="M1166" s="6"/>
      <c r="N1166" s="6" t="s">
        <v>5471</v>
      </c>
      <c r="O1166" s="6" t="str">
        <f>HYPERLINK("https://ceds.ed.gov/cedselementdetails.aspx?termid=5295")</f>
        <v>https://ceds.ed.gov/cedselementdetails.aspx?termid=5295</v>
      </c>
      <c r="P1166" s="6" t="str">
        <f>HYPERLINK("https://ceds.ed.gov/elementComment.aspx?elementName=Staff Compensation Total Salary &amp;elementID=5295", "Click here to submit comment")</f>
        <v>Click here to submit comment</v>
      </c>
    </row>
    <row r="1167" spans="1:16" ht="60">
      <c r="A1167" s="6" t="s">
        <v>6788</v>
      </c>
      <c r="B1167" s="6" t="s">
        <v>6821</v>
      </c>
      <c r="C1167" s="6" t="s">
        <v>6770</v>
      </c>
      <c r="D1167" s="6" t="s">
        <v>4112</v>
      </c>
      <c r="E1167" s="6" t="s">
        <v>4113</v>
      </c>
      <c r="F1167" s="6" t="s">
        <v>5963</v>
      </c>
      <c r="G1167" s="6" t="s">
        <v>218</v>
      </c>
      <c r="H1167" s="6"/>
      <c r="I1167" s="6"/>
      <c r="J1167" s="6"/>
      <c r="K1167" s="6"/>
      <c r="L1167" s="6" t="s">
        <v>4114</v>
      </c>
      <c r="M1167" s="6" t="s">
        <v>4115</v>
      </c>
      <c r="N1167" s="6" t="s">
        <v>4116</v>
      </c>
      <c r="O1167" s="6" t="str">
        <f>HYPERLINK("https://ceds.ed.gov/cedselementdetails.aspx?termid=5534")</f>
        <v>https://ceds.ed.gov/cedselementdetails.aspx?termid=5534</v>
      </c>
      <c r="P1167" s="6" t="str">
        <f>HYPERLINK("https://ceds.ed.gov/elementComment.aspx?elementName=Migrant Education Program Personnel Indicator &amp;elementID=5534", "Click here to submit comment")</f>
        <v>Click here to submit comment</v>
      </c>
    </row>
    <row r="1168" spans="1:16" ht="60">
      <c r="A1168" s="6" t="s">
        <v>6788</v>
      </c>
      <c r="B1168" s="6" t="s">
        <v>6821</v>
      </c>
      <c r="C1168" s="6" t="s">
        <v>6770</v>
      </c>
      <c r="D1168" s="6" t="s">
        <v>5796</v>
      </c>
      <c r="E1168" s="6" t="s">
        <v>5797</v>
      </c>
      <c r="F1168" s="6" t="s">
        <v>5963</v>
      </c>
      <c r="G1168" s="6"/>
      <c r="H1168" s="6"/>
      <c r="I1168" s="6"/>
      <c r="J1168" s="6"/>
      <c r="K1168" s="6"/>
      <c r="L1168" s="6" t="s">
        <v>5798</v>
      </c>
      <c r="M1168" s="6"/>
      <c r="N1168" s="6" t="s">
        <v>5799</v>
      </c>
      <c r="O1168" s="6" t="str">
        <f>HYPERLINK("https://ceds.ed.gov/cedselementdetails.aspx?termid=5543")</f>
        <v>https://ceds.ed.gov/cedselementdetails.aspx?termid=5543</v>
      </c>
      <c r="P1168" s="6" t="str">
        <f>HYPERLINK("https://ceds.ed.gov/elementComment.aspx?elementName=Title I Targeted Assistance Staff Funded &amp;elementID=5543", "Click here to submit comment")</f>
        <v>Click here to submit comment</v>
      </c>
    </row>
    <row r="1169" spans="1:16" ht="60">
      <c r="A1169" s="6" t="s">
        <v>6788</v>
      </c>
      <c r="B1169" s="6" t="s">
        <v>6821</v>
      </c>
      <c r="C1169" s="6" t="s">
        <v>6770</v>
      </c>
      <c r="D1169" s="6" t="s">
        <v>2492</v>
      </c>
      <c r="E1169" s="6" t="s">
        <v>2493</v>
      </c>
      <c r="F1169" s="6" t="s">
        <v>13</v>
      </c>
      <c r="G1169" s="6" t="s">
        <v>202</v>
      </c>
      <c r="H1169" s="6" t="s">
        <v>3</v>
      </c>
      <c r="I1169" s="6" t="s">
        <v>73</v>
      </c>
      <c r="J1169" s="6"/>
      <c r="K1169" s="6"/>
      <c r="L1169" s="6" t="s">
        <v>2494</v>
      </c>
      <c r="M1169" s="6"/>
      <c r="N1169" s="6" t="s">
        <v>2495</v>
      </c>
      <c r="O1169" s="6" t="str">
        <f>HYPERLINK("https://ceds.ed.gov/cedselementdetails.aspx?termid=5794")</f>
        <v>https://ceds.ed.gov/cedselementdetails.aspx?termid=5794</v>
      </c>
      <c r="P1169" s="6" t="str">
        <f>HYPERLINK("https://ceds.ed.gov/elementComment.aspx?elementName=Employment End Date &amp;elementID=5794", "Click here to submit comment")</f>
        <v>Click here to submit comment</v>
      </c>
    </row>
    <row r="1170" spans="1:16" ht="60">
      <c r="A1170" s="6" t="s">
        <v>6788</v>
      </c>
      <c r="B1170" s="6" t="s">
        <v>6821</v>
      </c>
      <c r="C1170" s="6" t="s">
        <v>6770</v>
      </c>
      <c r="D1170" s="6" t="s">
        <v>2534</v>
      </c>
      <c r="E1170" s="6" t="s">
        <v>2535</v>
      </c>
      <c r="F1170" s="6" t="s">
        <v>13</v>
      </c>
      <c r="G1170" s="6" t="s">
        <v>6154</v>
      </c>
      <c r="H1170" s="6" t="s">
        <v>3</v>
      </c>
      <c r="I1170" s="6" t="s">
        <v>73</v>
      </c>
      <c r="J1170" s="6"/>
      <c r="K1170" s="6"/>
      <c r="L1170" s="6" t="s">
        <v>2536</v>
      </c>
      <c r="M1170" s="6"/>
      <c r="N1170" s="6" t="s">
        <v>2537</v>
      </c>
      <c r="O1170" s="6" t="str">
        <f>HYPERLINK("https://ceds.ed.gov/cedselementdetails.aspx?termid=5345")</f>
        <v>https://ceds.ed.gov/cedselementdetails.aspx?termid=5345</v>
      </c>
      <c r="P1170" s="6" t="str">
        <f>HYPERLINK("https://ceds.ed.gov/elementComment.aspx?elementName=Employment Start Date &amp;elementID=5345", "Click here to submit comment")</f>
        <v>Click here to submit comment</v>
      </c>
    </row>
    <row r="1171" spans="1:16" ht="30">
      <c r="A1171" s="6" t="s">
        <v>6788</v>
      </c>
      <c r="B1171" s="6" t="s">
        <v>6821</v>
      </c>
      <c r="C1171" s="6" t="s">
        <v>6764</v>
      </c>
      <c r="D1171" s="6" t="s">
        <v>5480</v>
      </c>
      <c r="E1171" s="6" t="s">
        <v>5481</v>
      </c>
      <c r="F1171" s="6" t="s">
        <v>13</v>
      </c>
      <c r="G1171" s="6"/>
      <c r="H1171" s="6"/>
      <c r="I1171" s="6" t="s">
        <v>25</v>
      </c>
      <c r="J1171" s="6"/>
      <c r="K1171" s="6"/>
      <c r="L1171" s="6" t="s">
        <v>5482</v>
      </c>
      <c r="M1171" s="6"/>
      <c r="N1171" s="6" t="s">
        <v>5483</v>
      </c>
      <c r="O1171" s="6" t="str">
        <f>HYPERLINK("https://ceds.ed.gov/cedselementdetails.aspx?termid=5102")</f>
        <v>https://ceds.ed.gov/cedselementdetails.aspx?termid=5102</v>
      </c>
      <c r="P1171" s="6" t="str">
        <f>HYPERLINK("https://ceds.ed.gov/elementComment.aspx?elementName=Staff Evaluation Outcome &amp;elementID=5102", "Click here to submit comment")</f>
        <v>Click here to submit comment</v>
      </c>
    </row>
    <row r="1172" spans="1:16" ht="60">
      <c r="A1172" s="6" t="s">
        <v>6788</v>
      </c>
      <c r="B1172" s="6" t="s">
        <v>6821</v>
      </c>
      <c r="C1172" s="6" t="s">
        <v>6764</v>
      </c>
      <c r="D1172" s="6" t="s">
        <v>5484</v>
      </c>
      <c r="E1172" s="6" t="s">
        <v>5485</v>
      </c>
      <c r="F1172" s="6" t="s">
        <v>13</v>
      </c>
      <c r="G1172" s="6"/>
      <c r="H1172" s="6"/>
      <c r="I1172" s="6" t="s">
        <v>25</v>
      </c>
      <c r="J1172" s="6"/>
      <c r="K1172" s="6"/>
      <c r="L1172" s="6" t="s">
        <v>5486</v>
      </c>
      <c r="M1172" s="6"/>
      <c r="N1172" s="6" t="s">
        <v>5487</v>
      </c>
      <c r="O1172" s="6" t="str">
        <f>HYPERLINK("https://ceds.ed.gov/cedselementdetails.aspx?termid=5103")</f>
        <v>https://ceds.ed.gov/cedselementdetails.aspx?termid=5103</v>
      </c>
      <c r="P1172" s="6" t="str">
        <f>HYPERLINK("https://ceds.ed.gov/elementComment.aspx?elementName=Staff Evaluation Scale &amp;elementID=5103", "Click here to submit comment")</f>
        <v>Click here to submit comment</v>
      </c>
    </row>
    <row r="1173" spans="1:16" ht="30">
      <c r="A1173" s="6" t="s">
        <v>6788</v>
      </c>
      <c r="B1173" s="6" t="s">
        <v>6821</v>
      </c>
      <c r="C1173" s="6" t="s">
        <v>6764</v>
      </c>
      <c r="D1173" s="6" t="s">
        <v>5488</v>
      </c>
      <c r="E1173" s="6" t="s">
        <v>5489</v>
      </c>
      <c r="F1173" s="6" t="s">
        <v>13</v>
      </c>
      <c r="G1173" s="6"/>
      <c r="H1173" s="6"/>
      <c r="I1173" s="6" t="s">
        <v>106</v>
      </c>
      <c r="J1173" s="6"/>
      <c r="K1173" s="6"/>
      <c r="L1173" s="6" t="s">
        <v>5490</v>
      </c>
      <c r="M1173" s="6"/>
      <c r="N1173" s="6" t="s">
        <v>5491</v>
      </c>
      <c r="O1173" s="6" t="str">
        <f>HYPERLINK("https://ceds.ed.gov/cedselementdetails.aspx?termid=5104")</f>
        <v>https://ceds.ed.gov/cedselementdetails.aspx?termid=5104</v>
      </c>
      <c r="P1173" s="6" t="str">
        <f>HYPERLINK("https://ceds.ed.gov/elementComment.aspx?elementName=Staff Evaluation Score or Rating &amp;elementID=5104", "Click here to submit comment")</f>
        <v>Click here to submit comment</v>
      </c>
    </row>
    <row r="1174" spans="1:16" ht="45">
      <c r="A1174" s="6" t="s">
        <v>6788</v>
      </c>
      <c r="B1174" s="6" t="s">
        <v>6821</v>
      </c>
      <c r="C1174" s="6" t="s">
        <v>6764</v>
      </c>
      <c r="D1174" s="6" t="s">
        <v>5492</v>
      </c>
      <c r="E1174" s="6" t="s">
        <v>5493</v>
      </c>
      <c r="F1174" s="6" t="s">
        <v>13</v>
      </c>
      <c r="G1174" s="6"/>
      <c r="H1174" s="6"/>
      <c r="I1174" s="6" t="s">
        <v>106</v>
      </c>
      <c r="J1174" s="6"/>
      <c r="K1174" s="6"/>
      <c r="L1174" s="6" t="s">
        <v>5494</v>
      </c>
      <c r="M1174" s="6"/>
      <c r="N1174" s="6" t="s">
        <v>5495</v>
      </c>
      <c r="O1174" s="6" t="str">
        <f>HYPERLINK("https://ceds.ed.gov/cedselementdetails.aspx?termid=5105")</f>
        <v>https://ceds.ed.gov/cedselementdetails.aspx?termid=5105</v>
      </c>
      <c r="P1174" s="6" t="str">
        <f>HYPERLINK("https://ceds.ed.gov/elementComment.aspx?elementName=Staff Evaluation System &amp;elementID=5105", "Click here to submit comment")</f>
        <v>Click here to submit comment</v>
      </c>
    </row>
    <row r="1175" spans="1:16" ht="165">
      <c r="A1175" s="6" t="s">
        <v>6788</v>
      </c>
      <c r="B1175" s="6" t="s">
        <v>6821</v>
      </c>
      <c r="C1175" s="6" t="s">
        <v>6764</v>
      </c>
      <c r="D1175" s="6" t="s">
        <v>2623</v>
      </c>
      <c r="E1175" s="6" t="s">
        <v>2624</v>
      </c>
      <c r="F1175" s="7" t="s">
        <v>6505</v>
      </c>
      <c r="G1175" s="6" t="s">
        <v>6051</v>
      </c>
      <c r="H1175" s="6"/>
      <c r="I1175" s="6"/>
      <c r="J1175" s="6"/>
      <c r="K1175" s="6"/>
      <c r="L1175" s="6" t="s">
        <v>2626</v>
      </c>
      <c r="M1175" s="6"/>
      <c r="N1175" s="6" t="s">
        <v>2627</v>
      </c>
      <c r="O1175" s="6" t="str">
        <f>HYPERLINK("https://ceds.ed.gov/cedselementdetails.aspx?termid=5582")</f>
        <v>https://ceds.ed.gov/cedselementdetails.aspx?termid=5582</v>
      </c>
      <c r="P1175" s="6" t="str">
        <f>HYPERLINK("https://ceds.ed.gov/elementComment.aspx?elementName=Faculty and Administration Performance Level &amp;elementID=5582", "Click here to submit comment")</f>
        <v>Click here to submit comment</v>
      </c>
    </row>
    <row r="1176" spans="1:16" ht="60">
      <c r="A1176" s="6" t="s">
        <v>6788</v>
      </c>
      <c r="B1176" s="6" t="s">
        <v>6821</v>
      </c>
      <c r="C1176" s="6" t="s">
        <v>6764</v>
      </c>
      <c r="D1176" s="6" t="s">
        <v>5723</v>
      </c>
      <c r="E1176" s="6" t="s">
        <v>5724</v>
      </c>
      <c r="F1176" s="6" t="s">
        <v>5963</v>
      </c>
      <c r="G1176" s="6" t="s">
        <v>218</v>
      </c>
      <c r="H1176" s="6"/>
      <c r="I1176" s="6"/>
      <c r="J1176" s="6"/>
      <c r="K1176" s="6"/>
      <c r="L1176" s="6" t="s">
        <v>5725</v>
      </c>
      <c r="M1176" s="6"/>
      <c r="N1176" s="6" t="s">
        <v>5726</v>
      </c>
      <c r="O1176" s="6" t="str">
        <f>HYPERLINK("https://ceds.ed.gov/cedselementdetails.aspx?termid=5537")</f>
        <v>https://ceds.ed.gov/cedselementdetails.aspx?termid=5537</v>
      </c>
      <c r="P1176" s="6" t="str">
        <f>HYPERLINK("https://ceds.ed.gov/elementComment.aspx?elementName=Technology Skills Standards Met &amp;elementID=5537", "Click here to submit comment")</f>
        <v>Click here to submit comment</v>
      </c>
    </row>
    <row r="1177" spans="1:16" ht="30">
      <c r="A1177" s="6" t="s">
        <v>6788</v>
      </c>
      <c r="B1177" s="6" t="s">
        <v>6821</v>
      </c>
      <c r="C1177" s="6" t="s">
        <v>6764</v>
      </c>
      <c r="D1177" s="6" t="s">
        <v>1582</v>
      </c>
      <c r="E1177" s="6" t="s">
        <v>1583</v>
      </c>
      <c r="F1177" s="6" t="s">
        <v>13</v>
      </c>
      <c r="G1177" s="6"/>
      <c r="H1177" s="6" t="s">
        <v>54</v>
      </c>
      <c r="I1177" s="6" t="s">
        <v>73</v>
      </c>
      <c r="J1177" s="6"/>
      <c r="K1177" s="6"/>
      <c r="L1177" s="6" t="s">
        <v>1584</v>
      </c>
      <c r="M1177" s="6"/>
      <c r="N1177" s="6" t="s">
        <v>1585</v>
      </c>
      <c r="O1177" s="6" t="str">
        <f>HYPERLINK("https://ceds.ed.gov/cedselementdetails.aspx?termid=6255")</f>
        <v>https://ceds.ed.gov/cedselementdetails.aspx?termid=6255</v>
      </c>
      <c r="P1177" s="6" t="str">
        <f>HYPERLINK("https://ceds.ed.gov/elementComment.aspx?elementName=Career Education Plan Date &amp;elementID=6255", "Click here to submit comment")</f>
        <v>Click here to submit comment</v>
      </c>
    </row>
    <row r="1178" spans="1:16" ht="105">
      <c r="A1178" s="6" t="s">
        <v>6788</v>
      </c>
      <c r="B1178" s="6" t="s">
        <v>6821</v>
      </c>
      <c r="C1178" s="6" t="s">
        <v>6764</v>
      </c>
      <c r="D1178" s="6" t="s">
        <v>1586</v>
      </c>
      <c r="E1178" s="6" t="s">
        <v>1587</v>
      </c>
      <c r="F1178" s="7" t="s">
        <v>6416</v>
      </c>
      <c r="G1178" s="6"/>
      <c r="H1178" s="6" t="s">
        <v>54</v>
      </c>
      <c r="I1178" s="6"/>
      <c r="J1178" s="6"/>
      <c r="K1178" s="6"/>
      <c r="L1178" s="6" t="s">
        <v>1588</v>
      </c>
      <c r="M1178" s="6"/>
      <c r="N1178" s="6" t="s">
        <v>1589</v>
      </c>
      <c r="O1178" s="6" t="str">
        <f>HYPERLINK("https://ceds.ed.gov/cedselementdetails.aspx?termid=6256")</f>
        <v>https://ceds.ed.gov/cedselementdetails.aspx?termid=6256</v>
      </c>
      <c r="P1178" s="6" t="str">
        <f>HYPERLINK("https://ceds.ed.gov/elementComment.aspx?elementName=Career Education Plan Type &amp;elementID=6256", "Click here to submit comment")</f>
        <v>Click here to submit comment</v>
      </c>
    </row>
    <row r="1179" spans="1:16" ht="60">
      <c r="A1179" s="6" t="s">
        <v>6788</v>
      </c>
      <c r="B1179" s="6" t="s">
        <v>6821</v>
      </c>
      <c r="C1179" s="6" t="s">
        <v>6775</v>
      </c>
      <c r="D1179" s="6" t="s">
        <v>4620</v>
      </c>
      <c r="E1179" s="6" t="s">
        <v>4621</v>
      </c>
      <c r="F1179" s="6" t="s">
        <v>13</v>
      </c>
      <c r="G1179" s="6"/>
      <c r="H1179" s="6" t="s">
        <v>54</v>
      </c>
      <c r="I1179" s="6" t="s">
        <v>100</v>
      </c>
      <c r="J1179" s="6"/>
      <c r="K1179" s="6"/>
      <c r="L1179" s="6" t="s">
        <v>4622</v>
      </c>
      <c r="M1179" s="6"/>
      <c r="N1179" s="6" t="s">
        <v>4623</v>
      </c>
      <c r="O1179" s="6" t="str">
        <f>HYPERLINK("https://ceds.ed.gov/cedselementdetails.aspx?termid=6402")</f>
        <v>https://ceds.ed.gov/cedselementdetails.aspx?termid=6402</v>
      </c>
      <c r="P1179" s="6" t="str">
        <f>HYPERLINK("https://ceds.ed.gov/elementComment.aspx?elementName=Professional Development Activity Approval Code &amp;elementID=6402", "Click here to submit comment")</f>
        <v>Click here to submit comment</v>
      </c>
    </row>
    <row r="1180" spans="1:16" ht="105">
      <c r="A1180" s="6" t="s">
        <v>6788</v>
      </c>
      <c r="B1180" s="6" t="s">
        <v>6821</v>
      </c>
      <c r="C1180" s="6" t="s">
        <v>6775</v>
      </c>
      <c r="D1180" s="6" t="s">
        <v>4624</v>
      </c>
      <c r="E1180" s="6" t="s">
        <v>4625</v>
      </c>
      <c r="F1180" s="7" t="s">
        <v>6611</v>
      </c>
      <c r="G1180" s="6"/>
      <c r="H1180" s="6" t="s">
        <v>54</v>
      </c>
      <c r="I1180" s="6"/>
      <c r="J1180" s="6"/>
      <c r="K1180" s="6"/>
      <c r="L1180" s="6" t="s">
        <v>4626</v>
      </c>
      <c r="M1180" s="6"/>
      <c r="N1180" s="6" t="s">
        <v>4627</v>
      </c>
      <c r="O1180" s="6" t="str">
        <f>HYPERLINK("https://ceds.ed.gov/cedselementdetails.aspx?termid=6403")</f>
        <v>https://ceds.ed.gov/cedselementdetails.aspx?termid=6403</v>
      </c>
      <c r="P1180" s="6" t="str">
        <f>HYPERLINK("https://ceds.ed.gov/elementComment.aspx?elementName=Professional Development Activity Approved For &amp;elementID=6403", "Click here to submit comment")</f>
        <v>Click here to submit comment</v>
      </c>
    </row>
    <row r="1181" spans="1:16" ht="75">
      <c r="A1181" s="6" t="s">
        <v>6788</v>
      </c>
      <c r="B1181" s="6" t="s">
        <v>6821</v>
      </c>
      <c r="C1181" s="6" t="s">
        <v>6775</v>
      </c>
      <c r="D1181" s="6" t="s">
        <v>4628</v>
      </c>
      <c r="E1181" s="6" t="s">
        <v>4629</v>
      </c>
      <c r="F1181" s="6" t="s">
        <v>13</v>
      </c>
      <c r="G1181" s="6"/>
      <c r="H1181" s="6" t="s">
        <v>54</v>
      </c>
      <c r="I1181" s="6" t="s">
        <v>100</v>
      </c>
      <c r="J1181" s="6"/>
      <c r="K1181" s="6"/>
      <c r="L1181" s="6" t="s">
        <v>4630</v>
      </c>
      <c r="M1181" s="6"/>
      <c r="N1181" s="6" t="s">
        <v>4631</v>
      </c>
      <c r="O1181" s="6" t="str">
        <f>HYPERLINK("https://ceds.ed.gov/cedselementdetails.aspx?termid=6404")</f>
        <v>https://ceds.ed.gov/cedselementdetails.aspx?termid=6404</v>
      </c>
      <c r="P1181" s="6" t="str">
        <f>HYPERLINK("https://ceds.ed.gov/elementComment.aspx?elementName=Professional Development Activity Code &amp;elementID=6404", "Click here to submit comment")</f>
        <v>Click here to submit comment</v>
      </c>
    </row>
    <row r="1182" spans="1:16" ht="45">
      <c r="A1182" s="6" t="s">
        <v>6788</v>
      </c>
      <c r="B1182" s="6" t="s">
        <v>6821</v>
      </c>
      <c r="C1182" s="6" t="s">
        <v>6775</v>
      </c>
      <c r="D1182" s="6" t="s">
        <v>4632</v>
      </c>
      <c r="E1182" s="6" t="s">
        <v>4633</v>
      </c>
      <c r="F1182" s="6" t="s">
        <v>13</v>
      </c>
      <c r="G1182" s="6"/>
      <c r="H1182" s="6" t="s">
        <v>54</v>
      </c>
      <c r="I1182" s="6" t="s">
        <v>1461</v>
      </c>
      <c r="J1182" s="6"/>
      <c r="K1182" s="6"/>
      <c r="L1182" s="6" t="s">
        <v>4634</v>
      </c>
      <c r="M1182" s="6"/>
      <c r="N1182" s="6" t="s">
        <v>4635</v>
      </c>
      <c r="O1182" s="6" t="str">
        <f>HYPERLINK("https://ceds.ed.gov/cedselementdetails.aspx?termid=6405")</f>
        <v>https://ceds.ed.gov/cedselementdetails.aspx?termid=6405</v>
      </c>
      <c r="P1182" s="6" t="str">
        <f>HYPERLINK("https://ceds.ed.gov/elementComment.aspx?elementName=Professional Development Activity Cost &amp;elementID=6405", "Click here to submit comment")</f>
        <v>Click here to submit comment</v>
      </c>
    </row>
    <row r="1183" spans="1:16" ht="120">
      <c r="A1183" s="6" t="s">
        <v>6788</v>
      </c>
      <c r="B1183" s="6" t="s">
        <v>6821</v>
      </c>
      <c r="C1183" s="6" t="s">
        <v>6775</v>
      </c>
      <c r="D1183" s="6" t="s">
        <v>4636</v>
      </c>
      <c r="E1183" s="6" t="s">
        <v>4637</v>
      </c>
      <c r="F1183" s="7" t="s">
        <v>6612</v>
      </c>
      <c r="G1183" s="6"/>
      <c r="H1183" s="6" t="s">
        <v>54</v>
      </c>
      <c r="I1183" s="6"/>
      <c r="J1183" s="6"/>
      <c r="K1183" s="6"/>
      <c r="L1183" s="6" t="s">
        <v>4638</v>
      </c>
      <c r="M1183" s="6"/>
      <c r="N1183" s="6" t="s">
        <v>4639</v>
      </c>
      <c r="O1183" s="6" t="str">
        <f>HYPERLINK("https://ceds.ed.gov/cedselementdetails.aspx?termid=6406")</f>
        <v>https://ceds.ed.gov/cedselementdetails.aspx?termid=6406</v>
      </c>
      <c r="P1183" s="6" t="str">
        <f>HYPERLINK("https://ceds.ed.gov/elementComment.aspx?elementName=Professional Development Activity Credit Type &amp;elementID=6406", "Click here to submit comment")</f>
        <v>Click here to submit comment</v>
      </c>
    </row>
    <row r="1184" spans="1:16" ht="45">
      <c r="A1184" s="6" t="s">
        <v>6788</v>
      </c>
      <c r="B1184" s="6" t="s">
        <v>6821</v>
      </c>
      <c r="C1184" s="6" t="s">
        <v>6775</v>
      </c>
      <c r="D1184" s="6" t="s">
        <v>4640</v>
      </c>
      <c r="E1184" s="6" t="s">
        <v>4641</v>
      </c>
      <c r="F1184" s="6" t="s">
        <v>13</v>
      </c>
      <c r="G1184" s="6"/>
      <c r="H1184" s="6" t="s">
        <v>54</v>
      </c>
      <c r="I1184" s="6" t="s">
        <v>1461</v>
      </c>
      <c r="J1184" s="6"/>
      <c r="K1184" s="6"/>
      <c r="L1184" s="6" t="s">
        <v>4642</v>
      </c>
      <c r="M1184" s="6"/>
      <c r="N1184" s="6" t="s">
        <v>4643</v>
      </c>
      <c r="O1184" s="6" t="str">
        <f>HYPERLINK("https://ceds.ed.gov/cedselementdetails.aspx?termid=6407")</f>
        <v>https://ceds.ed.gov/cedselementdetails.aspx?termid=6407</v>
      </c>
      <c r="P1184" s="6" t="str">
        <f>HYPERLINK("https://ceds.ed.gov/elementComment.aspx?elementName=Professional Development Activity Credits &amp;elementID=6407", "Click here to submit comment")</f>
        <v>Click here to submit comment</v>
      </c>
    </row>
    <row r="1185" spans="1:16" ht="60">
      <c r="A1185" s="6" t="s">
        <v>6788</v>
      </c>
      <c r="B1185" s="6" t="s">
        <v>6821</v>
      </c>
      <c r="C1185" s="6" t="s">
        <v>6775</v>
      </c>
      <c r="D1185" s="6" t="s">
        <v>4644</v>
      </c>
      <c r="E1185" s="6" t="s">
        <v>4645</v>
      </c>
      <c r="F1185" s="6" t="s">
        <v>13</v>
      </c>
      <c r="G1185" s="6"/>
      <c r="H1185" s="6" t="s">
        <v>54</v>
      </c>
      <c r="I1185" s="6" t="s">
        <v>319</v>
      </c>
      <c r="J1185" s="6"/>
      <c r="K1185" s="6"/>
      <c r="L1185" s="6" t="s">
        <v>4646</v>
      </c>
      <c r="M1185" s="6"/>
      <c r="N1185" s="6" t="s">
        <v>4647</v>
      </c>
      <c r="O1185" s="6" t="str">
        <f>HYPERLINK("https://ceds.ed.gov/cedselementdetails.aspx?termid=6408")</f>
        <v>https://ceds.ed.gov/cedselementdetails.aspx?termid=6408</v>
      </c>
      <c r="P1185" s="6" t="str">
        <f>HYPERLINK("https://ceds.ed.gov/elementComment.aspx?elementName=Professional Development Activity Description &amp;elementID=6408", "Click here to submit comment")</f>
        <v>Click here to submit comment</v>
      </c>
    </row>
    <row r="1186" spans="1:16" ht="60">
      <c r="A1186" s="6" t="s">
        <v>6788</v>
      </c>
      <c r="B1186" s="6" t="s">
        <v>6821</v>
      </c>
      <c r="C1186" s="6" t="s">
        <v>6775</v>
      </c>
      <c r="D1186" s="6" t="s">
        <v>4654</v>
      </c>
      <c r="E1186" s="6" t="s">
        <v>4655</v>
      </c>
      <c r="F1186" s="6" t="s">
        <v>13</v>
      </c>
      <c r="G1186" s="6"/>
      <c r="H1186" s="6" t="s">
        <v>54</v>
      </c>
      <c r="I1186" s="6" t="s">
        <v>73</v>
      </c>
      <c r="J1186" s="6"/>
      <c r="K1186" s="6"/>
      <c r="L1186" s="6" t="s">
        <v>4656</v>
      </c>
      <c r="M1186" s="6"/>
      <c r="N1186" s="6" t="s">
        <v>4657</v>
      </c>
      <c r="O1186" s="6" t="str">
        <f>HYPERLINK("https://ceds.ed.gov/cedselementdetails.aspx?termid=6421")</f>
        <v>https://ceds.ed.gov/cedselementdetails.aspx?termid=6421</v>
      </c>
      <c r="P1186" s="6" t="str">
        <f>HYPERLINK("https://ceds.ed.gov/elementComment.aspx?elementName=Professional Development Activity Expiration Date &amp;elementID=6421", "Click here to submit comment")</f>
        <v>Click here to submit comment</v>
      </c>
    </row>
    <row r="1187" spans="1:16" ht="60">
      <c r="A1187" s="6" t="s">
        <v>6788</v>
      </c>
      <c r="B1187" s="6" t="s">
        <v>6821</v>
      </c>
      <c r="C1187" s="6" t="s">
        <v>6775</v>
      </c>
      <c r="D1187" s="6" t="s">
        <v>4664</v>
      </c>
      <c r="E1187" s="6" t="s">
        <v>4665</v>
      </c>
      <c r="F1187" s="6" t="s">
        <v>6289</v>
      </c>
      <c r="G1187" s="6"/>
      <c r="H1187" s="6" t="s">
        <v>54</v>
      </c>
      <c r="I1187" s="6"/>
      <c r="J1187" s="6"/>
      <c r="K1187" s="6"/>
      <c r="L1187" s="6" t="s">
        <v>4666</v>
      </c>
      <c r="M1187" s="6"/>
      <c r="N1187" s="6" t="s">
        <v>4667</v>
      </c>
      <c r="O1187" s="6" t="str">
        <f>HYPERLINK("https://ceds.ed.gov/cedselementdetails.aspx?termid=6409")</f>
        <v>https://ceds.ed.gov/cedselementdetails.aspx?termid=6409</v>
      </c>
      <c r="P1187" s="6" t="str">
        <f>HYPERLINK("https://ceds.ed.gov/elementComment.aspx?elementName=Professional Development Activity Level &amp;elementID=6409", "Click here to submit comment")</f>
        <v>Click here to submit comment</v>
      </c>
    </row>
    <row r="1188" spans="1:16" ht="45">
      <c r="A1188" s="6" t="s">
        <v>6788</v>
      </c>
      <c r="B1188" s="6" t="s">
        <v>6821</v>
      </c>
      <c r="C1188" s="6" t="s">
        <v>6775</v>
      </c>
      <c r="D1188" s="6" t="s">
        <v>4668</v>
      </c>
      <c r="E1188" s="6" t="s">
        <v>4669</v>
      </c>
      <c r="F1188" s="6" t="s">
        <v>13</v>
      </c>
      <c r="G1188" s="6"/>
      <c r="H1188" s="6" t="s">
        <v>54</v>
      </c>
      <c r="I1188" s="6" t="s">
        <v>319</v>
      </c>
      <c r="J1188" s="6"/>
      <c r="K1188" s="6"/>
      <c r="L1188" s="6" t="s">
        <v>4670</v>
      </c>
      <c r="M1188" s="6"/>
      <c r="N1188" s="6" t="s">
        <v>4671</v>
      </c>
      <c r="O1188" s="6" t="str">
        <f>HYPERLINK("https://ceds.ed.gov/cedselementdetails.aspx?termid=6410")</f>
        <v>https://ceds.ed.gov/cedselementdetails.aspx?termid=6410</v>
      </c>
      <c r="P1188" s="6" t="str">
        <f>HYPERLINK("https://ceds.ed.gov/elementComment.aspx?elementName=Professional Development Activity Objective &amp;elementID=6410", "Click here to submit comment")</f>
        <v>Click here to submit comment</v>
      </c>
    </row>
    <row r="1189" spans="1:16" ht="409.5">
      <c r="A1189" s="6" t="s">
        <v>6788</v>
      </c>
      <c r="B1189" s="6" t="s">
        <v>6821</v>
      </c>
      <c r="C1189" s="6" t="s">
        <v>6775</v>
      </c>
      <c r="D1189" s="6" t="s">
        <v>4672</v>
      </c>
      <c r="E1189" s="6" t="s">
        <v>4673</v>
      </c>
      <c r="F1189" s="7" t="s">
        <v>6614</v>
      </c>
      <c r="G1189" s="6"/>
      <c r="H1189" s="6" t="s">
        <v>54</v>
      </c>
      <c r="I1189" s="6"/>
      <c r="J1189" s="6"/>
      <c r="K1189" s="6"/>
      <c r="L1189" s="6" t="s">
        <v>4674</v>
      </c>
      <c r="M1189" s="6"/>
      <c r="N1189" s="6" t="s">
        <v>4675</v>
      </c>
      <c r="O1189" s="6" t="str">
        <f>HYPERLINK("https://ceds.ed.gov/cedselementdetails.aspx?termid=6464")</f>
        <v>https://ceds.ed.gov/cedselementdetails.aspx?termid=6464</v>
      </c>
      <c r="P1189" s="6" t="str">
        <f>HYPERLINK("https://ceds.ed.gov/elementComment.aspx?elementName=Professional Development Activity Target Audience &amp;elementID=6464", "Click here to submit comment")</f>
        <v>Click here to submit comment</v>
      </c>
    </row>
    <row r="1190" spans="1:16" ht="45">
      <c r="A1190" s="6" t="s">
        <v>6788</v>
      </c>
      <c r="B1190" s="6" t="s">
        <v>6821</v>
      </c>
      <c r="C1190" s="6" t="s">
        <v>6775</v>
      </c>
      <c r="D1190" s="6" t="s">
        <v>4676</v>
      </c>
      <c r="E1190" s="6" t="s">
        <v>4677</v>
      </c>
      <c r="F1190" s="6" t="s">
        <v>13</v>
      </c>
      <c r="G1190" s="6" t="s">
        <v>202</v>
      </c>
      <c r="H1190" s="6" t="s">
        <v>66</v>
      </c>
      <c r="I1190" s="6" t="s">
        <v>106</v>
      </c>
      <c r="J1190" s="6" t="s">
        <v>4678</v>
      </c>
      <c r="K1190" s="6"/>
      <c r="L1190" s="6" t="s">
        <v>4679</v>
      </c>
      <c r="M1190" s="6"/>
      <c r="N1190" s="6" t="s">
        <v>4680</v>
      </c>
      <c r="O1190" s="6" t="str">
        <f>HYPERLINK("https://ceds.ed.gov/cedselementdetails.aspx?termid=5809")</f>
        <v>https://ceds.ed.gov/cedselementdetails.aspx?termid=5809</v>
      </c>
      <c r="P1190" s="6" t="str">
        <f>HYPERLINK("https://ceds.ed.gov/elementComment.aspx?elementName=Professional Development Activity Title &amp;elementID=5809", "Click here to submit comment")</f>
        <v>Click here to submit comment</v>
      </c>
    </row>
    <row r="1191" spans="1:16" ht="210">
      <c r="A1191" s="6" t="s">
        <v>6788</v>
      </c>
      <c r="B1191" s="6" t="s">
        <v>6821</v>
      </c>
      <c r="C1191" s="6" t="s">
        <v>6775</v>
      </c>
      <c r="D1191" s="6" t="s">
        <v>4681</v>
      </c>
      <c r="E1191" s="6" t="s">
        <v>4682</v>
      </c>
      <c r="F1191" s="7" t="s">
        <v>6615</v>
      </c>
      <c r="G1191" s="6"/>
      <c r="H1191" s="6" t="s">
        <v>54</v>
      </c>
      <c r="I1191" s="6"/>
      <c r="J1191" s="6"/>
      <c r="K1191" s="6" t="s">
        <v>4683</v>
      </c>
      <c r="L1191" s="6" t="s">
        <v>4684</v>
      </c>
      <c r="M1191" s="6"/>
      <c r="N1191" s="6" t="s">
        <v>4685</v>
      </c>
      <c r="O1191" s="6" t="str">
        <f>HYPERLINK("https://ceds.ed.gov/cedselementdetails.aspx?termid=6412")</f>
        <v>https://ceds.ed.gov/cedselementdetails.aspx?termid=6412</v>
      </c>
      <c r="P1191" s="6" t="str">
        <f>HYPERLINK("https://ceds.ed.gov/elementComment.aspx?elementName=Professional Development Activity Type &amp;elementID=6412", "Click here to submit comment")</f>
        <v>Click here to submit comment</v>
      </c>
    </row>
    <row r="1192" spans="1:16" ht="90">
      <c r="A1192" s="6" t="s">
        <v>6788</v>
      </c>
      <c r="B1192" s="6" t="s">
        <v>6821</v>
      </c>
      <c r="C1192" s="6" t="s">
        <v>6776</v>
      </c>
      <c r="D1192" s="6" t="s">
        <v>4690</v>
      </c>
      <c r="E1192" s="6" t="s">
        <v>4691</v>
      </c>
      <c r="F1192" s="7" t="s">
        <v>6616</v>
      </c>
      <c r="G1192" s="6"/>
      <c r="H1192" s="6" t="s">
        <v>54</v>
      </c>
      <c r="I1192" s="6"/>
      <c r="J1192" s="6"/>
      <c r="K1192" s="6"/>
      <c r="L1192" s="6" t="s">
        <v>4692</v>
      </c>
      <c r="M1192" s="6"/>
      <c r="N1192" s="6" t="s">
        <v>4693</v>
      </c>
      <c r="O1192" s="6" t="str">
        <f>HYPERLINK("https://ceds.ed.gov/cedselementdetails.aspx?termid=6401")</f>
        <v>https://ceds.ed.gov/cedselementdetails.aspx?termid=6401</v>
      </c>
      <c r="P1192" s="6" t="str">
        <f>HYPERLINK("https://ceds.ed.gov/elementComment.aspx?elementName=Professional Development Delivery Method &amp;elementID=6401", "Click here to submit comment")</f>
        <v>Click here to submit comment</v>
      </c>
    </row>
    <row r="1193" spans="1:16" ht="45">
      <c r="A1193" s="6" t="s">
        <v>6788</v>
      </c>
      <c r="B1193" s="6" t="s">
        <v>6821</v>
      </c>
      <c r="C1193" s="6" t="s">
        <v>6776</v>
      </c>
      <c r="D1193" s="6" t="s">
        <v>4698</v>
      </c>
      <c r="E1193" s="6" t="s">
        <v>4699</v>
      </c>
      <c r="F1193" s="6" t="s">
        <v>13</v>
      </c>
      <c r="G1193" s="6"/>
      <c r="H1193" s="6" t="s">
        <v>54</v>
      </c>
      <c r="I1193" s="6" t="s">
        <v>100</v>
      </c>
      <c r="J1193" s="6"/>
      <c r="K1193" s="6"/>
      <c r="L1193" s="6" t="s">
        <v>4700</v>
      </c>
      <c r="M1193" s="6"/>
      <c r="N1193" s="6" t="s">
        <v>4701</v>
      </c>
      <c r="O1193" s="6" t="str">
        <f>HYPERLINK("https://ceds.ed.gov/cedselementdetails.aspx?termid=6413")</f>
        <v>https://ceds.ed.gov/cedselementdetails.aspx?termid=6413</v>
      </c>
      <c r="P1193" s="6" t="str">
        <f>HYPERLINK("https://ceds.ed.gov/elementComment.aspx?elementName=Professional Development Funding Source &amp;elementID=6413", "Click here to submit comment")</f>
        <v>Click here to submit comment</v>
      </c>
    </row>
    <row r="1194" spans="1:16" ht="240">
      <c r="A1194" s="6" t="s">
        <v>6788</v>
      </c>
      <c r="B1194" s="6" t="s">
        <v>6821</v>
      </c>
      <c r="C1194" s="6" t="s">
        <v>6776</v>
      </c>
      <c r="D1194" s="6" t="s">
        <v>4702</v>
      </c>
      <c r="E1194" s="6" t="s">
        <v>4703</v>
      </c>
      <c r="F1194" s="7" t="s">
        <v>6618</v>
      </c>
      <c r="G1194" s="6"/>
      <c r="H1194" s="6" t="s">
        <v>54</v>
      </c>
      <c r="I1194" s="6"/>
      <c r="J1194" s="6"/>
      <c r="K1194" s="6"/>
      <c r="L1194" s="6" t="s">
        <v>4704</v>
      </c>
      <c r="M1194" s="6"/>
      <c r="N1194" s="6" t="s">
        <v>4705</v>
      </c>
      <c r="O1194" s="6" t="str">
        <f>HYPERLINK("https://ceds.ed.gov/cedselementdetails.aspx?termid=6429")</f>
        <v>https://ceds.ed.gov/cedselementdetails.aspx?termid=6429</v>
      </c>
      <c r="P1194" s="6" t="str">
        <f>HYPERLINK("https://ceds.ed.gov/elementComment.aspx?elementName=Professional Development Instructional Delivery Mode &amp;elementID=6429", "Click here to submit comment")</f>
        <v>Click here to submit comment</v>
      </c>
    </row>
    <row r="1195" spans="1:16" ht="60">
      <c r="A1195" s="6" t="s">
        <v>6788</v>
      </c>
      <c r="B1195" s="6" t="s">
        <v>6821</v>
      </c>
      <c r="C1195" s="6" t="s">
        <v>6776</v>
      </c>
      <c r="D1195" s="6" t="s">
        <v>4706</v>
      </c>
      <c r="E1195" s="6" t="s">
        <v>4707</v>
      </c>
      <c r="F1195" s="6" t="s">
        <v>13</v>
      </c>
      <c r="G1195" s="6"/>
      <c r="H1195" s="6" t="s">
        <v>54</v>
      </c>
      <c r="I1195" s="6" t="s">
        <v>100</v>
      </c>
      <c r="J1195" s="6"/>
      <c r="K1195" s="6"/>
      <c r="L1195" s="6" t="s">
        <v>4708</v>
      </c>
      <c r="M1195" s="6"/>
      <c r="N1195" s="6" t="s">
        <v>4709</v>
      </c>
      <c r="O1195" s="6" t="str">
        <f>HYPERLINK("https://ceds.ed.gov/cedselementdetails.aspx?termid=6414")</f>
        <v>https://ceds.ed.gov/cedselementdetails.aspx?termid=6414</v>
      </c>
      <c r="P1195" s="6" t="str">
        <f>HYPERLINK("https://ceds.ed.gov/elementComment.aspx?elementName=Professional Development Instructor Identifier &amp;elementID=6414", "Click here to submit comment")</f>
        <v>Click here to submit comment</v>
      </c>
    </row>
    <row r="1196" spans="1:16" ht="45">
      <c r="A1196" s="6" t="s">
        <v>6788</v>
      </c>
      <c r="B1196" s="6" t="s">
        <v>6821</v>
      </c>
      <c r="C1196" s="6" t="s">
        <v>6776</v>
      </c>
      <c r="D1196" s="6" t="s">
        <v>4718</v>
      </c>
      <c r="E1196" s="6" t="s">
        <v>4719</v>
      </c>
      <c r="F1196" s="6" t="s">
        <v>13</v>
      </c>
      <c r="G1196" s="6"/>
      <c r="H1196" s="6" t="s">
        <v>54</v>
      </c>
      <c r="I1196" s="6" t="s">
        <v>575</v>
      </c>
      <c r="J1196" s="6"/>
      <c r="K1196" s="6"/>
      <c r="L1196" s="6" t="s">
        <v>4720</v>
      </c>
      <c r="M1196" s="6"/>
      <c r="N1196" s="6" t="s">
        <v>4721</v>
      </c>
      <c r="O1196" s="6" t="str">
        <f>HYPERLINK("https://ceds.ed.gov/cedselementdetails.aspx?termid=6416")</f>
        <v>https://ceds.ed.gov/cedselementdetails.aspx?termid=6416</v>
      </c>
      <c r="P1196" s="6" t="str">
        <f>HYPERLINK("https://ceds.ed.gov/elementComment.aspx?elementName=Professional Development Session Capacity &amp;elementID=6416", "Click here to submit comment")</f>
        <v>Click here to submit comment</v>
      </c>
    </row>
    <row r="1197" spans="1:16" ht="45">
      <c r="A1197" s="6" t="s">
        <v>6788</v>
      </c>
      <c r="B1197" s="6" t="s">
        <v>6821</v>
      </c>
      <c r="C1197" s="6" t="s">
        <v>6776</v>
      </c>
      <c r="D1197" s="6" t="s">
        <v>4722</v>
      </c>
      <c r="E1197" s="6" t="s">
        <v>4723</v>
      </c>
      <c r="F1197" s="6" t="s">
        <v>13</v>
      </c>
      <c r="G1197" s="6"/>
      <c r="H1197" s="6" t="s">
        <v>54</v>
      </c>
      <c r="I1197" s="6" t="s">
        <v>73</v>
      </c>
      <c r="J1197" s="6"/>
      <c r="K1197" s="6"/>
      <c r="L1197" s="6" t="s">
        <v>4724</v>
      </c>
      <c r="M1197" s="6"/>
      <c r="N1197" s="6" t="s">
        <v>4725</v>
      </c>
      <c r="O1197" s="6" t="str">
        <f>HYPERLINK("https://ceds.ed.gov/cedselementdetails.aspx?termid=6417")</f>
        <v>https://ceds.ed.gov/cedselementdetails.aspx?termid=6417</v>
      </c>
      <c r="P1197" s="6" t="str">
        <f>HYPERLINK("https://ceds.ed.gov/elementComment.aspx?elementName=Professional Development Session End Date &amp;elementID=6417", "Click here to submit comment")</f>
        <v>Click here to submit comment</v>
      </c>
    </row>
    <row r="1198" spans="1:16" ht="45">
      <c r="A1198" s="6" t="s">
        <v>6788</v>
      </c>
      <c r="B1198" s="6" t="s">
        <v>6821</v>
      </c>
      <c r="C1198" s="6" t="s">
        <v>6776</v>
      </c>
      <c r="D1198" s="6" t="s">
        <v>4726</v>
      </c>
      <c r="E1198" s="6" t="s">
        <v>4727</v>
      </c>
      <c r="F1198" s="6" t="s">
        <v>13</v>
      </c>
      <c r="G1198" s="6"/>
      <c r="H1198" s="6" t="s">
        <v>54</v>
      </c>
      <c r="I1198" s="6" t="s">
        <v>4728</v>
      </c>
      <c r="J1198" s="6"/>
      <c r="K1198" s="6"/>
      <c r="L1198" s="6" t="s">
        <v>4729</v>
      </c>
      <c r="M1198" s="6"/>
      <c r="N1198" s="6" t="s">
        <v>4730</v>
      </c>
      <c r="O1198" s="6" t="str">
        <f>HYPERLINK("https://ceds.ed.gov/cedselementdetails.aspx?termid=6418")</f>
        <v>https://ceds.ed.gov/cedselementdetails.aspx?termid=6418</v>
      </c>
      <c r="P1198" s="6" t="str">
        <f>HYPERLINK("https://ceds.ed.gov/elementComment.aspx?elementName=Professional Development Session End Time &amp;elementID=6418", "Click here to submit comment")</f>
        <v>Click here to submit comment</v>
      </c>
    </row>
    <row r="1199" spans="1:16" ht="60">
      <c r="A1199" s="6" t="s">
        <v>6788</v>
      </c>
      <c r="B1199" s="6" t="s">
        <v>6821</v>
      </c>
      <c r="C1199" s="6" t="s">
        <v>6776</v>
      </c>
      <c r="D1199" s="6" t="s">
        <v>4731</v>
      </c>
      <c r="E1199" s="6" t="s">
        <v>4732</v>
      </c>
      <c r="F1199" s="6" t="s">
        <v>13</v>
      </c>
      <c r="G1199" s="6"/>
      <c r="H1199" s="6" t="s">
        <v>54</v>
      </c>
      <c r="I1199" s="6" t="s">
        <v>100</v>
      </c>
      <c r="J1199" s="6"/>
      <c r="K1199" s="6"/>
      <c r="L1199" s="6" t="s">
        <v>4733</v>
      </c>
      <c r="M1199" s="6"/>
      <c r="N1199" s="6" t="s">
        <v>4734</v>
      </c>
      <c r="O1199" s="6" t="str">
        <f>HYPERLINK("https://ceds.ed.gov/cedselementdetails.aspx?termid=6419")</f>
        <v>https://ceds.ed.gov/cedselementdetails.aspx?termid=6419</v>
      </c>
      <c r="P1199" s="6" t="str">
        <f>HYPERLINK("https://ceds.ed.gov/elementComment.aspx?elementName=Professional Development Session Evaluation Method &amp;elementID=6419", "Click here to submit comment")</f>
        <v>Click here to submit comment</v>
      </c>
    </row>
    <row r="1200" spans="1:16" ht="60">
      <c r="A1200" s="6" t="s">
        <v>6788</v>
      </c>
      <c r="B1200" s="6" t="s">
        <v>6821</v>
      </c>
      <c r="C1200" s="6" t="s">
        <v>6776</v>
      </c>
      <c r="D1200" s="6" t="s">
        <v>4735</v>
      </c>
      <c r="E1200" s="6" t="s">
        <v>4736</v>
      </c>
      <c r="F1200" s="6" t="s">
        <v>13</v>
      </c>
      <c r="G1200" s="6"/>
      <c r="H1200" s="6" t="s">
        <v>54</v>
      </c>
      <c r="I1200" s="6" t="s">
        <v>100</v>
      </c>
      <c r="J1200" s="6"/>
      <c r="K1200" s="6"/>
      <c r="L1200" s="6" t="s">
        <v>4737</v>
      </c>
      <c r="M1200" s="6"/>
      <c r="N1200" s="6" t="s">
        <v>4738</v>
      </c>
      <c r="O1200" s="6" t="str">
        <f>HYPERLINK("https://ceds.ed.gov/cedselementdetails.aspx?termid=6420")</f>
        <v>https://ceds.ed.gov/cedselementdetails.aspx?termid=6420</v>
      </c>
      <c r="P1200" s="6" t="str">
        <f>HYPERLINK("https://ceds.ed.gov/elementComment.aspx?elementName=Professional Development Session Evaluation Score &amp;elementID=6420", "Click here to submit comment")</f>
        <v>Click here to submit comment</v>
      </c>
    </row>
    <row r="1201" spans="1:16" ht="75">
      <c r="A1201" s="6" t="s">
        <v>6788</v>
      </c>
      <c r="B1201" s="6" t="s">
        <v>6821</v>
      </c>
      <c r="C1201" s="6" t="s">
        <v>6776</v>
      </c>
      <c r="D1201" s="6" t="s">
        <v>4739</v>
      </c>
      <c r="E1201" s="6" t="s">
        <v>4740</v>
      </c>
      <c r="F1201" s="6" t="s">
        <v>13</v>
      </c>
      <c r="G1201" s="6"/>
      <c r="H1201" s="6" t="s">
        <v>54</v>
      </c>
      <c r="I1201" s="6" t="s">
        <v>100</v>
      </c>
      <c r="J1201" s="6"/>
      <c r="K1201" s="6"/>
      <c r="L1201" s="6" t="s">
        <v>4741</v>
      </c>
      <c r="M1201" s="6"/>
      <c r="N1201" s="6" t="s">
        <v>4742</v>
      </c>
      <c r="O1201" s="6" t="str">
        <f>HYPERLINK("https://ceds.ed.gov/cedselementdetails.aspx?termid=6422")</f>
        <v>https://ceds.ed.gov/cedselementdetails.aspx?termid=6422</v>
      </c>
      <c r="P1201" s="6" t="str">
        <f>HYPERLINK("https://ceds.ed.gov/elementComment.aspx?elementName=Professional Development Session Identifier &amp;elementID=6422", "Click here to submit comment")</f>
        <v>Click here to submit comment</v>
      </c>
    </row>
    <row r="1202" spans="1:16" ht="45">
      <c r="A1202" s="6" t="s">
        <v>6788</v>
      </c>
      <c r="B1202" s="6" t="s">
        <v>6821</v>
      </c>
      <c r="C1202" s="6" t="s">
        <v>6776</v>
      </c>
      <c r="D1202" s="6" t="s">
        <v>4747</v>
      </c>
      <c r="E1202" s="6" t="s">
        <v>4748</v>
      </c>
      <c r="F1202" s="6" t="s">
        <v>13</v>
      </c>
      <c r="G1202" s="6"/>
      <c r="H1202" s="6" t="s">
        <v>54</v>
      </c>
      <c r="I1202" s="6" t="s">
        <v>73</v>
      </c>
      <c r="J1202" s="6"/>
      <c r="K1202" s="6"/>
      <c r="L1202" s="6" t="s">
        <v>4749</v>
      </c>
      <c r="M1202" s="6"/>
      <c r="N1202" s="6" t="s">
        <v>4750</v>
      </c>
      <c r="O1202" s="6" t="str">
        <f>HYPERLINK("https://ceds.ed.gov/cedselementdetails.aspx?termid=6426")</f>
        <v>https://ceds.ed.gov/cedselementdetails.aspx?termid=6426</v>
      </c>
      <c r="P1202" s="6" t="str">
        <f>HYPERLINK("https://ceds.ed.gov/elementComment.aspx?elementName=Professional Development Session Start Date &amp;elementID=6426", "Click here to submit comment")</f>
        <v>Click here to submit comment</v>
      </c>
    </row>
    <row r="1203" spans="1:16" ht="45">
      <c r="A1203" s="6" t="s">
        <v>6788</v>
      </c>
      <c r="B1203" s="6" t="s">
        <v>6821</v>
      </c>
      <c r="C1203" s="6" t="s">
        <v>6776</v>
      </c>
      <c r="D1203" s="6" t="s">
        <v>4751</v>
      </c>
      <c r="E1203" s="6" t="s">
        <v>4752</v>
      </c>
      <c r="F1203" s="6" t="s">
        <v>13</v>
      </c>
      <c r="G1203" s="6"/>
      <c r="H1203" s="6" t="s">
        <v>54</v>
      </c>
      <c r="I1203" s="6" t="s">
        <v>4728</v>
      </c>
      <c r="J1203" s="6"/>
      <c r="K1203" s="6"/>
      <c r="L1203" s="6" t="s">
        <v>4753</v>
      </c>
      <c r="M1203" s="6"/>
      <c r="N1203" s="6" t="s">
        <v>4754</v>
      </c>
      <c r="O1203" s="6" t="str">
        <f>HYPERLINK("https://ceds.ed.gov/cedselementdetails.aspx?termid=6427")</f>
        <v>https://ceds.ed.gov/cedselementdetails.aspx?termid=6427</v>
      </c>
      <c r="P1203" s="6" t="str">
        <f>HYPERLINK("https://ceds.ed.gov/elementComment.aspx?elementName=Professional Development Session Start Time &amp;elementID=6427", "Click here to submit comment")</f>
        <v>Click here to submit comment</v>
      </c>
    </row>
    <row r="1204" spans="1:16" ht="60">
      <c r="A1204" s="6" t="s">
        <v>6788</v>
      </c>
      <c r="B1204" s="6" t="s">
        <v>6821</v>
      </c>
      <c r="C1204" s="6" t="s">
        <v>6776</v>
      </c>
      <c r="D1204" s="6" t="s">
        <v>4755</v>
      </c>
      <c r="E1204" s="6" t="s">
        <v>4756</v>
      </c>
      <c r="F1204" s="6" t="s">
        <v>6292</v>
      </c>
      <c r="G1204" s="6"/>
      <c r="H1204" s="6" t="s">
        <v>54</v>
      </c>
      <c r="I1204" s="6"/>
      <c r="J1204" s="6"/>
      <c r="K1204" s="6"/>
      <c r="L1204" s="6" t="s">
        <v>4757</v>
      </c>
      <c r="M1204" s="6"/>
      <c r="N1204" s="6" t="s">
        <v>4758</v>
      </c>
      <c r="O1204" s="6" t="str">
        <f>HYPERLINK("https://ceds.ed.gov/cedselementdetails.aspx?termid=6428")</f>
        <v>https://ceds.ed.gov/cedselementdetails.aspx?termid=6428</v>
      </c>
      <c r="P1204" s="6" t="str">
        <f>HYPERLINK("https://ceds.ed.gov/elementComment.aspx?elementName=Professional Development Session Status &amp;elementID=6428", "Click here to submit comment")</f>
        <v>Click here to submit comment</v>
      </c>
    </row>
    <row r="1205" spans="1:16" ht="45">
      <c r="A1205" s="6" t="s">
        <v>6788</v>
      </c>
      <c r="B1205" s="6" t="s">
        <v>6821</v>
      </c>
      <c r="C1205" s="6" t="s">
        <v>6776</v>
      </c>
      <c r="D1205" s="6" t="s">
        <v>5443</v>
      </c>
      <c r="E1205" s="6" t="s">
        <v>5444</v>
      </c>
      <c r="F1205" s="6" t="s">
        <v>13</v>
      </c>
      <c r="G1205" s="6"/>
      <c r="H1205" s="6" t="s">
        <v>54</v>
      </c>
      <c r="I1205" s="6" t="s">
        <v>106</v>
      </c>
      <c r="J1205" s="6"/>
      <c r="K1205" s="6"/>
      <c r="L1205" s="6" t="s">
        <v>5445</v>
      </c>
      <c r="M1205" s="6"/>
      <c r="N1205" s="6" t="s">
        <v>5446</v>
      </c>
      <c r="O1205" s="6" t="str">
        <f>HYPERLINK("https://ceds.ed.gov/cedselementdetails.aspx?termid=6461")</f>
        <v>https://ceds.ed.gov/cedselementdetails.aspx?termid=6461</v>
      </c>
      <c r="P1205" s="6" t="str">
        <f>HYPERLINK("https://ceds.ed.gov/elementComment.aspx?elementName=Sponsoring Agency Name &amp;elementID=6461", "Click here to submit comment")</f>
        <v>Click here to submit comment</v>
      </c>
    </row>
    <row r="1206" spans="1:16" ht="60">
      <c r="A1206" s="6" t="s">
        <v>6788</v>
      </c>
      <c r="B1206" s="6" t="s">
        <v>6821</v>
      </c>
      <c r="C1206" s="6" t="s">
        <v>6777</v>
      </c>
      <c r="D1206" s="6" t="s">
        <v>4743</v>
      </c>
      <c r="E1206" s="6" t="s">
        <v>4744</v>
      </c>
      <c r="F1206" s="6" t="s">
        <v>13</v>
      </c>
      <c r="G1206" s="6"/>
      <c r="H1206" s="6" t="s">
        <v>54</v>
      </c>
      <c r="I1206" s="6" t="s">
        <v>106</v>
      </c>
      <c r="J1206" s="6"/>
      <c r="K1206" s="6"/>
      <c r="L1206" s="6" t="s">
        <v>4745</v>
      </c>
      <c r="M1206" s="6"/>
      <c r="N1206" s="6" t="s">
        <v>4746</v>
      </c>
      <c r="O1206" s="6" t="str">
        <f>HYPERLINK("https://ceds.ed.gov/cedselementdetails.aspx?termid=6424")</f>
        <v>https://ceds.ed.gov/cedselementdetails.aspx?termid=6424</v>
      </c>
      <c r="P1206" s="6" t="str">
        <f>HYPERLINK("https://ceds.ed.gov/elementComment.aspx?elementName=Professional Development Session Location Name &amp;elementID=6424", "Click here to submit comment")</f>
        <v>Click here to submit comment</v>
      </c>
    </row>
    <row r="1207" spans="1:16" ht="225">
      <c r="A1207" s="6" t="s">
        <v>6788</v>
      </c>
      <c r="B1207" s="6" t="s">
        <v>6821</v>
      </c>
      <c r="C1207" s="6" t="s">
        <v>6777</v>
      </c>
      <c r="D1207" s="6" t="s">
        <v>187</v>
      </c>
      <c r="E1207" s="6" t="s">
        <v>188</v>
      </c>
      <c r="F1207" s="6" t="s">
        <v>13</v>
      </c>
      <c r="G1207" s="6" t="s">
        <v>5973</v>
      </c>
      <c r="H1207" s="6" t="s">
        <v>3</v>
      </c>
      <c r="I1207" s="6" t="s">
        <v>149</v>
      </c>
      <c r="J1207" s="6"/>
      <c r="K1207" s="6"/>
      <c r="L1207" s="6" t="s">
        <v>189</v>
      </c>
      <c r="M1207" s="6"/>
      <c r="N1207" s="6" t="s">
        <v>190</v>
      </c>
      <c r="O1207" s="6" t="str">
        <f>HYPERLINK("https://ceds.ed.gov/cedselementdetails.aspx?termid=5269")</f>
        <v>https://ceds.ed.gov/cedselementdetails.aspx?termid=5269</v>
      </c>
      <c r="P1207" s="6" t="str">
        <f>HYPERLINK("https://ceds.ed.gov/elementComment.aspx?elementName=Address Street Number and Name &amp;elementID=5269", "Click here to submit comment")</f>
        <v>Click here to submit comment</v>
      </c>
    </row>
    <row r="1208" spans="1:16" ht="225">
      <c r="A1208" s="6" t="s">
        <v>6788</v>
      </c>
      <c r="B1208" s="6" t="s">
        <v>6821</v>
      </c>
      <c r="C1208" s="6" t="s">
        <v>6777</v>
      </c>
      <c r="D1208" s="6" t="s">
        <v>170</v>
      </c>
      <c r="E1208" s="6" t="s">
        <v>171</v>
      </c>
      <c r="F1208" s="6" t="s">
        <v>13</v>
      </c>
      <c r="G1208" s="6" t="s">
        <v>5973</v>
      </c>
      <c r="H1208" s="6" t="s">
        <v>3</v>
      </c>
      <c r="I1208" s="6" t="s">
        <v>100</v>
      </c>
      <c r="J1208" s="6"/>
      <c r="K1208" s="6"/>
      <c r="L1208" s="6" t="s">
        <v>172</v>
      </c>
      <c r="M1208" s="6"/>
      <c r="N1208" s="6" t="s">
        <v>173</v>
      </c>
      <c r="O1208" s="6" t="str">
        <f>HYPERLINK("https://ceds.ed.gov/cedselementdetails.aspx?termid=5019")</f>
        <v>https://ceds.ed.gov/cedselementdetails.aspx?termid=5019</v>
      </c>
      <c r="P1208" s="6" t="str">
        <f>HYPERLINK("https://ceds.ed.gov/elementComment.aspx?elementName=Address Apartment Room or Suite Number &amp;elementID=5019", "Click here to submit comment")</f>
        <v>Click here to submit comment</v>
      </c>
    </row>
    <row r="1209" spans="1:16" ht="225">
      <c r="A1209" s="6" t="s">
        <v>6788</v>
      </c>
      <c r="B1209" s="6" t="s">
        <v>6821</v>
      </c>
      <c r="C1209" s="6" t="s">
        <v>6777</v>
      </c>
      <c r="D1209" s="6" t="s">
        <v>174</v>
      </c>
      <c r="E1209" s="6" t="s">
        <v>175</v>
      </c>
      <c r="F1209" s="6" t="s">
        <v>13</v>
      </c>
      <c r="G1209" s="6" t="s">
        <v>5973</v>
      </c>
      <c r="H1209" s="6" t="s">
        <v>3</v>
      </c>
      <c r="I1209" s="6" t="s">
        <v>100</v>
      </c>
      <c r="J1209" s="6"/>
      <c r="K1209" s="6"/>
      <c r="L1209" s="6" t="s">
        <v>176</v>
      </c>
      <c r="M1209" s="6"/>
      <c r="N1209" s="6" t="s">
        <v>177</v>
      </c>
      <c r="O1209" s="6" t="str">
        <f>HYPERLINK("https://ceds.ed.gov/cedselementdetails.aspx?termid=5040")</f>
        <v>https://ceds.ed.gov/cedselementdetails.aspx?termid=5040</v>
      </c>
      <c r="P1209" s="6" t="str">
        <f>HYPERLINK("https://ceds.ed.gov/elementComment.aspx?elementName=Address City &amp;elementID=5040", "Click here to submit comment")</f>
        <v>Click here to submit comment</v>
      </c>
    </row>
    <row r="1210" spans="1:16" ht="409.5">
      <c r="A1210" s="6" t="s">
        <v>6788</v>
      </c>
      <c r="B1210" s="6" t="s">
        <v>6821</v>
      </c>
      <c r="C1210" s="6" t="s">
        <v>6777</v>
      </c>
      <c r="D1210" s="6" t="s">
        <v>5533</v>
      </c>
      <c r="E1210" s="6" t="s">
        <v>5534</v>
      </c>
      <c r="F1210" s="7" t="s">
        <v>6633</v>
      </c>
      <c r="G1210" s="6" t="s">
        <v>6324</v>
      </c>
      <c r="H1210" s="6" t="s">
        <v>3</v>
      </c>
      <c r="I1210" s="6"/>
      <c r="J1210" s="6"/>
      <c r="K1210" s="6"/>
      <c r="L1210" s="6" t="s">
        <v>5535</v>
      </c>
      <c r="M1210" s="6"/>
      <c r="N1210" s="6" t="s">
        <v>5536</v>
      </c>
      <c r="O1210" s="6" t="str">
        <f>HYPERLINK("https://ceds.ed.gov/cedselementdetails.aspx?termid=5267")</f>
        <v>https://ceds.ed.gov/cedselementdetails.aspx?termid=5267</v>
      </c>
      <c r="P1210" s="6" t="str">
        <f>HYPERLINK("https://ceds.ed.gov/elementComment.aspx?elementName=State Abbreviation &amp;elementID=5267", "Click here to submit comment")</f>
        <v>Click here to submit comment</v>
      </c>
    </row>
    <row r="1211" spans="1:16" ht="225">
      <c r="A1211" s="6" t="s">
        <v>6788</v>
      </c>
      <c r="B1211" s="6" t="s">
        <v>6821</v>
      </c>
      <c r="C1211" s="6" t="s">
        <v>6777</v>
      </c>
      <c r="D1211" s="6" t="s">
        <v>182</v>
      </c>
      <c r="E1211" s="6" t="s">
        <v>183</v>
      </c>
      <c r="F1211" s="6" t="s">
        <v>13</v>
      </c>
      <c r="G1211" s="6" t="s">
        <v>5973</v>
      </c>
      <c r="H1211" s="6" t="s">
        <v>3</v>
      </c>
      <c r="I1211" s="6" t="s">
        <v>184</v>
      </c>
      <c r="J1211" s="6"/>
      <c r="K1211" s="6"/>
      <c r="L1211" s="6" t="s">
        <v>185</v>
      </c>
      <c r="M1211" s="6"/>
      <c r="N1211" s="6" t="s">
        <v>186</v>
      </c>
      <c r="O1211" s="6" t="str">
        <f>HYPERLINK("https://ceds.ed.gov/cedselementdetails.aspx?termid=5214")</f>
        <v>https://ceds.ed.gov/cedselementdetails.aspx?termid=5214</v>
      </c>
      <c r="P1211" s="6" t="str">
        <f>HYPERLINK("https://ceds.ed.gov/elementComment.aspx?elementName=Address Postal Code &amp;elementID=5214", "Click here to submit comment")</f>
        <v>Click here to submit comment</v>
      </c>
    </row>
    <row r="1212" spans="1:16" ht="90">
      <c r="A1212" s="6" t="s">
        <v>6788</v>
      </c>
      <c r="B1212" s="6" t="s">
        <v>6821</v>
      </c>
      <c r="C1212" s="6" t="s">
        <v>6777</v>
      </c>
      <c r="D1212" s="6" t="s">
        <v>5727</v>
      </c>
      <c r="E1212" s="6" t="s">
        <v>5728</v>
      </c>
      <c r="F1212" s="6" t="s">
        <v>13</v>
      </c>
      <c r="G1212" s="6" t="s">
        <v>5968</v>
      </c>
      <c r="H1212" s="6" t="s">
        <v>3</v>
      </c>
      <c r="I1212" s="6" t="s">
        <v>5729</v>
      </c>
      <c r="J1212" s="6"/>
      <c r="K1212" s="6"/>
      <c r="L1212" s="6" t="s">
        <v>5730</v>
      </c>
      <c r="M1212" s="6"/>
      <c r="N1212" s="6" t="s">
        <v>5731</v>
      </c>
      <c r="O1212" s="6" t="str">
        <f>HYPERLINK("https://ceds.ed.gov/cedselementdetails.aspx?termid=5279")</f>
        <v>https://ceds.ed.gov/cedselementdetails.aspx?termid=5279</v>
      </c>
      <c r="P1212" s="6" t="str">
        <f>HYPERLINK("https://ceds.ed.gov/elementComment.aspx?elementName=Telephone Number &amp;elementID=5279", "Click here to submit comment")</f>
        <v>Click here to submit comment</v>
      </c>
    </row>
    <row r="1213" spans="1:16" ht="409.5">
      <c r="A1213" s="6" t="s">
        <v>6788</v>
      </c>
      <c r="B1213" s="6" t="s">
        <v>6821</v>
      </c>
      <c r="C1213" s="6" t="s">
        <v>6807</v>
      </c>
      <c r="D1213" s="6" t="s">
        <v>3958</v>
      </c>
      <c r="E1213" s="6" t="s">
        <v>3959</v>
      </c>
      <c r="F1213" s="7" t="s">
        <v>6571</v>
      </c>
      <c r="G1213" s="6"/>
      <c r="H1213" s="6" t="s">
        <v>66</v>
      </c>
      <c r="I1213" s="6"/>
      <c r="J1213" s="6" t="s">
        <v>2309</v>
      </c>
      <c r="K1213" s="6"/>
      <c r="L1213" s="6" t="s">
        <v>3961</v>
      </c>
      <c r="M1213" s="6"/>
      <c r="N1213" s="6" t="s">
        <v>3962</v>
      </c>
      <c r="O1213" s="6" t="str">
        <f>HYPERLINK("https://ceds.ed.gov/cedselementdetails.aspx?termid=5617")</f>
        <v>https://ceds.ed.gov/cedselementdetails.aspx?termid=5617</v>
      </c>
      <c r="P1213" s="6" t="str">
        <f>HYPERLINK("https://ceds.ed.gov/elementComment.aspx?elementName=Leave Event Type &amp;elementID=5617", "Click here to submit comment")</f>
        <v>Click here to submit comment</v>
      </c>
    </row>
    <row r="1214" spans="1:16" ht="135">
      <c r="A1214" s="6" t="s">
        <v>6788</v>
      </c>
      <c r="B1214" s="6" t="s">
        <v>6821</v>
      </c>
      <c r="C1214" s="6" t="s">
        <v>6807</v>
      </c>
      <c r="D1214" s="6" t="s">
        <v>1411</v>
      </c>
      <c r="E1214" s="6" t="s">
        <v>1412</v>
      </c>
      <c r="F1214" s="7" t="s">
        <v>6408</v>
      </c>
      <c r="G1214" s="6"/>
      <c r="H1214" s="6" t="s">
        <v>66</v>
      </c>
      <c r="I1214" s="6"/>
      <c r="J1214" s="6" t="s">
        <v>1413</v>
      </c>
      <c r="K1214" s="6"/>
      <c r="L1214" s="6" t="s">
        <v>1414</v>
      </c>
      <c r="M1214" s="6"/>
      <c r="N1214" s="6" t="s">
        <v>1415</v>
      </c>
      <c r="O1214" s="6" t="str">
        <f>HYPERLINK("https://ceds.ed.gov/cedselementdetails.aspx?termid=5076")</f>
        <v>https://ceds.ed.gov/cedselementdetails.aspx?termid=5076</v>
      </c>
      <c r="P1214" s="6" t="str">
        <f>HYPERLINK("https://ceds.ed.gov/elementComment.aspx?elementName=Attendance Status &amp;elementID=5076", "Click here to submit comment")</f>
        <v>Click here to submit comment</v>
      </c>
    </row>
    <row r="1215" spans="1:16" ht="60">
      <c r="A1215" s="6" t="s">
        <v>6788</v>
      </c>
      <c r="B1215" s="6" t="s">
        <v>6821</v>
      </c>
      <c r="C1215" s="6" t="s">
        <v>6795</v>
      </c>
      <c r="D1215" s="6" t="s">
        <v>5707</v>
      </c>
      <c r="E1215" s="6" t="s">
        <v>5708</v>
      </c>
      <c r="F1215" s="6" t="s">
        <v>5963</v>
      </c>
      <c r="G1215" s="6"/>
      <c r="H1215" s="6" t="s">
        <v>54</v>
      </c>
      <c r="I1215" s="6"/>
      <c r="J1215" s="6"/>
      <c r="K1215" s="6"/>
      <c r="L1215" s="6" t="s">
        <v>5709</v>
      </c>
      <c r="M1215" s="6"/>
      <c r="N1215" s="6" t="s">
        <v>5710</v>
      </c>
      <c r="O1215" s="6" t="str">
        <f>HYPERLINK("https://ceds.ed.gov/cedselementdetails.aspx?termid=6465")</f>
        <v>https://ceds.ed.gov/cedselementdetails.aspx?termid=6465</v>
      </c>
      <c r="P1215" s="6" t="str">
        <f>HYPERLINK("https://ceds.ed.gov/elementComment.aspx?elementName=Technical Assistance Approved Indicator &amp;elementID=6465", "Click here to submit comment")</f>
        <v>Click here to submit comment</v>
      </c>
    </row>
    <row r="1216" spans="1:16" ht="90">
      <c r="A1216" s="6" t="s">
        <v>6788</v>
      </c>
      <c r="B1216" s="6" t="s">
        <v>6821</v>
      </c>
      <c r="C1216" s="6" t="s">
        <v>6795</v>
      </c>
      <c r="D1216" s="6" t="s">
        <v>5711</v>
      </c>
      <c r="E1216" s="6" t="s">
        <v>5712</v>
      </c>
      <c r="F1216" s="7" t="s">
        <v>6616</v>
      </c>
      <c r="G1216" s="6"/>
      <c r="H1216" s="6" t="s">
        <v>54</v>
      </c>
      <c r="I1216" s="6"/>
      <c r="J1216" s="6"/>
      <c r="K1216" s="6"/>
      <c r="L1216" s="6" t="s">
        <v>5713</v>
      </c>
      <c r="M1216" s="6"/>
      <c r="N1216" s="6" t="s">
        <v>5714</v>
      </c>
      <c r="O1216" s="6" t="str">
        <f>HYPERLINK("https://ceds.ed.gov/cedselementdetails.aspx?termid=6466")</f>
        <v>https://ceds.ed.gov/cedselementdetails.aspx?termid=6466</v>
      </c>
      <c r="P1216" s="6" t="str">
        <f>HYPERLINK("https://ceds.ed.gov/elementComment.aspx?elementName=Technical Assistance Delivery Type &amp;elementID=6466", "Click here to submit comment")</f>
        <v>Click here to submit comment</v>
      </c>
    </row>
    <row r="1217" spans="1:16" ht="409.5">
      <c r="A1217" s="6" t="s">
        <v>6788</v>
      </c>
      <c r="B1217" s="6" t="s">
        <v>6821</v>
      </c>
      <c r="C1217" s="6" t="s">
        <v>6795</v>
      </c>
      <c r="D1217" s="6" t="s">
        <v>5715</v>
      </c>
      <c r="E1217" s="6" t="s">
        <v>5716</v>
      </c>
      <c r="F1217" s="7" t="s">
        <v>6673</v>
      </c>
      <c r="G1217" s="6"/>
      <c r="H1217" s="6" t="s">
        <v>54</v>
      </c>
      <c r="I1217" s="6"/>
      <c r="J1217" s="6"/>
      <c r="K1217" s="6"/>
      <c r="L1217" s="6" t="s">
        <v>5717</v>
      </c>
      <c r="M1217" s="6"/>
      <c r="N1217" s="6" t="s">
        <v>5718</v>
      </c>
      <c r="O1217" s="6" t="str">
        <f>HYPERLINK("https://ceds.ed.gov/cedselementdetails.aspx?termid=6467")</f>
        <v>https://ceds.ed.gov/cedselementdetails.aspx?termid=6467</v>
      </c>
      <c r="P1217" s="6" t="str">
        <f>HYPERLINK("https://ceds.ed.gov/elementComment.aspx?elementName=Technical Assistance Type &amp;elementID=6467", "Click here to submit comment")</f>
        <v>Click here to submit comment</v>
      </c>
    </row>
    <row r="1218" spans="1:16" ht="225">
      <c r="A1218" s="6" t="s">
        <v>6788</v>
      </c>
      <c r="B1218" s="6" t="s">
        <v>6823</v>
      </c>
      <c r="C1218" s="6"/>
      <c r="D1218" s="6" t="s">
        <v>2034</v>
      </c>
      <c r="E1218" s="6" t="s">
        <v>2035</v>
      </c>
      <c r="F1218" s="6" t="s">
        <v>13</v>
      </c>
      <c r="G1218" s="6" t="s">
        <v>6078</v>
      </c>
      <c r="H1218" s="6"/>
      <c r="I1218" s="6" t="s">
        <v>106</v>
      </c>
      <c r="J1218" s="6"/>
      <c r="K1218" s="6"/>
      <c r="L1218" s="6" t="s">
        <v>2036</v>
      </c>
      <c r="M1218" s="6"/>
      <c r="N1218" s="6" t="s">
        <v>2037</v>
      </c>
      <c r="O1218" s="6" t="str">
        <f>HYPERLINK("https://ceds.ed.gov/cedselementdetails.aspx?termid=5067")</f>
        <v>https://ceds.ed.gov/cedselementdetails.aspx?termid=5067</v>
      </c>
      <c r="P1218" s="6" t="str">
        <f>HYPERLINK("https://ceds.ed.gov/elementComment.aspx?elementName=Course Title &amp;elementID=5067", "Click here to submit comment")</f>
        <v>Click here to submit comment</v>
      </c>
    </row>
    <row r="1219" spans="1:16" ht="135">
      <c r="A1219" s="6" t="s">
        <v>6788</v>
      </c>
      <c r="B1219" s="6" t="s">
        <v>6823</v>
      </c>
      <c r="C1219" s="6"/>
      <c r="D1219" s="6" t="s">
        <v>1915</v>
      </c>
      <c r="E1219" s="6" t="s">
        <v>1916</v>
      </c>
      <c r="F1219" s="6" t="s">
        <v>13</v>
      </c>
      <c r="G1219" s="6" t="s">
        <v>6116</v>
      </c>
      <c r="H1219" s="6" t="s">
        <v>66</v>
      </c>
      <c r="I1219" s="6" t="s">
        <v>1917</v>
      </c>
      <c r="J1219" s="6" t="s">
        <v>1918</v>
      </c>
      <c r="K1219" s="6"/>
      <c r="L1219" s="6" t="s">
        <v>1919</v>
      </c>
      <c r="M1219" s="6"/>
      <c r="N1219" s="6" t="s">
        <v>1920</v>
      </c>
      <c r="O1219" s="6" t="str">
        <f>HYPERLINK("https://ceds.ed.gov/cedselementdetails.aspx?termid=5055")</f>
        <v>https://ceds.ed.gov/cedselementdetails.aspx?termid=5055</v>
      </c>
      <c r="P1219" s="6" t="str">
        <f>HYPERLINK("https://ceds.ed.gov/elementComment.aspx?elementName=Course Identifier &amp;elementID=5055", "Click here to submit comment")</f>
        <v>Click here to submit comment</v>
      </c>
    </row>
    <row r="1220" spans="1:16" ht="285">
      <c r="A1220" s="6" t="s">
        <v>6788</v>
      </c>
      <c r="B1220" s="6" t="s">
        <v>6823</v>
      </c>
      <c r="C1220" s="6"/>
      <c r="D1220" s="6" t="s">
        <v>1868</v>
      </c>
      <c r="E1220" s="6" t="s">
        <v>1869</v>
      </c>
      <c r="F1220" s="7" t="s">
        <v>6435</v>
      </c>
      <c r="G1220" s="6" t="s">
        <v>6078</v>
      </c>
      <c r="H1220" s="6"/>
      <c r="I1220" s="6"/>
      <c r="J1220" s="6"/>
      <c r="K1220" s="6"/>
      <c r="L1220" s="6" t="s">
        <v>1870</v>
      </c>
      <c r="M1220" s="6"/>
      <c r="N1220" s="6" t="s">
        <v>1871</v>
      </c>
      <c r="O1220" s="6" t="str">
        <f>HYPERLINK("https://ceds.ed.gov/cedselementdetails.aspx?termid=5056")</f>
        <v>https://ceds.ed.gov/cedselementdetails.aspx?termid=5056</v>
      </c>
      <c r="P1220" s="6" t="str">
        <f>HYPERLINK("https://ceds.ed.gov/elementComment.aspx?elementName=Course Code System &amp;elementID=5056", "Click here to submit comment")</f>
        <v>Click here to submit comment</v>
      </c>
    </row>
    <row r="1221" spans="1:16" ht="45">
      <c r="A1221" s="6" t="s">
        <v>6788</v>
      </c>
      <c r="B1221" s="6" t="s">
        <v>6823</v>
      </c>
      <c r="C1221" s="6"/>
      <c r="D1221" s="6" t="s">
        <v>1889</v>
      </c>
      <c r="E1221" s="6" t="s">
        <v>1890</v>
      </c>
      <c r="F1221" s="6" t="s">
        <v>13</v>
      </c>
      <c r="G1221" s="6"/>
      <c r="H1221" s="6" t="s">
        <v>66</v>
      </c>
      <c r="I1221" s="6" t="s">
        <v>106</v>
      </c>
      <c r="J1221" s="6" t="s">
        <v>1820</v>
      </c>
      <c r="K1221" s="6"/>
      <c r="L1221" s="6" t="s">
        <v>1891</v>
      </c>
      <c r="M1221" s="6"/>
      <c r="N1221" s="6" t="s">
        <v>1892</v>
      </c>
      <c r="O1221" s="6" t="str">
        <f>HYPERLINK("https://ceds.ed.gov/cedselementdetails.aspx?termid=5508")</f>
        <v>https://ceds.ed.gov/cedselementdetails.aspx?termid=5508</v>
      </c>
      <c r="P1221" s="6" t="str">
        <f>HYPERLINK("https://ceds.ed.gov/elementComment.aspx?elementName=Course Description &amp;elementID=5508", "Click here to submit comment")</f>
        <v>Click here to submit comment</v>
      </c>
    </row>
    <row r="1222" spans="1:16" ht="120">
      <c r="A1222" s="6" t="s">
        <v>6788</v>
      </c>
      <c r="B1222" s="6" t="s">
        <v>6823</v>
      </c>
      <c r="C1222" s="6"/>
      <c r="D1222" s="6" t="s">
        <v>5214</v>
      </c>
      <c r="E1222" s="6" t="s">
        <v>5215</v>
      </c>
      <c r="F1222" s="6" t="s">
        <v>13</v>
      </c>
      <c r="G1222" s="6" t="s">
        <v>6078</v>
      </c>
      <c r="H1222" s="6" t="s">
        <v>66</v>
      </c>
      <c r="I1222" s="6" t="s">
        <v>2031</v>
      </c>
      <c r="J1222" s="6" t="s">
        <v>5216</v>
      </c>
      <c r="K1222" s="6" t="s">
        <v>5217</v>
      </c>
      <c r="L1222" s="6" t="s">
        <v>5218</v>
      </c>
      <c r="M1222" s="6" t="s">
        <v>5219</v>
      </c>
      <c r="N1222" s="6" t="s">
        <v>5220</v>
      </c>
      <c r="O1222" s="6" t="str">
        <f>HYPERLINK("https://ceds.ed.gov/cedselementdetails.aspx?termid=5250")</f>
        <v>https://ceds.ed.gov/cedselementdetails.aspx?termid=5250</v>
      </c>
      <c r="P1222" s="6" t="str">
        <f>HYPERLINK("https://ceds.ed.gov/elementComment.aspx?elementName=School Codes for the Exchange of Data Sequence of Course &amp;elementID=5250", "Click here to submit comment")</f>
        <v>Click here to submit comment</v>
      </c>
    </row>
    <row r="1223" spans="1:16" ht="195">
      <c r="A1223" s="6" t="s">
        <v>6788</v>
      </c>
      <c r="B1223" s="6" t="s">
        <v>6823</v>
      </c>
      <c r="C1223" s="6"/>
      <c r="D1223" s="6" t="s">
        <v>1880</v>
      </c>
      <c r="E1223" s="6" t="s">
        <v>1881</v>
      </c>
      <c r="F1223" s="7" t="s">
        <v>6438</v>
      </c>
      <c r="G1223" s="6" t="s">
        <v>24</v>
      </c>
      <c r="H1223" s="6"/>
      <c r="I1223" s="6"/>
      <c r="J1223" s="6"/>
      <c r="K1223" s="6"/>
      <c r="L1223" s="6" t="s">
        <v>1882</v>
      </c>
      <c r="M1223" s="6"/>
      <c r="N1223" s="6" t="s">
        <v>1883</v>
      </c>
      <c r="O1223" s="6" t="str">
        <f>HYPERLINK("https://ceds.ed.gov/cedselementdetails.aspx?termid=5057")</f>
        <v>https://ceds.ed.gov/cedselementdetails.aspx?termid=5057</v>
      </c>
      <c r="P1223" s="6" t="str">
        <f>HYPERLINK("https://ceds.ed.gov/elementComment.aspx?elementName=Course Credit Units &amp;elementID=5057", "Click here to submit comment")</f>
        <v>Click here to submit comment</v>
      </c>
    </row>
    <row r="1224" spans="1:16" ht="105">
      <c r="A1224" s="6" t="s">
        <v>6788</v>
      </c>
      <c r="B1224" s="6" t="s">
        <v>6823</v>
      </c>
      <c r="C1224" s="6"/>
      <c r="D1224" s="6" t="s">
        <v>1884</v>
      </c>
      <c r="E1224" s="6" t="s">
        <v>1885</v>
      </c>
      <c r="F1224" s="6" t="s">
        <v>13</v>
      </c>
      <c r="G1224" s="6" t="s">
        <v>24</v>
      </c>
      <c r="H1224" s="6"/>
      <c r="I1224" s="6" t="s">
        <v>1461</v>
      </c>
      <c r="J1224" s="6"/>
      <c r="K1224" s="6" t="s">
        <v>1886</v>
      </c>
      <c r="L1224" s="6" t="s">
        <v>1887</v>
      </c>
      <c r="M1224" s="6"/>
      <c r="N1224" s="6" t="s">
        <v>1888</v>
      </c>
      <c r="O1224" s="6" t="str">
        <f>HYPERLINK("https://ceds.ed.gov/cedselementdetails.aspx?termid=5058")</f>
        <v>https://ceds.ed.gov/cedselementdetails.aspx?termid=5058</v>
      </c>
      <c r="P1224" s="6" t="str">
        <f>HYPERLINK("https://ceds.ed.gov/elementComment.aspx?elementName=Course Credit Value &amp;elementID=5058", "Click here to submit comment")</f>
        <v>Click here to submit comment</v>
      </c>
    </row>
    <row r="1225" spans="1:16" ht="330">
      <c r="A1225" s="6" t="s">
        <v>6788</v>
      </c>
      <c r="B1225" s="6" t="s">
        <v>6823</v>
      </c>
      <c r="C1225" s="6"/>
      <c r="D1225" s="6" t="s">
        <v>165</v>
      </c>
      <c r="E1225" s="6" t="s">
        <v>166</v>
      </c>
      <c r="F1225" s="7" t="s">
        <v>6352</v>
      </c>
      <c r="G1225" s="6"/>
      <c r="H1225" s="6" t="s">
        <v>66</v>
      </c>
      <c r="I1225" s="6"/>
      <c r="J1225" s="6" t="s">
        <v>167</v>
      </c>
      <c r="K1225" s="6"/>
      <c r="L1225" s="6" t="s">
        <v>168</v>
      </c>
      <c r="M1225" s="6"/>
      <c r="N1225" s="6" t="s">
        <v>169</v>
      </c>
      <c r="O1225" s="6" t="str">
        <f>HYPERLINK("https://ceds.ed.gov/cedselementdetails.aspx?termid=5589")</f>
        <v>https://ceds.ed.gov/cedselementdetails.aspx?termid=5589</v>
      </c>
      <c r="P1225" s="6" t="str">
        <f>HYPERLINK("https://ceds.ed.gov/elementComment.aspx?elementName=Additional Credit Type &amp;elementID=5589", "Click here to submit comment")</f>
        <v>Click here to submit comment</v>
      </c>
    </row>
    <row r="1226" spans="1:16" ht="150">
      <c r="A1226" s="6" t="s">
        <v>6788</v>
      </c>
      <c r="B1226" s="6" t="s">
        <v>6823</v>
      </c>
      <c r="C1226" s="6"/>
      <c r="D1226" s="6" t="s">
        <v>1459</v>
      </c>
      <c r="E1226" s="6" t="s">
        <v>1460</v>
      </c>
      <c r="F1226" s="6" t="s">
        <v>13</v>
      </c>
      <c r="G1226" s="6" t="s">
        <v>6078</v>
      </c>
      <c r="H1226" s="6"/>
      <c r="I1226" s="6" t="s">
        <v>1461</v>
      </c>
      <c r="J1226" s="6"/>
      <c r="K1226" s="6"/>
      <c r="L1226" s="6" t="s">
        <v>1462</v>
      </c>
      <c r="M1226" s="6"/>
      <c r="N1226" s="6" t="s">
        <v>1463</v>
      </c>
      <c r="O1226" s="6" t="str">
        <f>HYPERLINK("https://ceds.ed.gov/cedselementdetails.aspx?termid=5030")</f>
        <v>https://ceds.ed.gov/cedselementdetails.aspx?termid=5030</v>
      </c>
      <c r="P1226" s="6" t="str">
        <f>HYPERLINK("https://ceds.ed.gov/elementComment.aspx?elementName=Available Carnegie Unit Credit &amp;elementID=5030", "Click here to submit comment")</f>
        <v>Click here to submit comment</v>
      </c>
    </row>
    <row r="1227" spans="1:16" ht="120">
      <c r="A1227" s="6" t="s">
        <v>6788</v>
      </c>
      <c r="B1227" s="6" t="s">
        <v>6823</v>
      </c>
      <c r="C1227" s="6"/>
      <c r="D1227" s="6" t="s">
        <v>1906</v>
      </c>
      <c r="E1227" s="6" t="s">
        <v>1907</v>
      </c>
      <c r="F1227" s="7" t="s">
        <v>6439</v>
      </c>
      <c r="G1227" s="6" t="s">
        <v>6078</v>
      </c>
      <c r="H1227" s="6" t="s">
        <v>66</v>
      </c>
      <c r="I1227" s="6"/>
      <c r="J1227" s="6" t="s">
        <v>1820</v>
      </c>
      <c r="K1227" s="6"/>
      <c r="L1227" s="6" t="s">
        <v>1908</v>
      </c>
      <c r="M1227" s="6" t="s">
        <v>1909</v>
      </c>
      <c r="N1227" s="6" t="s">
        <v>1910</v>
      </c>
      <c r="O1227" s="6" t="str">
        <f>HYPERLINK("https://ceds.ed.gov/cedselementdetails.aspx?termid=5060")</f>
        <v>https://ceds.ed.gov/cedselementdetails.aspx?termid=5060</v>
      </c>
      <c r="P1227" s="6" t="str">
        <f>HYPERLINK("https://ceds.ed.gov/elementComment.aspx?elementName=Course Grade Point Average Applicability &amp;elementID=5060", "Click here to submit comment")</f>
        <v>Click here to submit comment</v>
      </c>
    </row>
    <row r="1228" spans="1:16" ht="409.5">
      <c r="A1228" s="6" t="s">
        <v>6788</v>
      </c>
      <c r="B1228" s="6" t="s">
        <v>6823</v>
      </c>
      <c r="C1228" s="6"/>
      <c r="D1228" s="6" t="s">
        <v>1938</v>
      </c>
      <c r="E1228" s="6" t="s">
        <v>1939</v>
      </c>
      <c r="F1228" s="7" t="s">
        <v>6443</v>
      </c>
      <c r="G1228" s="6" t="s">
        <v>6116</v>
      </c>
      <c r="H1228" s="6"/>
      <c r="I1228" s="6"/>
      <c r="J1228" s="6"/>
      <c r="K1228" s="6"/>
      <c r="L1228" s="6" t="s">
        <v>1940</v>
      </c>
      <c r="M1228" s="6"/>
      <c r="N1228" s="6" t="s">
        <v>1941</v>
      </c>
      <c r="O1228" s="6" t="str">
        <f>HYPERLINK("https://ceds.ed.gov/cedselementdetails.aspx?termid=5061")</f>
        <v>https://ceds.ed.gov/cedselementdetails.aspx?termid=5061</v>
      </c>
      <c r="P1228" s="6" t="str">
        <f>HYPERLINK("https://ceds.ed.gov/elementComment.aspx?elementName=Course Level Characteristic &amp;elementID=5061", "Click here to submit comment")</f>
        <v>Click here to submit comment</v>
      </c>
    </row>
    <row r="1229" spans="1:16" ht="120">
      <c r="A1229" s="6" t="s">
        <v>6788</v>
      </c>
      <c r="B1229" s="6" t="s">
        <v>6823</v>
      </c>
      <c r="C1229" s="6"/>
      <c r="D1229" s="6" t="s">
        <v>2941</v>
      </c>
      <c r="E1229" s="6" t="s">
        <v>2942</v>
      </c>
      <c r="F1229" s="6" t="s">
        <v>5963</v>
      </c>
      <c r="G1229" s="6" t="s">
        <v>6078</v>
      </c>
      <c r="H1229" s="6"/>
      <c r="I1229" s="6"/>
      <c r="J1229" s="6"/>
      <c r="K1229" s="6"/>
      <c r="L1229" s="6" t="s">
        <v>2943</v>
      </c>
      <c r="M1229" s="6"/>
      <c r="N1229" s="6" t="s">
        <v>2944</v>
      </c>
      <c r="O1229" s="6" t="str">
        <f>HYPERLINK("https://ceds.ed.gov/cedselementdetails.aspx?termid=5137")</f>
        <v>https://ceds.ed.gov/cedselementdetails.aspx?termid=5137</v>
      </c>
      <c r="P1229" s="6" t="str">
        <f>HYPERLINK("https://ceds.ed.gov/elementComment.aspx?elementName=High School Course Requirement &amp;elementID=5137", "Click here to submit comment")</f>
        <v>Click here to submit comment</v>
      </c>
    </row>
    <row r="1230" spans="1:16" ht="45">
      <c r="A1230" s="6" t="s">
        <v>6788</v>
      </c>
      <c r="B1230" s="6" t="s">
        <v>6823</v>
      </c>
      <c r="C1230" s="6"/>
      <c r="D1230" s="6" t="s">
        <v>3302</v>
      </c>
      <c r="E1230" s="6" t="s">
        <v>3303</v>
      </c>
      <c r="F1230" s="5" t="s">
        <v>939</v>
      </c>
      <c r="G1230" s="6" t="s">
        <v>207</v>
      </c>
      <c r="H1230" s="6"/>
      <c r="I1230" s="6"/>
      <c r="J1230" s="6"/>
      <c r="K1230" s="6"/>
      <c r="L1230" s="6" t="s">
        <v>3304</v>
      </c>
      <c r="M1230" s="6"/>
      <c r="N1230" s="6" t="s">
        <v>3305</v>
      </c>
      <c r="O1230" s="6" t="str">
        <f>HYPERLINK("https://ceds.ed.gov/cedselementdetails.aspx?termid=5438")</f>
        <v>https://ceds.ed.gov/cedselementdetails.aspx?termid=5438</v>
      </c>
      <c r="P1230" s="6" t="str">
        <f>HYPERLINK("https://ceds.ed.gov/elementComment.aspx?elementName=Instruction Language &amp;elementID=5438", "Click here to submit comment")</f>
        <v>Click here to submit comment</v>
      </c>
    </row>
    <row r="1231" spans="1:16" ht="45">
      <c r="A1231" s="6" t="s">
        <v>6788</v>
      </c>
      <c r="B1231" s="6" t="s">
        <v>6823</v>
      </c>
      <c r="C1231" s="6"/>
      <c r="D1231" s="6" t="s">
        <v>1792</v>
      </c>
      <c r="E1231" s="6" t="s">
        <v>1793</v>
      </c>
      <c r="F1231" s="6" t="s">
        <v>5963</v>
      </c>
      <c r="G1231" s="6"/>
      <c r="H1231" s="6"/>
      <c r="I1231" s="6"/>
      <c r="J1231" s="6"/>
      <c r="K1231" s="6"/>
      <c r="L1231" s="6" t="s">
        <v>1794</v>
      </c>
      <c r="M1231" s="6"/>
      <c r="N1231" s="6" t="s">
        <v>1795</v>
      </c>
      <c r="O1231" s="6" t="str">
        <f>HYPERLINK("https://ceds.ed.gov/cedselementdetails.aspx?termid=5509")</f>
        <v>https://ceds.ed.gov/cedselementdetails.aspx?termid=5509</v>
      </c>
      <c r="P1231" s="6" t="str">
        <f>HYPERLINK("https://ceds.ed.gov/elementComment.aspx?elementName=Core Academic Course &amp;elementID=5509", "Click here to submit comment")</f>
        <v>Click here to submit comment</v>
      </c>
    </row>
    <row r="1232" spans="1:16" ht="225">
      <c r="A1232" s="6" t="s">
        <v>6788</v>
      </c>
      <c r="B1232" s="6" t="s">
        <v>6823</v>
      </c>
      <c r="C1232" s="6"/>
      <c r="D1232" s="6" t="s">
        <v>2092</v>
      </c>
      <c r="E1232" s="6" t="s">
        <v>2093</v>
      </c>
      <c r="F1232" s="7" t="s">
        <v>6452</v>
      </c>
      <c r="G1232" s="6"/>
      <c r="H1232" s="6"/>
      <c r="I1232" s="6"/>
      <c r="J1232" s="6"/>
      <c r="K1232" s="6"/>
      <c r="L1232" s="6" t="s">
        <v>2094</v>
      </c>
      <c r="M1232" s="6"/>
      <c r="N1232" s="6" t="s">
        <v>2095</v>
      </c>
      <c r="O1232" s="6" t="str">
        <f>HYPERLINK("https://ceds.ed.gov/cedselementdetails.aspx?termid=5688")</f>
        <v>https://ceds.ed.gov/cedselementdetails.aspx?termid=5688</v>
      </c>
      <c r="P1232" s="6" t="str">
        <f>HYPERLINK("https://ceds.ed.gov/elementComment.aspx?elementName=Curriculum Framework Type &amp;elementID=5688", "Click here to submit comment")</f>
        <v>Click here to submit comment</v>
      </c>
    </row>
    <row r="1233" spans="1:16" ht="45">
      <c r="A1233" s="6" t="s">
        <v>6788</v>
      </c>
      <c r="B1233" s="6" t="s">
        <v>6823</v>
      </c>
      <c r="C1233" s="6"/>
      <c r="D1233" s="6" t="s">
        <v>1845</v>
      </c>
      <c r="E1233" s="6" t="s">
        <v>1846</v>
      </c>
      <c r="F1233" s="6" t="s">
        <v>5963</v>
      </c>
      <c r="G1233" s="6"/>
      <c r="H1233" s="6" t="s">
        <v>66</v>
      </c>
      <c r="I1233" s="6"/>
      <c r="J1233" s="6" t="s">
        <v>1847</v>
      </c>
      <c r="K1233" s="6"/>
      <c r="L1233" s="6" t="s">
        <v>1848</v>
      </c>
      <c r="M1233" s="6"/>
      <c r="N1233" s="6" t="s">
        <v>1849</v>
      </c>
      <c r="O1233" s="6" t="str">
        <f>HYPERLINK("https://ceds.ed.gov/cedselementdetails.aspx?termid=5013")</f>
        <v>https://ceds.ed.gov/cedselementdetails.aspx?termid=5013</v>
      </c>
      <c r="P1233" s="6" t="str">
        <f>HYPERLINK("https://ceds.ed.gov/elementComment.aspx?elementName=Course Aligned with Standards &amp;elementID=5013", "Click here to submit comment")</f>
        <v>Click here to submit comment</v>
      </c>
    </row>
    <row r="1234" spans="1:16" ht="75">
      <c r="A1234" s="6" t="s">
        <v>6788</v>
      </c>
      <c r="B1234" s="6" t="s">
        <v>6823</v>
      </c>
      <c r="C1234" s="6"/>
      <c r="D1234" s="6" t="s">
        <v>0</v>
      </c>
      <c r="E1234" s="6" t="s">
        <v>1</v>
      </c>
      <c r="F1234" s="6" t="s">
        <v>5963</v>
      </c>
      <c r="G1234" s="6" t="s">
        <v>2</v>
      </c>
      <c r="H1234" s="6" t="s">
        <v>3</v>
      </c>
      <c r="I1234" s="6"/>
      <c r="J1234" s="6"/>
      <c r="K1234" s="6"/>
      <c r="L1234" s="6" t="s">
        <v>4</v>
      </c>
      <c r="M1234" s="6"/>
      <c r="N1234" s="6" t="s">
        <v>5</v>
      </c>
      <c r="O1234" s="6" t="str">
        <f>HYPERLINK("https://ceds.ed.gov/cedselementdetails.aspx?termid=5000")</f>
        <v>https://ceds.ed.gov/cedselementdetails.aspx?termid=5000</v>
      </c>
      <c r="P1234" s="6" t="str">
        <f>HYPERLINK("https://ceds.ed.gov/elementComment.aspx?elementName=Ability Grouping Status &amp;elementID=5000", "Click here to submit comment")</f>
        <v>Click here to submit comment</v>
      </c>
    </row>
    <row r="1235" spans="1:16" ht="409.5">
      <c r="A1235" s="6" t="s">
        <v>6788</v>
      </c>
      <c r="B1235" s="6" t="s">
        <v>6823</v>
      </c>
      <c r="C1235" s="6"/>
      <c r="D1235" s="6" t="s">
        <v>296</v>
      </c>
      <c r="E1235" s="6" t="s">
        <v>297</v>
      </c>
      <c r="F1235" s="7" t="s">
        <v>6369</v>
      </c>
      <c r="G1235" s="6"/>
      <c r="H1235" s="6" t="s">
        <v>54</v>
      </c>
      <c r="I1235" s="6" t="s">
        <v>106</v>
      </c>
      <c r="J1235" s="6"/>
      <c r="K1235" s="6"/>
      <c r="L1235" s="6" t="s">
        <v>298</v>
      </c>
      <c r="M1235" s="6" t="s">
        <v>299</v>
      </c>
      <c r="N1235" s="6" t="s">
        <v>300</v>
      </c>
      <c r="O1235" s="6" t="str">
        <f>HYPERLINK("https://ceds.ed.gov/cedselementdetails.aspx?termid=6244")</f>
        <v>https://ceds.ed.gov/cedselementdetails.aspx?termid=6244</v>
      </c>
      <c r="P1235" s="6" t="str">
        <f>HYPERLINK("https://ceds.ed.gov/elementComment.aspx?elementName=Advanced Placement Course Code &amp;elementID=6244", "Click here to submit comment")</f>
        <v>Click here to submit comment</v>
      </c>
    </row>
    <row r="1236" spans="1:16" ht="165">
      <c r="A1236" s="6" t="s">
        <v>6788</v>
      </c>
      <c r="B1236" s="6" t="s">
        <v>6823</v>
      </c>
      <c r="C1236" s="6"/>
      <c r="D1236" s="6" t="s">
        <v>1487</v>
      </c>
      <c r="E1236" s="6" t="s">
        <v>1488</v>
      </c>
      <c r="F1236" s="7" t="s">
        <v>6410</v>
      </c>
      <c r="G1236" s="6"/>
      <c r="H1236" s="6" t="s">
        <v>54</v>
      </c>
      <c r="I1236" s="6"/>
      <c r="J1236" s="6"/>
      <c r="K1236" s="6" t="s">
        <v>1489</v>
      </c>
      <c r="L1236" s="6" t="s">
        <v>1490</v>
      </c>
      <c r="M1236" s="6"/>
      <c r="N1236" s="6" t="s">
        <v>1491</v>
      </c>
      <c r="O1236" s="6" t="str">
        <f>HYPERLINK("https://ceds.ed.gov/cedselementdetails.aspx?termid=6253")</f>
        <v>https://ceds.ed.gov/cedselementdetails.aspx?termid=6253</v>
      </c>
      <c r="P1236" s="6" t="str">
        <f>HYPERLINK("https://ceds.ed.gov/elementComment.aspx?elementName=Blended Learning Model Type &amp;elementID=6253", "Click here to submit comment")</f>
        <v>Click here to submit comment</v>
      </c>
    </row>
    <row r="1237" spans="1:16" ht="409.5">
      <c r="A1237" s="6" t="s">
        <v>6788</v>
      </c>
      <c r="B1237" s="6" t="s">
        <v>6823</v>
      </c>
      <c r="C1237" s="6"/>
      <c r="D1237" s="6" t="s">
        <v>1577</v>
      </c>
      <c r="E1237" s="6" t="s">
        <v>1578</v>
      </c>
      <c r="F1237" s="7" t="s">
        <v>6415</v>
      </c>
      <c r="G1237" s="6"/>
      <c r="H1237" s="6" t="s">
        <v>54</v>
      </c>
      <c r="I1237" s="6"/>
      <c r="J1237" s="6"/>
      <c r="K1237" s="6" t="s">
        <v>1579</v>
      </c>
      <c r="L1237" s="6" t="s">
        <v>1580</v>
      </c>
      <c r="M1237" s="6"/>
      <c r="N1237" s="6" t="s">
        <v>1581</v>
      </c>
      <c r="O1237" s="6" t="str">
        <f>HYPERLINK("https://ceds.ed.gov/cedselementdetails.aspx?termid=6254")</f>
        <v>https://ceds.ed.gov/cedselementdetails.aspx?termid=6254</v>
      </c>
      <c r="P1237" s="6" t="str">
        <f>HYPERLINK("https://ceds.ed.gov/elementComment.aspx?elementName=Career Cluster &amp;elementID=6254", "Click here to submit comment")</f>
        <v>Click here to submit comment</v>
      </c>
    </row>
    <row r="1238" spans="1:16" ht="409.5">
      <c r="A1238" s="6" t="s">
        <v>6788</v>
      </c>
      <c r="B1238" s="6" t="s">
        <v>6823</v>
      </c>
      <c r="C1238" s="6"/>
      <c r="D1238" s="6" t="s">
        <v>1850</v>
      </c>
      <c r="E1238" s="6" t="s">
        <v>1851</v>
      </c>
      <c r="F1238" s="15" t="s">
        <v>10060</v>
      </c>
      <c r="G1238" s="6"/>
      <c r="H1238" s="6" t="s">
        <v>54</v>
      </c>
      <c r="I1238" s="6"/>
      <c r="J1238" s="6"/>
      <c r="K1238" s="6" t="s">
        <v>1852</v>
      </c>
      <c r="L1238" s="6" t="s">
        <v>1853</v>
      </c>
      <c r="M1238" s="6"/>
      <c r="N1238" s="6" t="s">
        <v>1854</v>
      </c>
      <c r="O1238" s="6" t="str">
        <f>HYPERLINK("https://ceds.ed.gov/cedselementdetails.aspx?termid=6267")</f>
        <v>https://ceds.ed.gov/cedselementdetails.aspx?termid=6267</v>
      </c>
      <c r="P1238" s="6" t="str">
        <f>HYPERLINK("https://ceds.ed.gov/elementComment.aspx?elementName=Course Applicable Education Level &amp;elementID=6267", "Click here to submit comment")</f>
        <v>Click here to submit comment</v>
      </c>
    </row>
    <row r="1239" spans="1:16" ht="45">
      <c r="A1239" s="6" t="s">
        <v>6788</v>
      </c>
      <c r="B1239" s="6" t="s">
        <v>6823</v>
      </c>
      <c r="C1239" s="6"/>
      <c r="D1239" s="6" t="s">
        <v>1859</v>
      </c>
      <c r="E1239" s="6" t="s">
        <v>1860</v>
      </c>
      <c r="F1239" s="6" t="s">
        <v>13</v>
      </c>
      <c r="G1239" s="6"/>
      <c r="H1239" s="6" t="s">
        <v>54</v>
      </c>
      <c r="I1239" s="6" t="s">
        <v>93</v>
      </c>
      <c r="J1239" s="6"/>
      <c r="K1239" s="6"/>
      <c r="L1239" s="6" t="s">
        <v>1861</v>
      </c>
      <c r="M1239" s="6"/>
      <c r="N1239" s="6" t="s">
        <v>1862</v>
      </c>
      <c r="O1239" s="6" t="str">
        <f>HYPERLINK("https://ceds.ed.gov/cedselementdetails.aspx?termid=6268")</f>
        <v>https://ceds.ed.gov/cedselementdetails.aspx?termid=6268</v>
      </c>
      <c r="P1239" s="6" t="str">
        <f>HYPERLINK("https://ceds.ed.gov/elementComment.aspx?elementName=Course Certification Description &amp;elementID=6268", "Click here to submit comment")</f>
        <v>Click here to submit comment</v>
      </c>
    </row>
    <row r="1240" spans="1:16" ht="90">
      <c r="A1240" s="6" t="s">
        <v>6788</v>
      </c>
      <c r="B1240" s="6" t="s">
        <v>6823</v>
      </c>
      <c r="C1240" s="6"/>
      <c r="D1240" s="6" t="s">
        <v>1901</v>
      </c>
      <c r="E1240" s="6" t="s">
        <v>1902</v>
      </c>
      <c r="F1240" s="6" t="s">
        <v>13</v>
      </c>
      <c r="G1240" s="6"/>
      <c r="H1240" s="6" t="s">
        <v>54</v>
      </c>
      <c r="I1240" s="6" t="s">
        <v>100</v>
      </c>
      <c r="J1240" s="6"/>
      <c r="K1240" s="6" t="s">
        <v>1903</v>
      </c>
      <c r="L1240" s="6" t="s">
        <v>1904</v>
      </c>
      <c r="M1240" s="6"/>
      <c r="N1240" s="6" t="s">
        <v>1905</v>
      </c>
      <c r="O1240" s="6" t="str">
        <f>HYPERLINK("https://ceds.ed.gov/cedselementdetails.aspx?termid=6272")</f>
        <v>https://ceds.ed.gov/cedselementdetails.aspx?termid=6272</v>
      </c>
      <c r="P1240" s="6" t="str">
        <f>HYPERLINK("https://ceds.ed.gov/elementComment.aspx?elementName=Course Funding Program &amp;elementID=6272", "Click here to submit comment")</f>
        <v>Click here to submit comment</v>
      </c>
    </row>
    <row r="1241" spans="1:16" ht="75">
      <c r="A1241" s="6" t="s">
        <v>6788</v>
      </c>
      <c r="B1241" s="6" t="s">
        <v>6823</v>
      </c>
      <c r="C1241" s="6"/>
      <c r="D1241" s="6" t="s">
        <v>1933</v>
      </c>
      <c r="E1241" s="6" t="s">
        <v>1934</v>
      </c>
      <c r="F1241" s="7" t="s">
        <v>6442</v>
      </c>
      <c r="G1241" s="6"/>
      <c r="H1241" s="6" t="s">
        <v>54</v>
      </c>
      <c r="I1241" s="6"/>
      <c r="J1241" s="6"/>
      <c r="K1241" s="6" t="s">
        <v>1935</v>
      </c>
      <c r="L1241" s="6" t="s">
        <v>1936</v>
      </c>
      <c r="M1241" s="6"/>
      <c r="N1241" s="6" t="s">
        <v>1937</v>
      </c>
      <c r="O1241" s="6" t="str">
        <f>HYPERLINK("https://ceds.ed.gov/cedselementdetails.aspx?termid=6277")</f>
        <v>https://ceds.ed.gov/cedselementdetails.aspx?termid=6277</v>
      </c>
      <c r="P1241" s="6" t="str">
        <f>HYPERLINK("https://ceds.ed.gov/elementComment.aspx?elementName=Course Interaction Mode &amp;elementID=6277", "Click here to submit comment")</f>
        <v>Click here to submit comment</v>
      </c>
    </row>
    <row r="1242" spans="1:16" ht="60">
      <c r="A1242" s="6" t="s">
        <v>6788</v>
      </c>
      <c r="B1242" s="6" t="s">
        <v>6823</v>
      </c>
      <c r="C1242" s="6"/>
      <c r="D1242" s="6" t="s">
        <v>2633</v>
      </c>
      <c r="E1242" s="6" t="s">
        <v>2634</v>
      </c>
      <c r="F1242" s="6" t="s">
        <v>5963</v>
      </c>
      <c r="G1242" s="6"/>
      <c r="H1242" s="6" t="s">
        <v>54</v>
      </c>
      <c r="I1242" s="6"/>
      <c r="J1242" s="6"/>
      <c r="K1242" s="6"/>
      <c r="L1242" s="6" t="s">
        <v>2635</v>
      </c>
      <c r="M1242" s="6"/>
      <c r="N1242" s="6" t="s">
        <v>2636</v>
      </c>
      <c r="O1242" s="6" t="str">
        <f>HYPERLINK("https://ceds.ed.gov/cedselementdetails.aspx?termid=6311")</f>
        <v>https://ceds.ed.gov/cedselementdetails.aspx?termid=6311</v>
      </c>
      <c r="P1242" s="6" t="str">
        <f>HYPERLINK("https://ceds.ed.gov/elementComment.aspx?elementName=Family and Consumer Sciences Course Indicator &amp;elementID=6311", "Click here to submit comment")</f>
        <v>Click here to submit comment</v>
      </c>
    </row>
    <row r="1243" spans="1:16" ht="90">
      <c r="A1243" s="6" t="s">
        <v>6788</v>
      </c>
      <c r="B1243" s="6" t="s">
        <v>6823</v>
      </c>
      <c r="C1243" s="6"/>
      <c r="D1243" s="6" t="s">
        <v>3392</v>
      </c>
      <c r="E1243" s="6" t="s">
        <v>3393</v>
      </c>
      <c r="F1243" s="7" t="s">
        <v>6560</v>
      </c>
      <c r="G1243" s="6"/>
      <c r="H1243" s="6" t="s">
        <v>54</v>
      </c>
      <c r="I1243" s="6"/>
      <c r="J1243" s="6"/>
      <c r="K1243" s="6"/>
      <c r="L1243" s="6" t="s">
        <v>3395</v>
      </c>
      <c r="M1243" s="6"/>
      <c r="N1243" s="6" t="s">
        <v>3396</v>
      </c>
      <c r="O1243" s="6" t="str">
        <f>HYPERLINK("https://ceds.ed.gov/cedselementdetails.aspx?termid=6355")</f>
        <v>https://ceds.ed.gov/cedselementdetails.aspx?termid=6355</v>
      </c>
      <c r="P1243" s="6" t="str">
        <f>HYPERLINK("https://ceds.ed.gov/elementComment.aspx?elementName=K12 End of Course Requirement &amp;elementID=6355", "Click here to submit comment")</f>
        <v>Click here to submit comment</v>
      </c>
    </row>
    <row r="1244" spans="1:16" ht="60">
      <c r="A1244" s="6" t="s">
        <v>6788</v>
      </c>
      <c r="B1244" s="6" t="s">
        <v>6823</v>
      </c>
      <c r="C1244" s="6"/>
      <c r="D1244" s="6" t="s">
        <v>4197</v>
      </c>
      <c r="E1244" s="6" t="s">
        <v>4198</v>
      </c>
      <c r="F1244" s="6" t="s">
        <v>5963</v>
      </c>
      <c r="G1244" s="6"/>
      <c r="H1244" s="6" t="s">
        <v>54</v>
      </c>
      <c r="I1244" s="6"/>
      <c r="J1244" s="6"/>
      <c r="K1244" s="6"/>
      <c r="L1244" s="6" t="s">
        <v>4199</v>
      </c>
      <c r="M1244" s="6" t="s">
        <v>4200</v>
      </c>
      <c r="N1244" s="6" t="s">
        <v>4201</v>
      </c>
      <c r="O1244" s="6" t="str">
        <f>HYPERLINK("https://ceds.ed.gov/cedselementdetails.aspx?termid=6382")</f>
        <v>https://ceds.ed.gov/cedselementdetails.aspx?termid=6382</v>
      </c>
      <c r="P1244" s="6" t="str">
        <f>HYPERLINK("https://ceds.ed.gov/elementComment.aspx?elementName=National Collegiate Athletic Association Eligibility &amp;elementID=6382", "Click here to submit comment")</f>
        <v>Click here to submit comment</v>
      </c>
    </row>
    <row r="1245" spans="1:16" ht="120">
      <c r="A1245" s="6" t="s">
        <v>6788</v>
      </c>
      <c r="B1245" s="6" t="s">
        <v>6823</v>
      </c>
      <c r="C1245" s="6"/>
      <c r="D1245" s="6" t="s">
        <v>5186</v>
      </c>
      <c r="E1245" s="6" t="s">
        <v>5187</v>
      </c>
      <c r="F1245" s="5" t="s">
        <v>5188</v>
      </c>
      <c r="G1245" s="6"/>
      <c r="H1245" s="6" t="s">
        <v>54</v>
      </c>
      <c r="I1245" s="6" t="s">
        <v>5189</v>
      </c>
      <c r="J1245" s="6"/>
      <c r="K1245" s="6" t="s">
        <v>5190</v>
      </c>
      <c r="L1245" s="6" t="s">
        <v>5191</v>
      </c>
      <c r="M1245" s="6" t="s">
        <v>5192</v>
      </c>
      <c r="N1245" s="6" t="s">
        <v>5193</v>
      </c>
      <c r="O1245" s="6" t="str">
        <f>HYPERLINK("https://ceds.ed.gov/cedselementdetails.aspx?termid=6490")</f>
        <v>https://ceds.ed.gov/cedselementdetails.aspx?termid=6490</v>
      </c>
      <c r="P1245" s="6" t="str">
        <f>HYPERLINK("https://ceds.ed.gov/elementComment.aspx?elementName=School Codes for the Exchange of Data Course Code &amp;elementID=6490", "Click here to submit comment")</f>
        <v>Click here to submit comment</v>
      </c>
    </row>
    <row r="1246" spans="1:16" ht="120">
      <c r="A1246" s="6" t="s">
        <v>6788</v>
      </c>
      <c r="B1246" s="6" t="s">
        <v>6823</v>
      </c>
      <c r="C1246" s="6"/>
      <c r="D1246" s="6" t="s">
        <v>5194</v>
      </c>
      <c r="E1246" s="6" t="s">
        <v>5195</v>
      </c>
      <c r="F1246" s="7" t="s">
        <v>6643</v>
      </c>
      <c r="G1246" s="6"/>
      <c r="H1246" s="6" t="s">
        <v>54</v>
      </c>
      <c r="I1246" s="6" t="s">
        <v>5196</v>
      </c>
      <c r="J1246" s="6"/>
      <c r="K1246" s="6"/>
      <c r="L1246" s="6" t="s">
        <v>5197</v>
      </c>
      <c r="M1246" s="6" t="s">
        <v>5198</v>
      </c>
      <c r="N1246" s="6" t="s">
        <v>5199</v>
      </c>
      <c r="O1246" s="6" t="str">
        <f>HYPERLINK("https://ceds.ed.gov/cedselementdetails.aspx?termid=6488")</f>
        <v>https://ceds.ed.gov/cedselementdetails.aspx?termid=6488</v>
      </c>
      <c r="P1246" s="6" t="str">
        <f>HYPERLINK("https://ceds.ed.gov/elementComment.aspx?elementName=School Codes for the Exchange of Data Course Level &amp;elementID=6488", "Click here to submit comment")</f>
        <v>Click here to submit comment</v>
      </c>
    </row>
    <row r="1247" spans="1:16" ht="409.5">
      <c r="A1247" s="6" t="s">
        <v>6788</v>
      </c>
      <c r="B1247" s="6" t="s">
        <v>6823</v>
      </c>
      <c r="C1247" s="6"/>
      <c r="D1247" s="6" t="s">
        <v>5200</v>
      </c>
      <c r="E1247" s="6" t="s">
        <v>5201</v>
      </c>
      <c r="F1247" s="7" t="s">
        <v>6644</v>
      </c>
      <c r="G1247" s="6"/>
      <c r="H1247" s="6" t="s">
        <v>54</v>
      </c>
      <c r="I1247" s="6" t="s">
        <v>5202</v>
      </c>
      <c r="J1247" s="6"/>
      <c r="K1247" s="6" t="s">
        <v>5203</v>
      </c>
      <c r="L1247" s="6" t="s">
        <v>5204</v>
      </c>
      <c r="M1247" s="6" t="s">
        <v>5205</v>
      </c>
      <c r="N1247" s="6" t="s">
        <v>5206</v>
      </c>
      <c r="O1247" s="6" t="str">
        <f>HYPERLINK("https://ceds.ed.gov/cedselementdetails.aspx?termid=6491")</f>
        <v>https://ceds.ed.gov/cedselementdetails.aspx?termid=6491</v>
      </c>
      <c r="P1247" s="6" t="str">
        <f>HYPERLINK("https://ceds.ed.gov/elementComment.aspx?elementName=School Codes for the Exchange of Data Course Subject Area &amp;elementID=6491", "Click here to submit comment")</f>
        <v>Click here to submit comment</v>
      </c>
    </row>
    <row r="1248" spans="1:16" ht="105">
      <c r="A1248" s="6" t="s">
        <v>6788</v>
      </c>
      <c r="B1248" s="6" t="s">
        <v>6823</v>
      </c>
      <c r="C1248" s="6"/>
      <c r="D1248" s="6" t="s">
        <v>5207</v>
      </c>
      <c r="E1248" s="6" t="s">
        <v>5208</v>
      </c>
      <c r="F1248" s="6" t="s">
        <v>13</v>
      </c>
      <c r="G1248" s="6"/>
      <c r="H1248" s="6" t="s">
        <v>54</v>
      </c>
      <c r="I1248" s="6" t="s">
        <v>5209</v>
      </c>
      <c r="J1248" s="6"/>
      <c r="K1248" s="6" t="s">
        <v>5210</v>
      </c>
      <c r="L1248" s="6" t="s">
        <v>5211</v>
      </c>
      <c r="M1248" s="6" t="s">
        <v>5212</v>
      </c>
      <c r="N1248" s="6" t="s">
        <v>5213</v>
      </c>
      <c r="O1248" s="6" t="str">
        <f>HYPERLINK("https://ceds.ed.gov/cedselementdetails.aspx?termid=6452")</f>
        <v>https://ceds.ed.gov/cedselementdetails.aspx?termid=6452</v>
      </c>
      <c r="P1248" s="6" t="str">
        <f>HYPERLINK("https://ceds.ed.gov/elementComment.aspx?elementName=School Codes for the Exchange of Data Grade Span &amp;elementID=6452", "Click here to submit comment")</f>
        <v>Click here to submit comment</v>
      </c>
    </row>
    <row r="1249" spans="1:16" ht="345">
      <c r="A1249" s="6" t="s">
        <v>6788</v>
      </c>
      <c r="B1249" s="6" t="s">
        <v>6823</v>
      </c>
      <c r="C1249" s="6"/>
      <c r="D1249" s="6" t="s">
        <v>5928</v>
      </c>
      <c r="E1249" s="6" t="s">
        <v>5929</v>
      </c>
      <c r="F1249" s="7" t="s">
        <v>6695</v>
      </c>
      <c r="G1249" s="6"/>
      <c r="H1249" s="6" t="s">
        <v>54</v>
      </c>
      <c r="I1249" s="6"/>
      <c r="J1249" s="6"/>
      <c r="K1249" s="6"/>
      <c r="L1249" s="6" t="s">
        <v>5930</v>
      </c>
      <c r="M1249" s="6"/>
      <c r="N1249" s="6" t="s">
        <v>5931</v>
      </c>
      <c r="O1249" s="6" t="str">
        <f>HYPERLINK("https://ceds.ed.gov/cedselementdetails.aspx?termid=6471")</f>
        <v>https://ceds.ed.gov/cedselementdetails.aspx?termid=6471</v>
      </c>
      <c r="P1249" s="6" t="str">
        <f>HYPERLINK("https://ceds.ed.gov/elementComment.aspx?elementName=Work-based Learning Opportunity Type &amp;elementID=6471", "Click here to submit comment")</f>
        <v>Click here to submit comment</v>
      </c>
    </row>
    <row r="1250" spans="1:16" ht="75">
      <c r="A1250" s="6" t="s">
        <v>6788</v>
      </c>
      <c r="B1250" s="6" t="s">
        <v>6824</v>
      </c>
      <c r="C1250" s="6"/>
      <c r="D1250" s="6" t="s">
        <v>0</v>
      </c>
      <c r="E1250" s="6" t="s">
        <v>1</v>
      </c>
      <c r="F1250" s="6" t="s">
        <v>5963</v>
      </c>
      <c r="G1250" s="6" t="s">
        <v>2</v>
      </c>
      <c r="H1250" s="6" t="s">
        <v>3</v>
      </c>
      <c r="I1250" s="6"/>
      <c r="J1250" s="6"/>
      <c r="K1250" s="6"/>
      <c r="L1250" s="6" t="s">
        <v>4</v>
      </c>
      <c r="M1250" s="6"/>
      <c r="N1250" s="6" t="s">
        <v>5</v>
      </c>
      <c r="O1250" s="6" t="str">
        <f>HYPERLINK("https://ceds.ed.gov/cedselementdetails.aspx?termid=5000")</f>
        <v>https://ceds.ed.gov/cedselementdetails.aspx?termid=5000</v>
      </c>
      <c r="P1250" s="6" t="str">
        <f>HYPERLINK("https://ceds.ed.gov/elementComment.aspx?elementName=Ability Grouping Status &amp;elementID=5000", "Click here to submit comment")</f>
        <v>Click here to submit comment</v>
      </c>
    </row>
    <row r="1251" spans="1:16" ht="75">
      <c r="A1251" s="6" t="s">
        <v>6788</v>
      </c>
      <c r="B1251" s="6" t="s">
        <v>6824</v>
      </c>
      <c r="C1251" s="6" t="s">
        <v>6790</v>
      </c>
      <c r="D1251" s="6" t="s">
        <v>2004</v>
      </c>
      <c r="E1251" s="6" t="s">
        <v>2005</v>
      </c>
      <c r="F1251" s="6" t="s">
        <v>13</v>
      </c>
      <c r="G1251" s="6"/>
      <c r="H1251" s="6" t="s">
        <v>66</v>
      </c>
      <c r="I1251" s="6" t="s">
        <v>100</v>
      </c>
      <c r="J1251" s="6" t="s">
        <v>2006</v>
      </c>
      <c r="K1251" s="6"/>
      <c r="L1251" s="6" t="s">
        <v>2007</v>
      </c>
      <c r="M1251" s="6"/>
      <c r="N1251" s="6" t="s">
        <v>2008</v>
      </c>
      <c r="O1251" s="6" t="str">
        <f>HYPERLINK("https://ceds.ed.gov/cedselementdetails.aspx?termid=5979")</f>
        <v>https://ceds.ed.gov/cedselementdetails.aspx?termid=5979</v>
      </c>
      <c r="P1251" s="6" t="str">
        <f>HYPERLINK("https://ceds.ed.gov/elementComment.aspx?elementName=Course Section Identifier &amp;elementID=5979", "Click here to submit comment")</f>
        <v>Click here to submit comment</v>
      </c>
    </row>
    <row r="1252" spans="1:16" ht="60">
      <c r="A1252" s="6" t="s">
        <v>6788</v>
      </c>
      <c r="B1252" s="6" t="s">
        <v>6824</v>
      </c>
      <c r="C1252" s="6" t="s">
        <v>6790</v>
      </c>
      <c r="D1252" s="6" t="s">
        <v>1717</v>
      </c>
      <c r="E1252" s="6" t="s">
        <v>1718</v>
      </c>
      <c r="F1252" s="6" t="s">
        <v>13</v>
      </c>
      <c r="G1252" s="6"/>
      <c r="H1252" s="6"/>
      <c r="I1252" s="6" t="s">
        <v>100</v>
      </c>
      <c r="J1252" s="6"/>
      <c r="K1252" s="6"/>
      <c r="L1252" s="6" t="s">
        <v>1719</v>
      </c>
      <c r="M1252" s="6"/>
      <c r="N1252" s="6" t="s">
        <v>1720</v>
      </c>
      <c r="O1252" s="6" t="str">
        <f>HYPERLINK("https://ceds.ed.gov/cedselementdetails.aspx?termid=5507")</f>
        <v>https://ceds.ed.gov/cedselementdetails.aspx?termid=5507</v>
      </c>
      <c r="P1252" s="6" t="str">
        <f>HYPERLINK("https://ceds.ed.gov/elementComment.aspx?elementName=Classroom Identifier &amp;elementID=5507", "Click here to submit comment")</f>
        <v>Click here to submit comment</v>
      </c>
    </row>
    <row r="1253" spans="1:16" ht="120">
      <c r="A1253" s="6" t="s">
        <v>6788</v>
      </c>
      <c r="B1253" s="6" t="s">
        <v>6824</v>
      </c>
      <c r="C1253" s="6" t="s">
        <v>6790</v>
      </c>
      <c r="D1253" s="6" t="s">
        <v>5313</v>
      </c>
      <c r="E1253" s="6" t="s">
        <v>5314</v>
      </c>
      <c r="F1253" s="6" t="s">
        <v>13</v>
      </c>
      <c r="G1253" s="6" t="s">
        <v>6078</v>
      </c>
      <c r="H1253" s="6"/>
      <c r="I1253" s="6" t="s">
        <v>73</v>
      </c>
      <c r="J1253" s="6"/>
      <c r="K1253" s="6"/>
      <c r="L1253" s="6" t="s">
        <v>5315</v>
      </c>
      <c r="M1253" s="6"/>
      <c r="N1253" s="6" t="s">
        <v>5316</v>
      </c>
      <c r="O1253" s="6" t="str">
        <f>HYPERLINK("https://ceds.ed.gov/cedselementdetails.aspx?termid=5251")</f>
        <v>https://ceds.ed.gov/cedselementdetails.aspx?termid=5251</v>
      </c>
      <c r="P1253" s="6" t="str">
        <f>HYPERLINK("https://ceds.ed.gov/elementComment.aspx?elementName=Session Begin Date &amp;elementID=5251", "Click here to submit comment")</f>
        <v>Click here to submit comment</v>
      </c>
    </row>
    <row r="1254" spans="1:16" ht="120">
      <c r="A1254" s="6" t="s">
        <v>6788</v>
      </c>
      <c r="B1254" s="6" t="s">
        <v>6824</v>
      </c>
      <c r="C1254" s="6" t="s">
        <v>6790</v>
      </c>
      <c r="D1254" s="6" t="s">
        <v>5329</v>
      </c>
      <c r="E1254" s="6" t="s">
        <v>5330</v>
      </c>
      <c r="F1254" s="6" t="s">
        <v>13</v>
      </c>
      <c r="G1254" s="6" t="s">
        <v>6078</v>
      </c>
      <c r="H1254" s="6"/>
      <c r="I1254" s="6" t="s">
        <v>73</v>
      </c>
      <c r="J1254" s="6"/>
      <c r="K1254" s="6"/>
      <c r="L1254" s="6" t="s">
        <v>5331</v>
      </c>
      <c r="M1254" s="6"/>
      <c r="N1254" s="6" t="s">
        <v>5332</v>
      </c>
      <c r="O1254" s="6" t="str">
        <f>HYPERLINK("https://ceds.ed.gov/cedselementdetails.aspx?termid=5253")</f>
        <v>https://ceds.ed.gov/cedselementdetails.aspx?termid=5253</v>
      </c>
      <c r="P1254" s="6" t="str">
        <f>HYPERLINK("https://ceds.ed.gov/elementComment.aspx?elementName=Session End Date &amp;elementID=5253", "Click here to submit comment")</f>
        <v>Click here to submit comment</v>
      </c>
    </row>
    <row r="1255" spans="1:16" ht="30">
      <c r="A1255" s="6" t="s">
        <v>6788</v>
      </c>
      <c r="B1255" s="6" t="s">
        <v>6824</v>
      </c>
      <c r="C1255" s="6" t="s">
        <v>6790</v>
      </c>
      <c r="D1255" s="6" t="s">
        <v>5325</v>
      </c>
      <c r="E1255" s="6" t="s">
        <v>5326</v>
      </c>
      <c r="F1255" s="6" t="s">
        <v>13</v>
      </c>
      <c r="G1255" s="6" t="s">
        <v>6093</v>
      </c>
      <c r="H1255" s="6"/>
      <c r="I1255" s="6" t="s">
        <v>2191</v>
      </c>
      <c r="J1255" s="6"/>
      <c r="K1255" s="6"/>
      <c r="L1255" s="6" t="s">
        <v>5327</v>
      </c>
      <c r="M1255" s="6"/>
      <c r="N1255" s="6" t="s">
        <v>5328</v>
      </c>
      <c r="O1255" s="6" t="str">
        <f>HYPERLINK("https://ceds.ed.gov/cedselementdetails.aspx?termid=5252")</f>
        <v>https://ceds.ed.gov/cedselementdetails.aspx?termid=5252</v>
      </c>
      <c r="P1255" s="6" t="str">
        <f>HYPERLINK("https://ceds.ed.gov/elementComment.aspx?elementName=Session Designator &amp;elementID=5252", "Click here to submit comment")</f>
        <v>Click here to submit comment</v>
      </c>
    </row>
    <row r="1256" spans="1:16" ht="255">
      <c r="A1256" s="6" t="s">
        <v>6788</v>
      </c>
      <c r="B1256" s="6" t="s">
        <v>6824</v>
      </c>
      <c r="C1256" s="6" t="s">
        <v>6790</v>
      </c>
      <c r="D1256" s="6" t="s">
        <v>5349</v>
      </c>
      <c r="E1256" s="6" t="s">
        <v>5350</v>
      </c>
      <c r="F1256" s="7" t="s">
        <v>6655</v>
      </c>
      <c r="G1256" s="6" t="s">
        <v>6078</v>
      </c>
      <c r="H1256" s="6"/>
      <c r="I1256" s="6"/>
      <c r="J1256" s="6"/>
      <c r="K1256" s="6"/>
      <c r="L1256" s="6" t="s">
        <v>5351</v>
      </c>
      <c r="M1256" s="6"/>
      <c r="N1256" s="6" t="s">
        <v>5352</v>
      </c>
      <c r="O1256" s="6" t="str">
        <f>HYPERLINK("https://ceds.ed.gov/cedselementdetails.aspx?termid=5254")</f>
        <v>https://ceds.ed.gov/cedselementdetails.aspx?termid=5254</v>
      </c>
      <c r="P1256" s="6" t="str">
        <f>HYPERLINK("https://ceds.ed.gov/elementComment.aspx?elementName=Session Type &amp;elementID=5254", "Click here to submit comment")</f>
        <v>Click here to submit comment</v>
      </c>
    </row>
    <row r="1257" spans="1:16" ht="30">
      <c r="A1257" s="6" t="s">
        <v>6788</v>
      </c>
      <c r="B1257" s="6" t="s">
        <v>6824</v>
      </c>
      <c r="C1257" s="6" t="s">
        <v>6790</v>
      </c>
      <c r="D1257" s="6" t="s">
        <v>1678</v>
      </c>
      <c r="E1257" s="6" t="s">
        <v>1679</v>
      </c>
      <c r="F1257" s="6" t="s">
        <v>13</v>
      </c>
      <c r="G1257" s="6" t="s">
        <v>6097</v>
      </c>
      <c r="H1257" s="6"/>
      <c r="I1257" s="6" t="s">
        <v>426</v>
      </c>
      <c r="J1257" s="6"/>
      <c r="K1257" s="6"/>
      <c r="L1257" s="6" t="s">
        <v>1680</v>
      </c>
      <c r="M1257" s="6"/>
      <c r="N1257" s="6" t="s">
        <v>1681</v>
      </c>
      <c r="O1257" s="6" t="str">
        <f>HYPERLINK("https://ceds.ed.gov/cedselementdetails.aspx?termid=5510")</f>
        <v>https://ceds.ed.gov/cedselementdetails.aspx?termid=5510</v>
      </c>
      <c r="P1257" s="6" t="str">
        <f>HYPERLINK("https://ceds.ed.gov/elementComment.aspx?elementName=Class Beginning Time &amp;elementID=5510", "Click here to submit comment")</f>
        <v>Click here to submit comment</v>
      </c>
    </row>
    <row r="1258" spans="1:16" ht="30">
      <c r="A1258" s="6" t="s">
        <v>6788</v>
      </c>
      <c r="B1258" s="6" t="s">
        <v>6824</v>
      </c>
      <c r="C1258" s="6" t="s">
        <v>6790</v>
      </c>
      <c r="D1258" s="6" t="s">
        <v>1682</v>
      </c>
      <c r="E1258" s="6" t="s">
        <v>1683</v>
      </c>
      <c r="F1258" s="6" t="s">
        <v>13</v>
      </c>
      <c r="G1258" s="6" t="s">
        <v>6097</v>
      </c>
      <c r="H1258" s="6"/>
      <c r="I1258" s="6" t="s">
        <v>1684</v>
      </c>
      <c r="J1258" s="6"/>
      <c r="K1258" s="6"/>
      <c r="L1258" s="6" t="s">
        <v>1685</v>
      </c>
      <c r="M1258" s="6"/>
      <c r="N1258" s="6" t="s">
        <v>1686</v>
      </c>
      <c r="O1258" s="6" t="str">
        <f>HYPERLINK("https://ceds.ed.gov/cedselementdetails.aspx?termid=5511")</f>
        <v>https://ceds.ed.gov/cedselementdetails.aspx?termid=5511</v>
      </c>
      <c r="P1258" s="6" t="str">
        <f>HYPERLINK("https://ceds.ed.gov/elementComment.aspx?elementName=Class Ending Time &amp;elementID=5511", "Click here to submit comment")</f>
        <v>Click here to submit comment</v>
      </c>
    </row>
    <row r="1259" spans="1:16" ht="60">
      <c r="A1259" s="6" t="s">
        <v>6788</v>
      </c>
      <c r="B1259" s="6" t="s">
        <v>6824</v>
      </c>
      <c r="C1259" s="6" t="s">
        <v>6790</v>
      </c>
      <c r="D1259" s="6" t="s">
        <v>1687</v>
      </c>
      <c r="E1259" s="6" t="s">
        <v>1688</v>
      </c>
      <c r="F1259" s="6" t="s">
        <v>13</v>
      </c>
      <c r="G1259" s="6"/>
      <c r="H1259" s="6"/>
      <c r="I1259" s="6" t="s">
        <v>106</v>
      </c>
      <c r="J1259" s="6"/>
      <c r="K1259" s="6"/>
      <c r="L1259" s="6" t="s">
        <v>1689</v>
      </c>
      <c r="M1259" s="6"/>
      <c r="N1259" s="6" t="s">
        <v>1690</v>
      </c>
      <c r="O1259" s="6" t="str">
        <f>HYPERLINK("https://ceds.ed.gov/cedselementdetails.aspx?termid=5512")</f>
        <v>https://ceds.ed.gov/cedselementdetails.aspx?termid=5512</v>
      </c>
      <c r="P1259" s="6" t="str">
        <f>HYPERLINK("https://ceds.ed.gov/elementComment.aspx?elementName=Class Meeting Days &amp;elementID=5512", "Click here to submit comment")</f>
        <v>Click here to submit comment</v>
      </c>
    </row>
    <row r="1260" spans="1:16" ht="75">
      <c r="A1260" s="6" t="s">
        <v>6788</v>
      </c>
      <c r="B1260" s="6" t="s">
        <v>6824</v>
      </c>
      <c r="C1260" s="6" t="s">
        <v>6790</v>
      </c>
      <c r="D1260" s="6" t="s">
        <v>1691</v>
      </c>
      <c r="E1260" s="6" t="s">
        <v>1692</v>
      </c>
      <c r="F1260" s="6" t="s">
        <v>13</v>
      </c>
      <c r="G1260" s="6"/>
      <c r="H1260" s="6"/>
      <c r="I1260" s="6" t="s">
        <v>100</v>
      </c>
      <c r="J1260" s="6"/>
      <c r="K1260" s="6"/>
      <c r="L1260" s="6" t="s">
        <v>1693</v>
      </c>
      <c r="M1260" s="6"/>
      <c r="N1260" s="6" t="s">
        <v>1694</v>
      </c>
      <c r="O1260" s="6" t="str">
        <f>HYPERLINK("https://ceds.ed.gov/cedselementdetails.aspx?termid=5513")</f>
        <v>https://ceds.ed.gov/cedselementdetails.aspx?termid=5513</v>
      </c>
      <c r="P1260" s="6" t="str">
        <f>HYPERLINK("https://ceds.ed.gov/elementComment.aspx?elementName=Class Period &amp;elementID=5513", "Click here to submit comment")</f>
        <v>Click here to submit comment</v>
      </c>
    </row>
    <row r="1261" spans="1:16" ht="75">
      <c r="A1261" s="6" t="s">
        <v>6788</v>
      </c>
      <c r="B1261" s="6" t="s">
        <v>6824</v>
      </c>
      <c r="C1261" s="6" t="s">
        <v>6790</v>
      </c>
      <c r="D1261" s="6" t="s">
        <v>5748</v>
      </c>
      <c r="E1261" s="6" t="s">
        <v>5749</v>
      </c>
      <c r="F1261" s="6" t="s">
        <v>13</v>
      </c>
      <c r="G1261" s="6"/>
      <c r="H1261" s="6"/>
      <c r="I1261" s="6" t="s">
        <v>100</v>
      </c>
      <c r="J1261" s="6"/>
      <c r="K1261" s="6"/>
      <c r="L1261" s="6" t="s">
        <v>5750</v>
      </c>
      <c r="M1261" s="6"/>
      <c r="N1261" s="6" t="s">
        <v>5751</v>
      </c>
      <c r="O1261" s="6" t="str">
        <f>HYPERLINK("https://ceds.ed.gov/cedselementdetails.aspx?termid=5514")</f>
        <v>https://ceds.ed.gov/cedselementdetails.aspx?termid=5514</v>
      </c>
      <c r="P1261" s="6" t="str">
        <f>HYPERLINK("https://ceds.ed.gov/elementComment.aspx?elementName=Timetable Day Identifier &amp;elementID=5514", "Click here to submit comment")</f>
        <v>Click here to submit comment</v>
      </c>
    </row>
    <row r="1262" spans="1:16" ht="165">
      <c r="A1262" s="6" t="s">
        <v>6788</v>
      </c>
      <c r="B1262" s="6" t="s">
        <v>6824</v>
      </c>
      <c r="C1262" s="6" t="s">
        <v>6790</v>
      </c>
      <c r="D1262" s="6" t="s">
        <v>2023</v>
      </c>
      <c r="E1262" s="6" t="s">
        <v>2024</v>
      </c>
      <c r="F1262" s="6" t="s">
        <v>13</v>
      </c>
      <c r="G1262" s="6" t="s">
        <v>2025</v>
      </c>
      <c r="H1262" s="6" t="s">
        <v>66</v>
      </c>
      <c r="I1262" s="6" t="s">
        <v>308</v>
      </c>
      <c r="J1262" s="6" t="s">
        <v>2026</v>
      </c>
      <c r="K1262" s="6"/>
      <c r="L1262" s="6" t="s">
        <v>2027</v>
      </c>
      <c r="M1262" s="6"/>
      <c r="N1262" s="6" t="s">
        <v>2028</v>
      </c>
      <c r="O1262" s="6" t="str">
        <f>HYPERLINK("https://ceds.ed.gov/cedselementdetails.aspx?termid=5101")</f>
        <v>https://ceds.ed.gov/cedselementdetails.aspx?termid=5101</v>
      </c>
      <c r="P1262" s="6" t="str">
        <f>HYPERLINK("https://ceds.ed.gov/elementComment.aspx?elementName=Course Section Time Required For Completion &amp;elementID=5101", "Click here to submit comment")</f>
        <v>Click here to submit comment</v>
      </c>
    </row>
    <row r="1263" spans="1:16" ht="45">
      <c r="A1263" s="6" t="s">
        <v>6788</v>
      </c>
      <c r="B1263" s="6" t="s">
        <v>6824</v>
      </c>
      <c r="C1263" s="6" t="s">
        <v>6790</v>
      </c>
      <c r="D1263" s="6" t="s">
        <v>3302</v>
      </c>
      <c r="E1263" s="6" t="s">
        <v>3303</v>
      </c>
      <c r="F1263" s="5" t="s">
        <v>939</v>
      </c>
      <c r="G1263" s="6" t="s">
        <v>207</v>
      </c>
      <c r="H1263" s="6"/>
      <c r="I1263" s="6"/>
      <c r="J1263" s="6"/>
      <c r="K1263" s="6"/>
      <c r="L1263" s="6" t="s">
        <v>3304</v>
      </c>
      <c r="M1263" s="6"/>
      <c r="N1263" s="6" t="s">
        <v>3305</v>
      </c>
      <c r="O1263" s="6" t="str">
        <f>HYPERLINK("https://ceds.ed.gov/cedselementdetails.aspx?termid=5438")</f>
        <v>https://ceds.ed.gov/cedselementdetails.aspx?termid=5438</v>
      </c>
      <c r="P1263" s="6" t="str">
        <f>HYPERLINK("https://ceds.ed.gov/elementComment.aspx?elementName=Instruction Language &amp;elementID=5438", "Click here to submit comment")</f>
        <v>Click here to submit comment</v>
      </c>
    </row>
    <row r="1264" spans="1:16" ht="90">
      <c r="A1264" s="6" t="s">
        <v>6788</v>
      </c>
      <c r="B1264" s="6" t="s">
        <v>6824</v>
      </c>
      <c r="C1264" s="6" t="s">
        <v>6790</v>
      </c>
      <c r="D1264" s="6" t="s">
        <v>2018</v>
      </c>
      <c r="E1264" s="6" t="s">
        <v>2019</v>
      </c>
      <c r="F1264" s="7" t="s">
        <v>6449</v>
      </c>
      <c r="G1264" s="6" t="s">
        <v>6123</v>
      </c>
      <c r="H1264" s="6" t="s">
        <v>66</v>
      </c>
      <c r="I1264" s="6"/>
      <c r="J1264" s="6" t="s">
        <v>2020</v>
      </c>
      <c r="K1264" s="6"/>
      <c r="L1264" s="6" t="s">
        <v>2021</v>
      </c>
      <c r="M1264" s="6"/>
      <c r="N1264" s="6" t="s">
        <v>2022</v>
      </c>
      <c r="O1264" s="6" t="str">
        <f>HYPERLINK("https://ceds.ed.gov/cedselementdetails.aspx?termid=5258")</f>
        <v>https://ceds.ed.gov/cedselementdetails.aspx?termid=5258</v>
      </c>
      <c r="P1264" s="6" t="str">
        <f>HYPERLINK("https://ceds.ed.gov/elementComment.aspx?elementName=Course Section Single Sex Class Status &amp;elementID=5258", "Click here to submit comment")</f>
        <v>Click here to submit comment</v>
      </c>
    </row>
    <row r="1265" spans="1:16" ht="225">
      <c r="A1265" s="6" t="s">
        <v>6788</v>
      </c>
      <c r="B1265" s="6" t="s">
        <v>6824</v>
      </c>
      <c r="C1265" s="6" t="s">
        <v>6790</v>
      </c>
      <c r="D1265" s="6" t="s">
        <v>4979</v>
      </c>
      <c r="E1265" s="6" t="s">
        <v>4980</v>
      </c>
      <c r="F1265" s="7" t="s">
        <v>6637</v>
      </c>
      <c r="G1265" s="6"/>
      <c r="H1265" s="6"/>
      <c r="I1265" s="6"/>
      <c r="J1265" s="6"/>
      <c r="K1265" s="6"/>
      <c r="L1265" s="6" t="s">
        <v>4981</v>
      </c>
      <c r="M1265" s="6"/>
      <c r="N1265" s="6" t="s">
        <v>4982</v>
      </c>
      <c r="O1265" s="6" t="str">
        <f>HYPERLINK("https://ceds.ed.gov/cedselementdetails.aspx?termid=5515")</f>
        <v>https://ceds.ed.gov/cedselementdetails.aspx?termid=5515</v>
      </c>
      <c r="P1265" s="6" t="str">
        <f>HYPERLINK("https://ceds.ed.gov/elementComment.aspx?elementName=Receiving Location of Instruction &amp;elementID=5515", "Click here to submit comment")</f>
        <v>Click here to submit comment</v>
      </c>
    </row>
    <row r="1266" spans="1:16" ht="210">
      <c r="A1266" s="6" t="s">
        <v>6788</v>
      </c>
      <c r="B1266" s="6" t="s">
        <v>6824</v>
      </c>
      <c r="C1266" s="6" t="s">
        <v>6790</v>
      </c>
      <c r="D1266" s="6" t="s">
        <v>2009</v>
      </c>
      <c r="E1266" s="6" t="s">
        <v>2010</v>
      </c>
      <c r="F1266" s="7" t="s">
        <v>6448</v>
      </c>
      <c r="G1266" s="6"/>
      <c r="H1266" s="6" t="s">
        <v>66</v>
      </c>
      <c r="I1266" s="6"/>
      <c r="J1266" s="6" t="s">
        <v>2011</v>
      </c>
      <c r="K1266" s="6"/>
      <c r="L1266" s="6" t="s">
        <v>2012</v>
      </c>
      <c r="M1266" s="6"/>
      <c r="N1266" s="6" t="s">
        <v>2013</v>
      </c>
      <c r="O1266" s="6" t="str">
        <f>HYPERLINK("https://ceds.ed.gov/cedselementdetails.aspx?termid=6168")</f>
        <v>https://ceds.ed.gov/cedselementdetails.aspx?termid=6168</v>
      </c>
      <c r="P1266" s="6" t="str">
        <f>HYPERLINK("https://ceds.ed.gov/elementComment.aspx?elementName=Course Section Instructional Delivery Mode &amp;elementID=6168", "Click here to submit comment")</f>
        <v>Click here to submit comment</v>
      </c>
    </row>
    <row r="1267" spans="1:16" ht="105">
      <c r="A1267" s="6" t="s">
        <v>6788</v>
      </c>
      <c r="B1267" s="6" t="s">
        <v>6824</v>
      </c>
      <c r="C1267" s="6" t="s">
        <v>6790</v>
      </c>
      <c r="D1267" s="6" t="s">
        <v>5875</v>
      </c>
      <c r="E1267" s="6" t="s">
        <v>5876</v>
      </c>
      <c r="F1267" s="6" t="s">
        <v>5963</v>
      </c>
      <c r="G1267" s="6"/>
      <c r="H1267" s="6"/>
      <c r="I1267" s="6"/>
      <c r="J1267" s="6"/>
      <c r="K1267" s="6"/>
      <c r="L1267" s="6" t="s">
        <v>5877</v>
      </c>
      <c r="M1267" s="6"/>
      <c r="N1267" s="6" t="s">
        <v>5878</v>
      </c>
      <c r="O1267" s="6" t="str">
        <f>HYPERLINK("https://ceds.ed.gov/cedselementdetails.aspx?termid=6167")</f>
        <v>https://ceds.ed.gov/cedselementdetails.aspx?termid=6167</v>
      </c>
      <c r="P1267" s="6" t="str">
        <f>HYPERLINK("https://ceds.ed.gov/elementComment.aspx?elementName=Virtual Indicator &amp;elementID=6167", "Click here to submit comment")</f>
        <v>Click here to submit comment</v>
      </c>
    </row>
    <row r="1268" spans="1:16" ht="45">
      <c r="A1268" s="6" t="s">
        <v>6788</v>
      </c>
      <c r="B1268" s="6" t="s">
        <v>6824</v>
      </c>
      <c r="C1268" s="6" t="s">
        <v>6790</v>
      </c>
      <c r="D1268" s="6" t="s">
        <v>1845</v>
      </c>
      <c r="E1268" s="6" t="s">
        <v>1846</v>
      </c>
      <c r="F1268" s="6" t="s">
        <v>5963</v>
      </c>
      <c r="G1268" s="6"/>
      <c r="H1268" s="6" t="s">
        <v>66</v>
      </c>
      <c r="I1268" s="6"/>
      <c r="J1268" s="6" t="s">
        <v>1847</v>
      </c>
      <c r="K1268" s="6"/>
      <c r="L1268" s="6" t="s">
        <v>1848</v>
      </c>
      <c r="M1268" s="6"/>
      <c r="N1268" s="6" t="s">
        <v>1849</v>
      </c>
      <c r="O1268" s="6" t="str">
        <f>HYPERLINK("https://ceds.ed.gov/cedselementdetails.aspx?termid=5013")</f>
        <v>https://ceds.ed.gov/cedselementdetails.aspx?termid=5013</v>
      </c>
      <c r="P1268" s="6" t="str">
        <f>HYPERLINK("https://ceds.ed.gov/elementComment.aspx?elementName=Course Aligned with Standards &amp;elementID=5013", "Click here to submit comment")</f>
        <v>Click here to submit comment</v>
      </c>
    </row>
    <row r="1269" spans="1:16" ht="330">
      <c r="A1269" s="6" t="s">
        <v>6788</v>
      </c>
      <c r="B1269" s="6" t="s">
        <v>6824</v>
      </c>
      <c r="C1269" s="6" t="s">
        <v>6790</v>
      </c>
      <c r="D1269" s="6" t="s">
        <v>165</v>
      </c>
      <c r="E1269" s="6" t="s">
        <v>166</v>
      </c>
      <c r="F1269" s="7" t="s">
        <v>6352</v>
      </c>
      <c r="G1269" s="6"/>
      <c r="H1269" s="6" t="s">
        <v>66</v>
      </c>
      <c r="I1269" s="6"/>
      <c r="J1269" s="6" t="s">
        <v>167</v>
      </c>
      <c r="K1269" s="6"/>
      <c r="L1269" s="6" t="s">
        <v>168</v>
      </c>
      <c r="M1269" s="6"/>
      <c r="N1269" s="6" t="s">
        <v>169</v>
      </c>
      <c r="O1269" s="6" t="str">
        <f>HYPERLINK("https://ceds.ed.gov/cedselementdetails.aspx?termid=5589")</f>
        <v>https://ceds.ed.gov/cedselementdetails.aspx?termid=5589</v>
      </c>
      <c r="P1269" s="6" t="str">
        <f>HYPERLINK("https://ceds.ed.gov/elementComment.aspx?elementName=Additional Credit Type &amp;elementID=5589", "Click here to submit comment")</f>
        <v>Click here to submit comment</v>
      </c>
    </row>
    <row r="1270" spans="1:16" ht="409.5">
      <c r="A1270" s="6" t="s">
        <v>6788</v>
      </c>
      <c r="B1270" s="6" t="s">
        <v>6824</v>
      </c>
      <c r="C1270" s="6" t="s">
        <v>6790</v>
      </c>
      <c r="D1270" s="6" t="s">
        <v>296</v>
      </c>
      <c r="E1270" s="6" t="s">
        <v>297</v>
      </c>
      <c r="F1270" s="7" t="s">
        <v>6369</v>
      </c>
      <c r="G1270" s="6"/>
      <c r="H1270" s="6" t="s">
        <v>54</v>
      </c>
      <c r="I1270" s="6" t="s">
        <v>106</v>
      </c>
      <c r="J1270" s="6"/>
      <c r="K1270" s="6"/>
      <c r="L1270" s="6" t="s">
        <v>298</v>
      </c>
      <c r="M1270" s="6" t="s">
        <v>299</v>
      </c>
      <c r="N1270" s="6" t="s">
        <v>300</v>
      </c>
      <c r="O1270" s="6" t="str">
        <f>HYPERLINK("https://ceds.ed.gov/cedselementdetails.aspx?termid=6244")</f>
        <v>https://ceds.ed.gov/cedselementdetails.aspx?termid=6244</v>
      </c>
      <c r="P1270" s="6" t="str">
        <f>HYPERLINK("https://ceds.ed.gov/elementComment.aspx?elementName=Advanced Placement Course Code &amp;elementID=6244", "Click here to submit comment")</f>
        <v>Click here to submit comment</v>
      </c>
    </row>
    <row r="1271" spans="1:16" ht="165">
      <c r="A1271" s="6" t="s">
        <v>6788</v>
      </c>
      <c r="B1271" s="6" t="s">
        <v>6824</v>
      </c>
      <c r="C1271" s="6" t="s">
        <v>6790</v>
      </c>
      <c r="D1271" s="6" t="s">
        <v>1487</v>
      </c>
      <c r="E1271" s="6" t="s">
        <v>1488</v>
      </c>
      <c r="F1271" s="7" t="s">
        <v>6410</v>
      </c>
      <c r="G1271" s="6"/>
      <c r="H1271" s="6" t="s">
        <v>54</v>
      </c>
      <c r="I1271" s="6"/>
      <c r="J1271" s="6"/>
      <c r="K1271" s="6" t="s">
        <v>1489</v>
      </c>
      <c r="L1271" s="6" t="s">
        <v>1490</v>
      </c>
      <c r="M1271" s="6"/>
      <c r="N1271" s="6" t="s">
        <v>1491</v>
      </c>
      <c r="O1271" s="6" t="str">
        <f>HYPERLINK("https://ceds.ed.gov/cedselementdetails.aspx?termid=6253")</f>
        <v>https://ceds.ed.gov/cedselementdetails.aspx?termid=6253</v>
      </c>
      <c r="P1271" s="6" t="str">
        <f>HYPERLINK("https://ceds.ed.gov/elementComment.aspx?elementName=Blended Learning Model Type &amp;elementID=6253", "Click here to submit comment")</f>
        <v>Click here to submit comment</v>
      </c>
    </row>
    <row r="1272" spans="1:16" ht="409.5">
      <c r="A1272" s="6" t="s">
        <v>6788</v>
      </c>
      <c r="B1272" s="6" t="s">
        <v>6824</v>
      </c>
      <c r="C1272" s="6" t="s">
        <v>6790</v>
      </c>
      <c r="D1272" s="6" t="s">
        <v>1577</v>
      </c>
      <c r="E1272" s="6" t="s">
        <v>1578</v>
      </c>
      <c r="F1272" s="7" t="s">
        <v>6415</v>
      </c>
      <c r="G1272" s="6"/>
      <c r="H1272" s="6" t="s">
        <v>54</v>
      </c>
      <c r="I1272" s="6"/>
      <c r="J1272" s="6"/>
      <c r="K1272" s="6" t="s">
        <v>1579</v>
      </c>
      <c r="L1272" s="6" t="s">
        <v>1580</v>
      </c>
      <c r="M1272" s="6"/>
      <c r="N1272" s="6" t="s">
        <v>1581</v>
      </c>
      <c r="O1272" s="6" t="str">
        <f>HYPERLINK("https://ceds.ed.gov/cedselementdetails.aspx?termid=6254")</f>
        <v>https://ceds.ed.gov/cedselementdetails.aspx?termid=6254</v>
      </c>
      <c r="P1272" s="6" t="str">
        <f>HYPERLINK("https://ceds.ed.gov/elementComment.aspx?elementName=Career Cluster &amp;elementID=6254", "Click here to submit comment")</f>
        <v>Click here to submit comment</v>
      </c>
    </row>
    <row r="1273" spans="1:16" ht="409.5">
      <c r="A1273" s="6" t="s">
        <v>6788</v>
      </c>
      <c r="B1273" s="6" t="s">
        <v>6824</v>
      </c>
      <c r="C1273" s="6" t="s">
        <v>6790</v>
      </c>
      <c r="D1273" s="6" t="s">
        <v>1850</v>
      </c>
      <c r="E1273" s="6" t="s">
        <v>1851</v>
      </c>
      <c r="F1273" s="15" t="s">
        <v>10060</v>
      </c>
      <c r="G1273" s="6"/>
      <c r="H1273" s="6" t="s">
        <v>54</v>
      </c>
      <c r="I1273" s="6"/>
      <c r="J1273" s="6"/>
      <c r="K1273" s="6" t="s">
        <v>1852</v>
      </c>
      <c r="L1273" s="6" t="s">
        <v>1853</v>
      </c>
      <c r="M1273" s="6"/>
      <c r="N1273" s="6" t="s">
        <v>1854</v>
      </c>
      <c r="O1273" s="6" t="str">
        <f>HYPERLINK("https://ceds.ed.gov/cedselementdetails.aspx?termid=6267")</f>
        <v>https://ceds.ed.gov/cedselementdetails.aspx?termid=6267</v>
      </c>
      <c r="P1273" s="6" t="str">
        <f>HYPERLINK("https://ceds.ed.gov/elementComment.aspx?elementName=Course Applicable Education Level &amp;elementID=6267", "Click here to submit comment")</f>
        <v>Click here to submit comment</v>
      </c>
    </row>
    <row r="1274" spans="1:16" ht="45">
      <c r="A1274" s="6" t="s">
        <v>6788</v>
      </c>
      <c r="B1274" s="6" t="s">
        <v>6824</v>
      </c>
      <c r="C1274" s="6" t="s">
        <v>6790</v>
      </c>
      <c r="D1274" s="6" t="s">
        <v>1859</v>
      </c>
      <c r="E1274" s="6" t="s">
        <v>1860</v>
      </c>
      <c r="F1274" s="6" t="s">
        <v>13</v>
      </c>
      <c r="G1274" s="6"/>
      <c r="H1274" s="6" t="s">
        <v>54</v>
      </c>
      <c r="I1274" s="6" t="s">
        <v>93</v>
      </c>
      <c r="J1274" s="6"/>
      <c r="K1274" s="6"/>
      <c r="L1274" s="6" t="s">
        <v>1861</v>
      </c>
      <c r="M1274" s="6"/>
      <c r="N1274" s="6" t="s">
        <v>1862</v>
      </c>
      <c r="O1274" s="6" t="str">
        <f>HYPERLINK("https://ceds.ed.gov/cedselementdetails.aspx?termid=6268")</f>
        <v>https://ceds.ed.gov/cedselementdetails.aspx?termid=6268</v>
      </c>
      <c r="P1274" s="6" t="str">
        <f>HYPERLINK("https://ceds.ed.gov/elementComment.aspx?elementName=Course Certification Description &amp;elementID=6268", "Click here to submit comment")</f>
        <v>Click here to submit comment</v>
      </c>
    </row>
    <row r="1275" spans="1:16" ht="45">
      <c r="A1275" s="6" t="s">
        <v>6788</v>
      </c>
      <c r="B1275" s="6" t="s">
        <v>6824</v>
      </c>
      <c r="C1275" s="6" t="s">
        <v>6790</v>
      </c>
      <c r="D1275" s="6" t="s">
        <v>1889</v>
      </c>
      <c r="E1275" s="6" t="s">
        <v>1890</v>
      </c>
      <c r="F1275" s="6" t="s">
        <v>13</v>
      </c>
      <c r="G1275" s="6"/>
      <c r="H1275" s="6" t="s">
        <v>66</v>
      </c>
      <c r="I1275" s="6" t="s">
        <v>106</v>
      </c>
      <c r="J1275" s="6" t="s">
        <v>1820</v>
      </c>
      <c r="K1275" s="6"/>
      <c r="L1275" s="6" t="s">
        <v>1891</v>
      </c>
      <c r="M1275" s="6"/>
      <c r="N1275" s="6" t="s">
        <v>1892</v>
      </c>
      <c r="O1275" s="6" t="str">
        <f>HYPERLINK("https://ceds.ed.gov/cedselementdetails.aspx?termid=5508")</f>
        <v>https://ceds.ed.gov/cedselementdetails.aspx?termid=5508</v>
      </c>
      <c r="P1275" s="6" t="str">
        <f>HYPERLINK("https://ceds.ed.gov/elementComment.aspx?elementName=Course Description &amp;elementID=5508", "Click here to submit comment")</f>
        <v>Click here to submit comment</v>
      </c>
    </row>
    <row r="1276" spans="1:16" ht="90">
      <c r="A1276" s="6" t="s">
        <v>6788</v>
      </c>
      <c r="B1276" s="6" t="s">
        <v>6824</v>
      </c>
      <c r="C1276" s="6" t="s">
        <v>6790</v>
      </c>
      <c r="D1276" s="6" t="s">
        <v>1901</v>
      </c>
      <c r="E1276" s="6" t="s">
        <v>1902</v>
      </c>
      <c r="F1276" s="6" t="s">
        <v>13</v>
      </c>
      <c r="G1276" s="6"/>
      <c r="H1276" s="6" t="s">
        <v>54</v>
      </c>
      <c r="I1276" s="6" t="s">
        <v>100</v>
      </c>
      <c r="J1276" s="6"/>
      <c r="K1276" s="6" t="s">
        <v>1903</v>
      </c>
      <c r="L1276" s="6" t="s">
        <v>1904</v>
      </c>
      <c r="M1276" s="6"/>
      <c r="N1276" s="6" t="s">
        <v>1905</v>
      </c>
      <c r="O1276" s="6" t="str">
        <f>HYPERLINK("https://ceds.ed.gov/cedselementdetails.aspx?termid=6272")</f>
        <v>https://ceds.ed.gov/cedselementdetails.aspx?termid=6272</v>
      </c>
      <c r="P1276" s="6" t="str">
        <f>HYPERLINK("https://ceds.ed.gov/elementComment.aspx?elementName=Course Funding Program &amp;elementID=6272", "Click here to submit comment")</f>
        <v>Click here to submit comment</v>
      </c>
    </row>
    <row r="1277" spans="1:16" ht="135">
      <c r="A1277" s="6" t="s">
        <v>6788</v>
      </c>
      <c r="B1277" s="6" t="s">
        <v>6824</v>
      </c>
      <c r="C1277" s="6" t="s">
        <v>6790</v>
      </c>
      <c r="D1277" s="6" t="s">
        <v>1915</v>
      </c>
      <c r="E1277" s="6" t="s">
        <v>1916</v>
      </c>
      <c r="F1277" s="6" t="s">
        <v>13</v>
      </c>
      <c r="G1277" s="6" t="s">
        <v>6116</v>
      </c>
      <c r="H1277" s="6" t="s">
        <v>66</v>
      </c>
      <c r="I1277" s="6" t="s">
        <v>1917</v>
      </c>
      <c r="J1277" s="6" t="s">
        <v>1918</v>
      </c>
      <c r="K1277" s="6"/>
      <c r="L1277" s="6" t="s">
        <v>1919</v>
      </c>
      <c r="M1277" s="6"/>
      <c r="N1277" s="6" t="s">
        <v>1920</v>
      </c>
      <c r="O1277" s="6" t="str">
        <f>HYPERLINK("https://ceds.ed.gov/cedselementdetails.aspx?termid=5055")</f>
        <v>https://ceds.ed.gov/cedselementdetails.aspx?termid=5055</v>
      </c>
      <c r="P1277" s="6" t="str">
        <f>HYPERLINK("https://ceds.ed.gov/elementComment.aspx?elementName=Course Identifier &amp;elementID=5055", "Click here to submit comment")</f>
        <v>Click here to submit comment</v>
      </c>
    </row>
    <row r="1278" spans="1:16" ht="75">
      <c r="A1278" s="6" t="s">
        <v>6788</v>
      </c>
      <c r="B1278" s="6" t="s">
        <v>6824</v>
      </c>
      <c r="C1278" s="6" t="s">
        <v>6790</v>
      </c>
      <c r="D1278" s="6" t="s">
        <v>1933</v>
      </c>
      <c r="E1278" s="6" t="s">
        <v>1934</v>
      </c>
      <c r="F1278" s="7" t="s">
        <v>6442</v>
      </c>
      <c r="G1278" s="6"/>
      <c r="H1278" s="6" t="s">
        <v>54</v>
      </c>
      <c r="I1278" s="6"/>
      <c r="J1278" s="6"/>
      <c r="K1278" s="6" t="s">
        <v>1935</v>
      </c>
      <c r="L1278" s="6" t="s">
        <v>1936</v>
      </c>
      <c r="M1278" s="6"/>
      <c r="N1278" s="6" t="s">
        <v>1937</v>
      </c>
      <c r="O1278" s="6" t="str">
        <f>HYPERLINK("https://ceds.ed.gov/cedselementdetails.aspx?termid=6277")</f>
        <v>https://ceds.ed.gov/cedselementdetails.aspx?termid=6277</v>
      </c>
      <c r="P1278" s="6" t="str">
        <f>HYPERLINK("https://ceds.ed.gov/elementComment.aspx?elementName=Course Interaction Mode &amp;elementID=6277", "Click here to submit comment")</f>
        <v>Click here to submit comment</v>
      </c>
    </row>
    <row r="1279" spans="1:16" ht="60">
      <c r="A1279" s="6" t="s">
        <v>6788</v>
      </c>
      <c r="B1279" s="6" t="s">
        <v>6824</v>
      </c>
      <c r="C1279" s="6" t="s">
        <v>6790</v>
      </c>
      <c r="D1279" s="6" t="s">
        <v>2633</v>
      </c>
      <c r="E1279" s="6" t="s">
        <v>2634</v>
      </c>
      <c r="F1279" s="6" t="s">
        <v>5963</v>
      </c>
      <c r="G1279" s="6"/>
      <c r="H1279" s="6" t="s">
        <v>54</v>
      </c>
      <c r="I1279" s="6"/>
      <c r="J1279" s="6"/>
      <c r="K1279" s="6"/>
      <c r="L1279" s="6" t="s">
        <v>2635</v>
      </c>
      <c r="M1279" s="6"/>
      <c r="N1279" s="6" t="s">
        <v>2636</v>
      </c>
      <c r="O1279" s="6" t="str">
        <f>HYPERLINK("https://ceds.ed.gov/cedselementdetails.aspx?termid=6311")</f>
        <v>https://ceds.ed.gov/cedselementdetails.aspx?termid=6311</v>
      </c>
      <c r="P1279" s="6" t="str">
        <f>HYPERLINK("https://ceds.ed.gov/elementComment.aspx?elementName=Family and Consumer Sciences Course Indicator &amp;elementID=6311", "Click here to submit comment")</f>
        <v>Click here to submit comment</v>
      </c>
    </row>
    <row r="1280" spans="1:16" ht="60">
      <c r="A1280" s="6" t="s">
        <v>6788</v>
      </c>
      <c r="B1280" s="6" t="s">
        <v>6824</v>
      </c>
      <c r="C1280" s="6" t="s">
        <v>6790</v>
      </c>
      <c r="D1280" s="6" t="s">
        <v>4197</v>
      </c>
      <c r="E1280" s="6" t="s">
        <v>4198</v>
      </c>
      <c r="F1280" s="6" t="s">
        <v>5963</v>
      </c>
      <c r="G1280" s="6"/>
      <c r="H1280" s="6" t="s">
        <v>54</v>
      </c>
      <c r="I1280" s="6"/>
      <c r="J1280" s="6"/>
      <c r="K1280" s="6"/>
      <c r="L1280" s="6" t="s">
        <v>4199</v>
      </c>
      <c r="M1280" s="6" t="s">
        <v>4200</v>
      </c>
      <c r="N1280" s="6" t="s">
        <v>4201</v>
      </c>
      <c r="O1280" s="6" t="str">
        <f>HYPERLINK("https://ceds.ed.gov/cedselementdetails.aspx?termid=6382")</f>
        <v>https://ceds.ed.gov/cedselementdetails.aspx?termid=6382</v>
      </c>
      <c r="P1280" s="6" t="str">
        <f>HYPERLINK("https://ceds.ed.gov/elementComment.aspx?elementName=National Collegiate Athletic Association Eligibility &amp;elementID=6382", "Click here to submit comment")</f>
        <v>Click here to submit comment</v>
      </c>
    </row>
    <row r="1281" spans="1:16" ht="135">
      <c r="A1281" s="6" t="s">
        <v>6788</v>
      </c>
      <c r="B1281" s="6" t="s">
        <v>6824</v>
      </c>
      <c r="C1281" s="6" t="s">
        <v>6825</v>
      </c>
      <c r="D1281" s="6" t="s">
        <v>1915</v>
      </c>
      <c r="E1281" s="6" t="s">
        <v>1916</v>
      </c>
      <c r="F1281" s="6" t="s">
        <v>13</v>
      </c>
      <c r="G1281" s="6" t="s">
        <v>6116</v>
      </c>
      <c r="H1281" s="6" t="s">
        <v>66</v>
      </c>
      <c r="I1281" s="6" t="s">
        <v>1917</v>
      </c>
      <c r="J1281" s="6" t="s">
        <v>1918</v>
      </c>
      <c r="K1281" s="6"/>
      <c r="L1281" s="6" t="s">
        <v>1919</v>
      </c>
      <c r="M1281" s="6"/>
      <c r="N1281" s="6" t="s">
        <v>1920</v>
      </c>
      <c r="O1281" s="6" t="str">
        <f>HYPERLINK("https://ceds.ed.gov/cedselementdetails.aspx?termid=5055")</f>
        <v>https://ceds.ed.gov/cedselementdetails.aspx?termid=5055</v>
      </c>
      <c r="P1281" s="6" t="str">
        <f>HYPERLINK("https://ceds.ed.gov/elementComment.aspx?elementName=Course Identifier &amp;elementID=5055", "Click here to submit comment")</f>
        <v>Click here to submit comment</v>
      </c>
    </row>
    <row r="1282" spans="1:16" ht="285">
      <c r="A1282" s="6" t="s">
        <v>6788</v>
      </c>
      <c r="B1282" s="6" t="s">
        <v>6824</v>
      </c>
      <c r="C1282" s="6" t="s">
        <v>6825</v>
      </c>
      <c r="D1282" s="6" t="s">
        <v>1868</v>
      </c>
      <c r="E1282" s="6" t="s">
        <v>1869</v>
      </c>
      <c r="F1282" s="7" t="s">
        <v>6435</v>
      </c>
      <c r="G1282" s="6" t="s">
        <v>6078</v>
      </c>
      <c r="H1282" s="6"/>
      <c r="I1282" s="6"/>
      <c r="J1282" s="6"/>
      <c r="K1282" s="6"/>
      <c r="L1282" s="6" t="s">
        <v>1870</v>
      </c>
      <c r="M1282" s="6"/>
      <c r="N1282" s="6" t="s">
        <v>1871</v>
      </c>
      <c r="O1282" s="6" t="str">
        <f>HYPERLINK("https://ceds.ed.gov/cedselementdetails.aspx?termid=5056")</f>
        <v>https://ceds.ed.gov/cedselementdetails.aspx?termid=5056</v>
      </c>
      <c r="P1282" s="6" t="str">
        <f>HYPERLINK("https://ceds.ed.gov/elementComment.aspx?elementName=Course Code System &amp;elementID=5056", "Click here to submit comment")</f>
        <v>Click here to submit comment</v>
      </c>
    </row>
    <row r="1283" spans="1:16" ht="225">
      <c r="A1283" s="6" t="s">
        <v>6788</v>
      </c>
      <c r="B1283" s="6" t="s">
        <v>6824</v>
      </c>
      <c r="C1283" s="6" t="s">
        <v>6825</v>
      </c>
      <c r="D1283" s="6" t="s">
        <v>2034</v>
      </c>
      <c r="E1283" s="6" t="s">
        <v>2035</v>
      </c>
      <c r="F1283" s="6" t="s">
        <v>13</v>
      </c>
      <c r="G1283" s="6" t="s">
        <v>6078</v>
      </c>
      <c r="H1283" s="6"/>
      <c r="I1283" s="6" t="s">
        <v>106</v>
      </c>
      <c r="J1283" s="6"/>
      <c r="K1283" s="6"/>
      <c r="L1283" s="6" t="s">
        <v>2036</v>
      </c>
      <c r="M1283" s="6"/>
      <c r="N1283" s="6" t="s">
        <v>2037</v>
      </c>
      <c r="O1283" s="6" t="str">
        <f>HYPERLINK("https://ceds.ed.gov/cedselementdetails.aspx?termid=5067")</f>
        <v>https://ceds.ed.gov/cedselementdetails.aspx?termid=5067</v>
      </c>
      <c r="P1283" s="6" t="str">
        <f>HYPERLINK("https://ceds.ed.gov/elementComment.aspx?elementName=Course Title &amp;elementID=5067", "Click here to submit comment")</f>
        <v>Click here to submit comment</v>
      </c>
    </row>
    <row r="1284" spans="1:16" ht="120">
      <c r="A1284" s="6" t="s">
        <v>6788</v>
      </c>
      <c r="B1284" s="6" t="s">
        <v>6824</v>
      </c>
      <c r="C1284" s="6" t="s">
        <v>6825</v>
      </c>
      <c r="D1284" s="6" t="s">
        <v>5214</v>
      </c>
      <c r="E1284" s="6" t="s">
        <v>5215</v>
      </c>
      <c r="F1284" s="6" t="s">
        <v>13</v>
      </c>
      <c r="G1284" s="6" t="s">
        <v>6078</v>
      </c>
      <c r="H1284" s="6" t="s">
        <v>66</v>
      </c>
      <c r="I1284" s="6" t="s">
        <v>2031</v>
      </c>
      <c r="J1284" s="6" t="s">
        <v>5216</v>
      </c>
      <c r="K1284" s="6" t="s">
        <v>5217</v>
      </c>
      <c r="L1284" s="6" t="s">
        <v>5218</v>
      </c>
      <c r="M1284" s="6" t="s">
        <v>5219</v>
      </c>
      <c r="N1284" s="6" t="s">
        <v>5220</v>
      </c>
      <c r="O1284" s="6" t="str">
        <f>HYPERLINK("https://ceds.ed.gov/cedselementdetails.aspx?termid=5250")</f>
        <v>https://ceds.ed.gov/cedselementdetails.aspx?termid=5250</v>
      </c>
      <c r="P1284" s="6" t="str">
        <f>HYPERLINK("https://ceds.ed.gov/elementComment.aspx?elementName=School Codes for the Exchange of Data Sequence of Course &amp;elementID=5250", "Click here to submit comment")</f>
        <v>Click here to submit comment</v>
      </c>
    </row>
    <row r="1285" spans="1:16" ht="409.5">
      <c r="A1285" s="6" t="s">
        <v>6788</v>
      </c>
      <c r="B1285" s="6" t="s">
        <v>6824</v>
      </c>
      <c r="C1285" s="6" t="s">
        <v>6825</v>
      </c>
      <c r="D1285" s="6" t="s">
        <v>1938</v>
      </c>
      <c r="E1285" s="6" t="s">
        <v>1939</v>
      </c>
      <c r="F1285" s="7" t="s">
        <v>6443</v>
      </c>
      <c r="G1285" s="6" t="s">
        <v>6116</v>
      </c>
      <c r="H1285" s="6"/>
      <c r="I1285" s="6"/>
      <c r="J1285" s="6"/>
      <c r="K1285" s="6"/>
      <c r="L1285" s="6" t="s">
        <v>1940</v>
      </c>
      <c r="M1285" s="6"/>
      <c r="N1285" s="6" t="s">
        <v>1941</v>
      </c>
      <c r="O1285" s="6" t="str">
        <f>HYPERLINK("https://ceds.ed.gov/cedselementdetails.aspx?termid=5061")</f>
        <v>https://ceds.ed.gov/cedselementdetails.aspx?termid=5061</v>
      </c>
      <c r="P1285" s="6" t="str">
        <f>HYPERLINK("https://ceds.ed.gov/elementComment.aspx?elementName=Course Level Characteristic &amp;elementID=5061", "Click here to submit comment")</f>
        <v>Click here to submit comment</v>
      </c>
    </row>
    <row r="1286" spans="1:16" ht="409.5">
      <c r="A1286" s="6" t="s">
        <v>6788</v>
      </c>
      <c r="B1286" s="6" t="s">
        <v>6824</v>
      </c>
      <c r="C1286" s="6" t="s">
        <v>6825</v>
      </c>
      <c r="D1286" s="6" t="s">
        <v>2058</v>
      </c>
      <c r="E1286" s="6" t="s">
        <v>2059</v>
      </c>
      <c r="F1286" s="7" t="s">
        <v>6451</v>
      </c>
      <c r="G1286" s="6" t="s">
        <v>5968</v>
      </c>
      <c r="H1286" s="6"/>
      <c r="I1286" s="6"/>
      <c r="J1286" s="6"/>
      <c r="K1286" s="6"/>
      <c r="L1286" s="6" t="s">
        <v>2060</v>
      </c>
      <c r="M1286" s="6"/>
      <c r="N1286" s="6" t="s">
        <v>2061</v>
      </c>
      <c r="O1286" s="6" t="str">
        <f>HYPERLINK("https://ceds.ed.gov/cedselementdetails.aspx?termid=5072")</f>
        <v>https://ceds.ed.gov/cedselementdetails.aspx?termid=5072</v>
      </c>
      <c r="P1286" s="6" t="str">
        <f>HYPERLINK("https://ceds.ed.gov/elementComment.aspx?elementName=Credit Type Earned &amp;elementID=5072", "Click here to submit comment")</f>
        <v>Click here to submit comment</v>
      </c>
    </row>
    <row r="1287" spans="1:16" ht="120">
      <c r="A1287" s="6" t="s">
        <v>6788</v>
      </c>
      <c r="B1287" s="6" t="s">
        <v>6824</v>
      </c>
      <c r="C1287" s="6" t="s">
        <v>6825</v>
      </c>
      <c r="D1287" s="6" t="s">
        <v>2941</v>
      </c>
      <c r="E1287" s="6" t="s">
        <v>2942</v>
      </c>
      <c r="F1287" s="6" t="s">
        <v>5963</v>
      </c>
      <c r="G1287" s="6" t="s">
        <v>6078</v>
      </c>
      <c r="H1287" s="6"/>
      <c r="I1287" s="6"/>
      <c r="J1287" s="6"/>
      <c r="K1287" s="6"/>
      <c r="L1287" s="6" t="s">
        <v>2943</v>
      </c>
      <c r="M1287" s="6"/>
      <c r="N1287" s="6" t="s">
        <v>2944</v>
      </c>
      <c r="O1287" s="6" t="str">
        <f>HYPERLINK("https://ceds.ed.gov/cedselementdetails.aspx?termid=5137")</f>
        <v>https://ceds.ed.gov/cedselementdetails.aspx?termid=5137</v>
      </c>
      <c r="P1287" s="6" t="str">
        <f>HYPERLINK("https://ceds.ed.gov/elementComment.aspx?elementName=High School Course Requirement &amp;elementID=5137", "Click here to submit comment")</f>
        <v>Click here to submit comment</v>
      </c>
    </row>
    <row r="1288" spans="1:16" ht="150">
      <c r="A1288" s="6" t="s">
        <v>6788</v>
      </c>
      <c r="B1288" s="6" t="s">
        <v>6824</v>
      </c>
      <c r="C1288" s="6" t="s">
        <v>6825</v>
      </c>
      <c r="D1288" s="6" t="s">
        <v>1459</v>
      </c>
      <c r="E1288" s="6" t="s">
        <v>1460</v>
      </c>
      <c r="F1288" s="6" t="s">
        <v>13</v>
      </c>
      <c r="G1288" s="6" t="s">
        <v>6078</v>
      </c>
      <c r="H1288" s="6"/>
      <c r="I1288" s="6" t="s">
        <v>1461</v>
      </c>
      <c r="J1288" s="6"/>
      <c r="K1288" s="6"/>
      <c r="L1288" s="6" t="s">
        <v>1462</v>
      </c>
      <c r="M1288" s="6"/>
      <c r="N1288" s="6" t="s">
        <v>1463</v>
      </c>
      <c r="O1288" s="6" t="str">
        <f>HYPERLINK("https://ceds.ed.gov/cedselementdetails.aspx?termid=5030")</f>
        <v>https://ceds.ed.gov/cedselementdetails.aspx?termid=5030</v>
      </c>
      <c r="P1288" s="6" t="str">
        <f>HYPERLINK("https://ceds.ed.gov/elementComment.aspx?elementName=Available Carnegie Unit Credit &amp;elementID=5030", "Click here to submit comment")</f>
        <v>Click here to submit comment</v>
      </c>
    </row>
    <row r="1289" spans="1:16" ht="120">
      <c r="A1289" s="6" t="s">
        <v>6788</v>
      </c>
      <c r="B1289" s="6" t="s">
        <v>6824</v>
      </c>
      <c r="C1289" s="6" t="s">
        <v>6825</v>
      </c>
      <c r="D1289" s="6" t="s">
        <v>1906</v>
      </c>
      <c r="E1289" s="6" t="s">
        <v>1907</v>
      </c>
      <c r="F1289" s="7" t="s">
        <v>6439</v>
      </c>
      <c r="G1289" s="6" t="s">
        <v>6078</v>
      </c>
      <c r="H1289" s="6" t="s">
        <v>66</v>
      </c>
      <c r="I1289" s="6"/>
      <c r="J1289" s="6" t="s">
        <v>1820</v>
      </c>
      <c r="K1289" s="6"/>
      <c r="L1289" s="6" t="s">
        <v>1908</v>
      </c>
      <c r="M1289" s="6" t="s">
        <v>1909</v>
      </c>
      <c r="N1289" s="6" t="s">
        <v>1910</v>
      </c>
      <c r="O1289" s="6" t="str">
        <f>HYPERLINK("https://ceds.ed.gov/cedselementdetails.aspx?termid=5060")</f>
        <v>https://ceds.ed.gov/cedselementdetails.aspx?termid=5060</v>
      </c>
      <c r="P1289" s="6" t="str">
        <f>HYPERLINK("https://ceds.ed.gov/elementComment.aspx?elementName=Course Grade Point Average Applicability &amp;elementID=5060", "Click here to submit comment")</f>
        <v>Click here to submit comment</v>
      </c>
    </row>
    <row r="1290" spans="1:16" ht="45">
      <c r="A1290" s="6" t="s">
        <v>6788</v>
      </c>
      <c r="B1290" s="6" t="s">
        <v>6824</v>
      </c>
      <c r="C1290" s="6" t="s">
        <v>6825</v>
      </c>
      <c r="D1290" s="6" t="s">
        <v>5021</v>
      </c>
      <c r="E1290" s="6" t="s">
        <v>5022</v>
      </c>
      <c r="F1290" s="6" t="s">
        <v>13</v>
      </c>
      <c r="G1290" s="6"/>
      <c r="H1290" s="6"/>
      <c r="I1290" s="6" t="s">
        <v>106</v>
      </c>
      <c r="J1290" s="6"/>
      <c r="K1290" s="6"/>
      <c r="L1290" s="6" t="s">
        <v>5023</v>
      </c>
      <c r="M1290" s="6"/>
      <c r="N1290" s="6" t="s">
        <v>5024</v>
      </c>
      <c r="O1290" s="6" t="str">
        <f>HYPERLINK("https://ceds.ed.gov/cedselementdetails.aspx?termid=5231")</f>
        <v>https://ceds.ed.gov/cedselementdetails.aspx?termid=5231</v>
      </c>
      <c r="P1290" s="6" t="str">
        <f>HYPERLINK("https://ceds.ed.gov/elementComment.aspx?elementName=Related Learning Standards &amp;elementID=5231", "Click here to submit comment")</f>
        <v>Click here to submit comment</v>
      </c>
    </row>
    <row r="1291" spans="1:16" ht="409.5">
      <c r="A1291" s="6" t="s">
        <v>6788</v>
      </c>
      <c r="B1291" s="6" t="s">
        <v>6824</v>
      </c>
      <c r="C1291" s="6" t="s">
        <v>6825</v>
      </c>
      <c r="D1291" s="6" t="s">
        <v>1966</v>
      </c>
      <c r="E1291" s="6" t="s">
        <v>1967</v>
      </c>
      <c r="F1291" s="7" t="s">
        <v>6398</v>
      </c>
      <c r="G1291" s="6" t="s">
        <v>6121</v>
      </c>
      <c r="H1291" s="6" t="s">
        <v>66</v>
      </c>
      <c r="I1291" s="6"/>
      <c r="J1291" s="6" t="s">
        <v>1968</v>
      </c>
      <c r="K1291" s="6"/>
      <c r="L1291" s="6" t="s">
        <v>1969</v>
      </c>
      <c r="M1291" s="6"/>
      <c r="N1291" s="6" t="s">
        <v>1970</v>
      </c>
      <c r="O1291" s="6" t="str">
        <f>HYPERLINK("https://ceds.ed.gov/cedselementdetails.aspx?termid=5027")</f>
        <v>https://ceds.ed.gov/cedselementdetails.aspx?termid=5027</v>
      </c>
      <c r="P1291" s="6" t="str">
        <f>HYPERLINK("https://ceds.ed.gov/elementComment.aspx?elementName=Course Section Assessment Reporting Method &amp;elementID=5027", "Click here to submit comment")</f>
        <v>Click here to submit comment</v>
      </c>
    </row>
    <row r="1292" spans="1:16" ht="135">
      <c r="A1292" s="6" t="s">
        <v>6788</v>
      </c>
      <c r="B1292" s="6" t="s">
        <v>6824</v>
      </c>
      <c r="C1292" s="6" t="s">
        <v>6805</v>
      </c>
      <c r="D1292" s="6" t="s">
        <v>5614</v>
      </c>
      <c r="E1292" s="6" t="s">
        <v>5615</v>
      </c>
      <c r="F1292" s="6" t="s">
        <v>13</v>
      </c>
      <c r="G1292" s="6" t="s">
        <v>6330</v>
      </c>
      <c r="H1292" s="6"/>
      <c r="I1292" s="6" t="s">
        <v>100</v>
      </c>
      <c r="J1292" s="6"/>
      <c r="K1292" s="6"/>
      <c r="L1292" s="6" t="s">
        <v>5616</v>
      </c>
      <c r="M1292" s="6"/>
      <c r="N1292" s="6" t="s">
        <v>5617</v>
      </c>
      <c r="O1292" s="6" t="str">
        <f>HYPERLINK("https://ceds.ed.gov/cedselementdetails.aspx?termid=5157")</f>
        <v>https://ceds.ed.gov/cedselementdetails.aspx?termid=5157</v>
      </c>
      <c r="P1292" s="6" t="str">
        <f>HYPERLINK("https://ceds.ed.gov/elementComment.aspx?elementName=Student Identifier &amp;elementID=5157", "Click here to submit comment")</f>
        <v>Click here to submit comment</v>
      </c>
    </row>
    <row r="1293" spans="1:16" ht="285">
      <c r="A1293" s="6" t="s">
        <v>6788</v>
      </c>
      <c r="B1293" s="6" t="s">
        <v>6824</v>
      </c>
      <c r="C1293" s="6" t="s">
        <v>6805</v>
      </c>
      <c r="D1293" s="6" t="s">
        <v>5610</v>
      </c>
      <c r="E1293" s="6" t="s">
        <v>5611</v>
      </c>
      <c r="F1293" s="7" t="s">
        <v>6665</v>
      </c>
      <c r="G1293" s="6" t="s">
        <v>6330</v>
      </c>
      <c r="H1293" s="6"/>
      <c r="I1293" s="6"/>
      <c r="J1293" s="6"/>
      <c r="K1293" s="6"/>
      <c r="L1293" s="6" t="s">
        <v>5612</v>
      </c>
      <c r="M1293" s="6"/>
      <c r="N1293" s="6" t="s">
        <v>5613</v>
      </c>
      <c r="O1293" s="6" t="str">
        <f>HYPERLINK("https://ceds.ed.gov/cedselementdetails.aspx?termid=5163")</f>
        <v>https://ceds.ed.gov/cedselementdetails.aspx?termid=5163</v>
      </c>
      <c r="P1293" s="6" t="str">
        <f>HYPERLINK("https://ceds.ed.gov/elementComment.aspx?elementName=Student Identification System &amp;elementID=5163", "Click here to submit comment")</f>
        <v>Click here to submit comment</v>
      </c>
    </row>
    <row r="1294" spans="1:16" ht="165">
      <c r="A1294" s="6" t="s">
        <v>6788</v>
      </c>
      <c r="B1294" s="6" t="s">
        <v>6824</v>
      </c>
      <c r="C1294" s="6" t="s">
        <v>6805</v>
      </c>
      <c r="D1294" s="6" t="s">
        <v>2554</v>
      </c>
      <c r="E1294" s="6" t="s">
        <v>2555</v>
      </c>
      <c r="F1294" s="6" t="s">
        <v>13</v>
      </c>
      <c r="G1294" s="6" t="s">
        <v>6159</v>
      </c>
      <c r="H1294" s="6"/>
      <c r="I1294" s="6" t="s">
        <v>73</v>
      </c>
      <c r="J1294" s="6"/>
      <c r="K1294" s="6"/>
      <c r="L1294" s="6" t="s">
        <v>2556</v>
      </c>
      <c r="M1294" s="6"/>
      <c r="N1294" s="6" t="s">
        <v>2557</v>
      </c>
      <c r="O1294" s="6" t="str">
        <f>HYPERLINK("https://ceds.ed.gov/cedselementdetails.aspx?termid=5097")</f>
        <v>https://ceds.ed.gov/cedselementdetails.aspx?termid=5097</v>
      </c>
      <c r="P1294" s="6" t="str">
        <f>HYPERLINK("https://ceds.ed.gov/elementComment.aspx?elementName=Enrollment Entry Date &amp;elementID=5097", "Click here to submit comment")</f>
        <v>Click here to submit comment</v>
      </c>
    </row>
    <row r="1295" spans="1:16" ht="60">
      <c r="A1295" s="6" t="s">
        <v>6788</v>
      </c>
      <c r="B1295" s="6" t="s">
        <v>6824</v>
      </c>
      <c r="C1295" s="6" t="s">
        <v>6805</v>
      </c>
      <c r="D1295" s="6" t="s">
        <v>1988</v>
      </c>
      <c r="E1295" s="6" t="s">
        <v>1989</v>
      </c>
      <c r="F1295" s="7" t="s">
        <v>6446</v>
      </c>
      <c r="G1295" s="6" t="s">
        <v>1990</v>
      </c>
      <c r="H1295" s="6" t="s">
        <v>66</v>
      </c>
      <c r="I1295" s="6"/>
      <c r="J1295" s="6" t="s">
        <v>1991</v>
      </c>
      <c r="K1295" s="6"/>
      <c r="L1295" s="6" t="s">
        <v>1992</v>
      </c>
      <c r="M1295" s="6"/>
      <c r="N1295" s="6" t="s">
        <v>1993</v>
      </c>
      <c r="O1295" s="6" t="str">
        <f>HYPERLINK("https://ceds.ed.gov/cedselementdetails.aspx?termid=5652")</f>
        <v>https://ceds.ed.gov/cedselementdetails.aspx?termid=5652</v>
      </c>
      <c r="P1295" s="6" t="str">
        <f>HYPERLINK("https://ceds.ed.gov/elementComment.aspx?elementName=Course Section Entry Type &amp;elementID=5652", "Click here to submit comment")</f>
        <v>Click here to submit comment</v>
      </c>
    </row>
    <row r="1296" spans="1:16" ht="285">
      <c r="A1296" s="6" t="s">
        <v>6788</v>
      </c>
      <c r="B1296" s="6" t="s">
        <v>6824</v>
      </c>
      <c r="C1296" s="6" t="s">
        <v>6805</v>
      </c>
      <c r="D1296" s="6" t="s">
        <v>1994</v>
      </c>
      <c r="E1296" s="6" t="s">
        <v>1995</v>
      </c>
      <c r="F1296" s="7" t="s">
        <v>6447</v>
      </c>
      <c r="G1296" s="6" t="s">
        <v>1990</v>
      </c>
      <c r="H1296" s="6" t="s">
        <v>66</v>
      </c>
      <c r="I1296" s="6"/>
      <c r="J1296" s="6" t="s">
        <v>1996</v>
      </c>
      <c r="K1296" s="6"/>
      <c r="L1296" s="6" t="s">
        <v>1997</v>
      </c>
      <c r="M1296" s="6"/>
      <c r="N1296" s="6" t="s">
        <v>1998</v>
      </c>
      <c r="O1296" s="6" t="str">
        <f>HYPERLINK("https://ceds.ed.gov/cedselementdetails.aspx?termid=5654")</f>
        <v>https://ceds.ed.gov/cedselementdetails.aspx?termid=5654</v>
      </c>
      <c r="P1296" s="6" t="str">
        <f>HYPERLINK("https://ceds.ed.gov/elementComment.aspx?elementName=Course Section Exit Type &amp;elementID=5654", "Click here to submit comment")</f>
        <v>Click here to submit comment</v>
      </c>
    </row>
    <row r="1297" spans="1:16" ht="45">
      <c r="A1297" s="6" t="s">
        <v>6788</v>
      </c>
      <c r="B1297" s="6" t="s">
        <v>6824</v>
      </c>
      <c r="C1297" s="6" t="s">
        <v>6805</v>
      </c>
      <c r="D1297" s="6" t="s">
        <v>1999</v>
      </c>
      <c r="E1297" s="6" t="s">
        <v>2000</v>
      </c>
      <c r="F1297" s="6" t="s">
        <v>13</v>
      </c>
      <c r="G1297" s="6" t="s">
        <v>1990</v>
      </c>
      <c r="H1297" s="6" t="s">
        <v>66</v>
      </c>
      <c r="I1297" s="6" t="s">
        <v>73</v>
      </c>
      <c r="J1297" s="6" t="s">
        <v>2001</v>
      </c>
      <c r="K1297" s="6"/>
      <c r="L1297" s="6" t="s">
        <v>2002</v>
      </c>
      <c r="M1297" s="6"/>
      <c r="N1297" s="6" t="s">
        <v>2003</v>
      </c>
      <c r="O1297" s="6" t="str">
        <f>HYPERLINK("https://ceds.ed.gov/cedselementdetails.aspx?termid=5653")</f>
        <v>https://ceds.ed.gov/cedselementdetails.aspx?termid=5653</v>
      </c>
      <c r="P1297" s="6" t="str">
        <f>HYPERLINK("https://ceds.ed.gov/elementComment.aspx?elementName=Course Section Exit Withdrawal Date &amp;elementID=5653", "Click here to submit comment")</f>
        <v>Click here to submit comment</v>
      </c>
    </row>
    <row r="1298" spans="1:16" ht="60">
      <c r="A1298" s="6" t="s">
        <v>6788</v>
      </c>
      <c r="B1298" s="6" t="s">
        <v>6824</v>
      </c>
      <c r="C1298" s="6" t="s">
        <v>6805</v>
      </c>
      <c r="D1298" s="6" t="s">
        <v>2586</v>
      </c>
      <c r="E1298" s="6" t="s">
        <v>2587</v>
      </c>
      <c r="F1298" s="6" t="s">
        <v>6163</v>
      </c>
      <c r="G1298" s="6" t="s">
        <v>1990</v>
      </c>
      <c r="H1298" s="6"/>
      <c r="I1298" s="6"/>
      <c r="J1298" s="6"/>
      <c r="K1298" s="6"/>
      <c r="L1298" s="6" t="s">
        <v>2588</v>
      </c>
      <c r="M1298" s="6"/>
      <c r="N1298" s="6" t="s">
        <v>2589</v>
      </c>
      <c r="O1298" s="6" t="str">
        <f>HYPERLINK("https://ceds.ed.gov/cedselementdetails.aspx?termid=5108")</f>
        <v>https://ceds.ed.gov/cedselementdetails.aspx?termid=5108</v>
      </c>
      <c r="P1298" s="6" t="str">
        <f>HYPERLINK("https://ceds.ed.gov/elementComment.aspx?elementName=Exit or Withdrawal Status &amp;elementID=5108", "Click here to submit comment")</f>
        <v>Click here to submit comment</v>
      </c>
    </row>
    <row r="1299" spans="1:16" ht="345">
      <c r="A1299" s="6" t="s">
        <v>6788</v>
      </c>
      <c r="B1299" s="6" t="s">
        <v>6824</v>
      </c>
      <c r="C1299" s="6" t="s">
        <v>6805</v>
      </c>
      <c r="D1299" s="6" t="s">
        <v>2851</v>
      </c>
      <c r="E1299" s="6" t="s">
        <v>2852</v>
      </c>
      <c r="F1299" s="7" t="s">
        <v>6499</v>
      </c>
      <c r="G1299" s="6" t="s">
        <v>5968</v>
      </c>
      <c r="H1299" s="6"/>
      <c r="I1299" s="6"/>
      <c r="J1299" s="6"/>
      <c r="K1299" s="6"/>
      <c r="L1299" s="6" t="s">
        <v>2853</v>
      </c>
      <c r="M1299" s="6"/>
      <c r="N1299" s="6" t="s">
        <v>2854</v>
      </c>
      <c r="O1299" s="6" t="str">
        <f>HYPERLINK("https://ceds.ed.gov/cedselementdetails.aspx?termid=5125")</f>
        <v>https://ceds.ed.gov/cedselementdetails.aspx?termid=5125</v>
      </c>
      <c r="P1299" s="6" t="str">
        <f>HYPERLINK("https://ceds.ed.gov/elementComment.aspx?elementName=Grade Level When Course Taken &amp;elementID=5125", "Click here to submit comment")</f>
        <v>Click here to submit comment</v>
      </c>
    </row>
    <row r="1300" spans="1:16" ht="120">
      <c r="A1300" s="6" t="s">
        <v>6788</v>
      </c>
      <c r="B1300" s="6" t="s">
        <v>6824</v>
      </c>
      <c r="C1300" s="6" t="s">
        <v>6805</v>
      </c>
      <c r="D1300" s="6" t="s">
        <v>1978</v>
      </c>
      <c r="E1300" s="6" t="s">
        <v>1979</v>
      </c>
      <c r="F1300" s="6" t="s">
        <v>13</v>
      </c>
      <c r="G1300" s="6"/>
      <c r="H1300" s="6"/>
      <c r="I1300" s="6" t="s">
        <v>73</v>
      </c>
      <c r="J1300" s="6" t="s">
        <v>1980</v>
      </c>
      <c r="K1300" s="6" t="s">
        <v>1975</v>
      </c>
      <c r="L1300" s="6" t="s">
        <v>1981</v>
      </c>
      <c r="M1300" s="6"/>
      <c r="N1300" s="6" t="s">
        <v>1982</v>
      </c>
      <c r="O1300" s="6" t="str">
        <f>HYPERLINK("https://ceds.ed.gov/cedselementdetails.aspx?termid=5975")</f>
        <v>https://ceds.ed.gov/cedselementdetails.aspx?termid=5975</v>
      </c>
      <c r="P1300" s="6" t="str">
        <f>HYPERLINK("https://ceds.ed.gov/elementComment.aspx?elementName=Course Section Enrollment Status Start Date &amp;elementID=5975", "Click here to submit comment")</f>
        <v>Click here to submit comment</v>
      </c>
    </row>
    <row r="1301" spans="1:16" ht="120">
      <c r="A1301" s="6" t="s">
        <v>6788</v>
      </c>
      <c r="B1301" s="6" t="s">
        <v>6824</v>
      </c>
      <c r="C1301" s="6" t="s">
        <v>6805</v>
      </c>
      <c r="D1301" s="6" t="s">
        <v>1971</v>
      </c>
      <c r="E1301" s="6" t="s">
        <v>1972</v>
      </c>
      <c r="F1301" s="6" t="s">
        <v>13</v>
      </c>
      <c r="G1301" s="6"/>
      <c r="H1301" s="6" t="s">
        <v>66</v>
      </c>
      <c r="I1301" s="6" t="s">
        <v>73</v>
      </c>
      <c r="J1301" s="6" t="s">
        <v>1974</v>
      </c>
      <c r="K1301" s="6" t="s">
        <v>1975</v>
      </c>
      <c r="L1301" s="6" t="s">
        <v>1976</v>
      </c>
      <c r="M1301" s="6"/>
      <c r="N1301" s="6" t="s">
        <v>1977</v>
      </c>
      <c r="O1301" s="6" t="str">
        <f>HYPERLINK("https://ceds.ed.gov/cedselementdetails.aspx?termid=5976")</f>
        <v>https://ceds.ed.gov/cedselementdetails.aspx?termid=5976</v>
      </c>
      <c r="P1301" s="6" t="str">
        <f>HYPERLINK("https://ceds.ed.gov/elementComment.aspx?elementName=Course Section Enrollment Status End Date &amp;elementID=5976", "Click here to submit comment")</f>
        <v>Click here to submit comment</v>
      </c>
    </row>
    <row r="1302" spans="1:16" ht="120">
      <c r="A1302" s="6" t="s">
        <v>6788</v>
      </c>
      <c r="B1302" s="6" t="s">
        <v>6824</v>
      </c>
      <c r="C1302" s="6" t="s">
        <v>6805</v>
      </c>
      <c r="D1302" s="6" t="s">
        <v>1983</v>
      </c>
      <c r="E1302" s="6" t="s">
        <v>1984</v>
      </c>
      <c r="F1302" s="6" t="s">
        <v>6122</v>
      </c>
      <c r="G1302" s="6"/>
      <c r="H1302" s="6" t="s">
        <v>66</v>
      </c>
      <c r="I1302" s="6"/>
      <c r="J1302" s="6" t="s">
        <v>1985</v>
      </c>
      <c r="K1302" s="6" t="s">
        <v>1975</v>
      </c>
      <c r="L1302" s="6" t="s">
        <v>1986</v>
      </c>
      <c r="M1302" s="6"/>
      <c r="N1302" s="6" t="s">
        <v>1987</v>
      </c>
      <c r="O1302" s="6" t="str">
        <f>HYPERLINK("https://ceds.ed.gov/cedselementdetails.aspx?termid=5977")</f>
        <v>https://ceds.ed.gov/cedselementdetails.aspx?termid=5977</v>
      </c>
      <c r="P1302" s="6" t="str">
        <f>HYPERLINK("https://ceds.ed.gov/elementComment.aspx?elementName=Course Section Enrollment Status Type &amp;elementID=5977", "Click here to submit comment")</f>
        <v>Click here to submit comment</v>
      </c>
    </row>
    <row r="1303" spans="1:16" ht="255">
      <c r="A1303" s="6" t="s">
        <v>6788</v>
      </c>
      <c r="B1303" s="6" t="s">
        <v>6824</v>
      </c>
      <c r="C1303" s="6" t="s">
        <v>6805</v>
      </c>
      <c r="D1303" s="6" t="s">
        <v>4269</v>
      </c>
      <c r="E1303" s="6" t="s">
        <v>4270</v>
      </c>
      <c r="F1303" s="6" t="s">
        <v>13</v>
      </c>
      <c r="G1303" s="6" t="s">
        <v>6263</v>
      </c>
      <c r="H1303" s="6"/>
      <c r="I1303" s="6" t="s">
        <v>1461</v>
      </c>
      <c r="J1303" s="6"/>
      <c r="K1303" s="6" t="s">
        <v>4271</v>
      </c>
      <c r="L1303" s="6" t="s">
        <v>4272</v>
      </c>
      <c r="M1303" s="6"/>
      <c r="N1303" s="6" t="s">
        <v>4273</v>
      </c>
      <c r="O1303" s="6" t="str">
        <f>HYPERLINK("https://ceds.ed.gov/cedselementdetails.aspx?termid=5202")</f>
        <v>https://ceds.ed.gov/cedselementdetails.aspx?termid=5202</v>
      </c>
      <c r="P1303" s="6" t="str">
        <f>HYPERLINK("https://ceds.ed.gov/elementComment.aspx?elementName=Number of Days in Attendance &amp;elementID=5202", "Click here to submit comment")</f>
        <v>Click here to submit comment</v>
      </c>
    </row>
    <row r="1304" spans="1:16" ht="120">
      <c r="A1304" s="6" t="s">
        <v>6788</v>
      </c>
      <c r="B1304" s="6" t="s">
        <v>6824</v>
      </c>
      <c r="C1304" s="6" t="s">
        <v>6805</v>
      </c>
      <c r="D1304" s="6" t="s">
        <v>4261</v>
      </c>
      <c r="E1304" s="6" t="s">
        <v>4262</v>
      </c>
      <c r="F1304" s="6" t="s">
        <v>13</v>
      </c>
      <c r="G1304" s="6" t="s">
        <v>6261</v>
      </c>
      <c r="H1304" s="6"/>
      <c r="I1304" s="6" t="s">
        <v>1461</v>
      </c>
      <c r="J1304" s="6"/>
      <c r="K1304" s="6"/>
      <c r="L1304" s="6" t="s">
        <v>4263</v>
      </c>
      <c r="M1304" s="6"/>
      <c r="N1304" s="6" t="s">
        <v>4264</v>
      </c>
      <c r="O1304" s="6" t="str">
        <f>HYPERLINK("https://ceds.ed.gov/cedselementdetails.aspx?termid=5201")</f>
        <v>https://ceds.ed.gov/cedselementdetails.aspx?termid=5201</v>
      </c>
      <c r="P1304" s="6" t="str">
        <f>HYPERLINK("https://ceds.ed.gov/elementComment.aspx?elementName=Number of Days Absent &amp;elementID=5201", "Click here to submit comment")</f>
        <v>Click here to submit comment</v>
      </c>
    </row>
    <row r="1305" spans="1:16" ht="90">
      <c r="A1305" s="6" t="s">
        <v>6788</v>
      </c>
      <c r="B1305" s="6" t="s">
        <v>6824</v>
      </c>
      <c r="C1305" s="6" t="s">
        <v>6805</v>
      </c>
      <c r="D1305" s="6" t="s">
        <v>4253</v>
      </c>
      <c r="E1305" s="6" t="s">
        <v>4254</v>
      </c>
      <c r="F1305" s="6" t="s">
        <v>13</v>
      </c>
      <c r="G1305" s="6" t="s">
        <v>5968</v>
      </c>
      <c r="H1305" s="6"/>
      <c r="I1305" s="6" t="s">
        <v>1461</v>
      </c>
      <c r="J1305" s="6"/>
      <c r="K1305" s="6"/>
      <c r="L1305" s="6" t="s">
        <v>4255</v>
      </c>
      <c r="M1305" s="6"/>
      <c r="N1305" s="6" t="s">
        <v>4256</v>
      </c>
      <c r="O1305" s="6" t="str">
        <f>HYPERLINK("https://ceds.ed.gov/cedselementdetails.aspx?termid=5199")</f>
        <v>https://ceds.ed.gov/cedselementdetails.aspx?termid=5199</v>
      </c>
      <c r="P1305" s="6" t="str">
        <f>HYPERLINK("https://ceds.ed.gov/elementComment.aspx?elementName=Number of Credits Attempted &amp;elementID=5199", "Click here to submit comment")</f>
        <v>Click here to submit comment</v>
      </c>
    </row>
    <row r="1306" spans="1:16" ht="120">
      <c r="A1306" s="6" t="s">
        <v>6788</v>
      </c>
      <c r="B1306" s="6" t="s">
        <v>6824</v>
      </c>
      <c r="C1306" s="6" t="s">
        <v>6805</v>
      </c>
      <c r="D1306" s="6" t="s">
        <v>4257</v>
      </c>
      <c r="E1306" s="6" t="s">
        <v>4258</v>
      </c>
      <c r="F1306" s="6" t="s">
        <v>13</v>
      </c>
      <c r="G1306" s="6" t="s">
        <v>6252</v>
      </c>
      <c r="H1306" s="6" t="s">
        <v>66</v>
      </c>
      <c r="I1306" s="6" t="s">
        <v>1461</v>
      </c>
      <c r="J1306" s="6" t="s">
        <v>1820</v>
      </c>
      <c r="K1306" s="6"/>
      <c r="L1306" s="6" t="s">
        <v>4259</v>
      </c>
      <c r="M1306" s="6"/>
      <c r="N1306" s="6" t="s">
        <v>4260</v>
      </c>
      <c r="O1306" s="6" t="str">
        <f>HYPERLINK("https://ceds.ed.gov/cedselementdetails.aspx?termid=5200")</f>
        <v>https://ceds.ed.gov/cedselementdetails.aspx?termid=5200</v>
      </c>
      <c r="P1306" s="6" t="str">
        <f>HYPERLINK("https://ceds.ed.gov/elementComment.aspx?elementName=Number of Credits Earned &amp;elementID=5200", "Click here to submit comment")</f>
        <v>Click here to submit comment</v>
      </c>
    </row>
    <row r="1307" spans="1:16" ht="165">
      <c r="A1307" s="6" t="s">
        <v>6788</v>
      </c>
      <c r="B1307" s="6" t="s">
        <v>6824</v>
      </c>
      <c r="C1307" s="6" t="s">
        <v>6805</v>
      </c>
      <c r="D1307" s="6" t="s">
        <v>5049</v>
      </c>
      <c r="E1307" s="6" t="s">
        <v>5050</v>
      </c>
      <c r="F1307" s="7" t="s">
        <v>6641</v>
      </c>
      <c r="G1307" s="6" t="s">
        <v>218</v>
      </c>
      <c r="H1307" s="6" t="s">
        <v>3</v>
      </c>
      <c r="I1307" s="6"/>
      <c r="J1307" s="6"/>
      <c r="K1307" s="6"/>
      <c r="L1307" s="6" t="s">
        <v>5051</v>
      </c>
      <c r="M1307" s="6"/>
      <c r="N1307" s="6" t="s">
        <v>5052</v>
      </c>
      <c r="O1307" s="6" t="str">
        <f>HYPERLINK("https://ceds.ed.gov/cedselementdetails.aspx?termid=5587")</f>
        <v>https://ceds.ed.gov/cedselementdetails.aspx?termid=5587</v>
      </c>
      <c r="P1307" s="6" t="str">
        <f>HYPERLINK("https://ceds.ed.gov/elementComment.aspx?elementName=Responsible District Type &amp;elementID=5587", "Click here to submit comment")</f>
        <v>Click here to submit comment</v>
      </c>
    </row>
    <row r="1308" spans="1:16" ht="165">
      <c r="A1308" s="6" t="s">
        <v>6788</v>
      </c>
      <c r="B1308" s="6" t="s">
        <v>6824</v>
      </c>
      <c r="C1308" s="6" t="s">
        <v>6805</v>
      </c>
      <c r="D1308" s="6" t="s">
        <v>5070</v>
      </c>
      <c r="E1308" s="6" t="s">
        <v>5071</v>
      </c>
      <c r="F1308" s="7" t="s">
        <v>6641</v>
      </c>
      <c r="G1308" s="6" t="s">
        <v>218</v>
      </c>
      <c r="H1308" s="6" t="s">
        <v>66</v>
      </c>
      <c r="I1308" s="6"/>
      <c r="J1308" s="6" t="s">
        <v>94</v>
      </c>
      <c r="K1308" s="6"/>
      <c r="L1308" s="6" t="s">
        <v>5072</v>
      </c>
      <c r="M1308" s="6"/>
      <c r="N1308" s="6" t="s">
        <v>5073</v>
      </c>
      <c r="O1308" s="6" t="str">
        <f>HYPERLINK("https://ceds.ed.gov/cedselementdetails.aspx?termid=5588")</f>
        <v>https://ceds.ed.gov/cedselementdetails.aspx?termid=5588</v>
      </c>
      <c r="P1308" s="6" t="str">
        <f>HYPERLINK("https://ceds.ed.gov/elementComment.aspx?elementName=Responsible School Type &amp;elementID=5588", "Click here to submit comment")</f>
        <v>Click here to submit comment</v>
      </c>
    </row>
    <row r="1309" spans="1:16" ht="90">
      <c r="A1309" s="6" t="s">
        <v>6788</v>
      </c>
      <c r="B1309" s="6" t="s">
        <v>6824</v>
      </c>
      <c r="C1309" s="6" t="s">
        <v>6826</v>
      </c>
      <c r="D1309" s="6" t="s">
        <v>4064</v>
      </c>
      <c r="E1309" s="6" t="s">
        <v>4065</v>
      </c>
      <c r="F1309" s="6" t="s">
        <v>13</v>
      </c>
      <c r="G1309" s="6" t="s">
        <v>5968</v>
      </c>
      <c r="H1309" s="6"/>
      <c r="I1309" s="6" t="s">
        <v>100</v>
      </c>
      <c r="J1309" s="6"/>
      <c r="K1309" s="6"/>
      <c r="L1309" s="6" t="s">
        <v>4067</v>
      </c>
      <c r="M1309" s="6"/>
      <c r="N1309" s="6" t="s">
        <v>4068</v>
      </c>
      <c r="O1309" s="6" t="str">
        <f>HYPERLINK("https://ceds.ed.gov/cedselementdetails.aspx?termid=5182")</f>
        <v>https://ceds.ed.gov/cedselementdetails.aspx?termid=5182</v>
      </c>
      <c r="P1309" s="6" t="str">
        <f>HYPERLINK("https://ceds.ed.gov/elementComment.aspx?elementName=Marking Period Name &amp;elementID=5182", "Click here to submit comment")</f>
        <v>Click here to submit comment</v>
      </c>
    </row>
    <row r="1310" spans="1:16" ht="45">
      <c r="A1310" s="6" t="s">
        <v>6788</v>
      </c>
      <c r="B1310" s="6" t="s">
        <v>6824</v>
      </c>
      <c r="C1310" s="6" t="s">
        <v>6826</v>
      </c>
      <c r="D1310" s="6" t="s">
        <v>5605</v>
      </c>
      <c r="E1310" s="6" t="s">
        <v>5606</v>
      </c>
      <c r="F1310" s="6" t="s">
        <v>5963</v>
      </c>
      <c r="G1310" s="6"/>
      <c r="H1310" s="6" t="s">
        <v>66</v>
      </c>
      <c r="I1310" s="6"/>
      <c r="J1310" s="6" t="s">
        <v>5607</v>
      </c>
      <c r="K1310" s="6"/>
      <c r="L1310" s="6" t="s">
        <v>5608</v>
      </c>
      <c r="M1310" s="6"/>
      <c r="N1310" s="6" t="s">
        <v>5609</v>
      </c>
      <c r="O1310" s="6" t="str">
        <f>HYPERLINK("https://ceds.ed.gov/cedselementdetails.aspx?termid=6191")</f>
        <v>https://ceds.ed.gov/cedselementdetails.aspx?termid=6191</v>
      </c>
      <c r="P1310" s="6" t="str">
        <f>HYPERLINK("https://ceds.ed.gov/elementComment.aspx?elementName=Student Course Section Mark Final Indicator &amp;elementID=6191", "Click here to submit comment")</f>
        <v>Click here to submit comment</v>
      </c>
    </row>
    <row r="1311" spans="1:16" ht="90">
      <c r="A1311" s="6" t="s">
        <v>6788</v>
      </c>
      <c r="B1311" s="6" t="s">
        <v>6824</v>
      </c>
      <c r="C1311" s="6" t="s">
        <v>6826</v>
      </c>
      <c r="D1311" s="6" t="s">
        <v>2842</v>
      </c>
      <c r="E1311" s="6" t="s">
        <v>2843</v>
      </c>
      <c r="F1311" s="6" t="s">
        <v>13</v>
      </c>
      <c r="G1311" s="6" t="s">
        <v>5968</v>
      </c>
      <c r="H1311" s="6"/>
      <c r="I1311" s="6" t="s">
        <v>2844</v>
      </c>
      <c r="J1311" s="6"/>
      <c r="K1311" s="6"/>
      <c r="L1311" s="6" t="s">
        <v>2845</v>
      </c>
      <c r="M1311" s="6"/>
      <c r="N1311" s="6" t="s">
        <v>2846</v>
      </c>
      <c r="O1311" s="6" t="str">
        <f>HYPERLINK("https://ceds.ed.gov/cedselementdetails.aspx?termid=5124")</f>
        <v>https://ceds.ed.gov/cedselementdetails.aspx?termid=5124</v>
      </c>
      <c r="P1311" s="6" t="str">
        <f>HYPERLINK("https://ceds.ed.gov/elementComment.aspx?elementName=Grade Earned &amp;elementID=5124", "Click here to submit comment")</f>
        <v>Click here to submit comment</v>
      </c>
    </row>
    <row r="1312" spans="1:16" ht="90">
      <c r="A1312" s="6" t="s">
        <v>6788</v>
      </c>
      <c r="B1312" s="6" t="s">
        <v>6824</v>
      </c>
      <c r="C1312" s="6" t="s">
        <v>6826</v>
      </c>
      <c r="D1312" s="6" t="s">
        <v>4083</v>
      </c>
      <c r="E1312" s="6" t="s">
        <v>4084</v>
      </c>
      <c r="F1312" s="6" t="s">
        <v>13</v>
      </c>
      <c r="G1312" s="6" t="s">
        <v>5968</v>
      </c>
      <c r="H1312" s="6"/>
      <c r="I1312" s="6" t="s">
        <v>4085</v>
      </c>
      <c r="J1312" s="6"/>
      <c r="K1312" s="6"/>
      <c r="L1312" s="6" t="s">
        <v>4086</v>
      </c>
      <c r="M1312" s="6"/>
      <c r="N1312" s="6" t="s">
        <v>4087</v>
      </c>
      <c r="O1312" s="6" t="str">
        <f>HYPERLINK("https://ceds.ed.gov/cedselementdetails.aspx?termid=5183")</f>
        <v>https://ceds.ed.gov/cedselementdetails.aspx?termid=5183</v>
      </c>
      <c r="P1312" s="6" t="str">
        <f>HYPERLINK("https://ceds.ed.gov/elementComment.aspx?elementName=Mid Term Mark &amp;elementID=5183", "Click here to submit comment")</f>
        <v>Click here to submit comment</v>
      </c>
    </row>
    <row r="1313" spans="1:16" ht="135">
      <c r="A1313" s="6" t="s">
        <v>6788</v>
      </c>
      <c r="B1313" s="6" t="s">
        <v>6824</v>
      </c>
      <c r="C1313" s="6" t="s">
        <v>6826</v>
      </c>
      <c r="D1313" s="6" t="s">
        <v>2886</v>
      </c>
      <c r="E1313" s="6" t="s">
        <v>2887</v>
      </c>
      <c r="F1313" s="6" t="s">
        <v>13</v>
      </c>
      <c r="G1313" s="6"/>
      <c r="H1313" s="6"/>
      <c r="I1313" s="6" t="s">
        <v>745</v>
      </c>
      <c r="J1313" s="6"/>
      <c r="K1313" s="6" t="s">
        <v>2888</v>
      </c>
      <c r="L1313" s="6" t="s">
        <v>2889</v>
      </c>
      <c r="M1313" s="6"/>
      <c r="N1313" s="6" t="s">
        <v>2890</v>
      </c>
      <c r="O1313" s="6" t="str">
        <f>HYPERLINK("https://ceds.ed.gov/cedselementdetails.aspx?termid=5609")</f>
        <v>https://ceds.ed.gov/cedselementdetails.aspx?termid=5609</v>
      </c>
      <c r="P1313" s="6" t="str">
        <f>HYPERLINK("https://ceds.ed.gov/elementComment.aspx?elementName=Grade Value Qualifier &amp;elementID=5609", "Click here to submit comment")</f>
        <v>Click here to submit comment</v>
      </c>
    </row>
    <row r="1314" spans="1:16" ht="135">
      <c r="A1314" s="6" t="s">
        <v>6788</v>
      </c>
      <c r="B1314" s="6" t="s">
        <v>6824</v>
      </c>
      <c r="C1314" s="6" t="s">
        <v>6827</v>
      </c>
      <c r="D1314" s="6" t="s">
        <v>5506</v>
      </c>
      <c r="E1314" s="6" t="s">
        <v>5507</v>
      </c>
      <c r="F1314" s="6" t="s">
        <v>13</v>
      </c>
      <c r="G1314" s="6" t="s">
        <v>6322</v>
      </c>
      <c r="H1314" s="6" t="s">
        <v>3</v>
      </c>
      <c r="I1314" s="6" t="s">
        <v>100</v>
      </c>
      <c r="J1314" s="6"/>
      <c r="K1314" s="6"/>
      <c r="L1314" s="6" t="s">
        <v>5508</v>
      </c>
      <c r="M1314" s="6"/>
      <c r="N1314" s="6" t="s">
        <v>5509</v>
      </c>
      <c r="O1314" s="6" t="str">
        <f>HYPERLINK("https://ceds.ed.gov/cedselementdetails.aspx?termid=5156")</f>
        <v>https://ceds.ed.gov/cedselementdetails.aspx?termid=5156</v>
      </c>
      <c r="P1314" s="6" t="str">
        <f>HYPERLINK("https://ceds.ed.gov/elementComment.aspx?elementName=Staff Member Identifier &amp;elementID=5156", "Click here to submit comment")</f>
        <v>Click here to submit comment</v>
      </c>
    </row>
    <row r="1315" spans="1:16" ht="409.5">
      <c r="A1315" s="6" t="s">
        <v>6788</v>
      </c>
      <c r="B1315" s="6" t="s">
        <v>6824</v>
      </c>
      <c r="C1315" s="6" t="s">
        <v>6827</v>
      </c>
      <c r="D1315" s="6" t="s">
        <v>5502</v>
      </c>
      <c r="E1315" s="6" t="s">
        <v>5503</v>
      </c>
      <c r="F1315" s="7" t="s">
        <v>6662</v>
      </c>
      <c r="G1315" s="6" t="s">
        <v>6321</v>
      </c>
      <c r="H1315" s="6" t="s">
        <v>3</v>
      </c>
      <c r="I1315" s="6"/>
      <c r="J1315" s="6"/>
      <c r="K1315" s="6"/>
      <c r="L1315" s="6" t="s">
        <v>5504</v>
      </c>
      <c r="M1315" s="6"/>
      <c r="N1315" s="6" t="s">
        <v>5505</v>
      </c>
      <c r="O1315" s="6" t="str">
        <f>HYPERLINK("https://ceds.ed.gov/cedselementdetails.aspx?termid=5162")</f>
        <v>https://ceds.ed.gov/cedselementdetails.aspx?termid=5162</v>
      </c>
      <c r="P1315" s="6" t="str">
        <f>HYPERLINK("https://ceds.ed.gov/elementComment.aspx?elementName=Staff Member Identification System &amp;elementID=5162", "Click here to submit comment")</f>
        <v>Click here to submit comment</v>
      </c>
    </row>
    <row r="1316" spans="1:16" ht="30">
      <c r="A1316" s="6" t="s">
        <v>6788</v>
      </c>
      <c r="B1316" s="6" t="s">
        <v>6824</v>
      </c>
      <c r="C1316" s="6" t="s">
        <v>6827</v>
      </c>
      <c r="D1316" s="6" t="s">
        <v>1403</v>
      </c>
      <c r="E1316" s="6" t="s">
        <v>1404</v>
      </c>
      <c r="F1316" s="6" t="s">
        <v>13</v>
      </c>
      <c r="G1316" s="6"/>
      <c r="H1316" s="6"/>
      <c r="I1316" s="6" t="s">
        <v>73</v>
      </c>
      <c r="J1316" s="6"/>
      <c r="K1316" s="6"/>
      <c r="L1316" s="6" t="s">
        <v>1405</v>
      </c>
      <c r="M1316" s="6"/>
      <c r="N1316" s="6" t="s">
        <v>1406</v>
      </c>
      <c r="O1316" s="6" t="str">
        <f>HYPERLINK("https://ceds.ed.gov/cedselementdetails.aspx?termid=5517")</f>
        <v>https://ceds.ed.gov/cedselementdetails.aspx?termid=5517</v>
      </c>
      <c r="P1316" s="6" t="str">
        <f>HYPERLINK("https://ceds.ed.gov/elementComment.aspx?elementName=Assignment Start Date &amp;elementID=5517", "Click here to submit comment")</f>
        <v>Click here to submit comment</v>
      </c>
    </row>
    <row r="1317" spans="1:16" ht="30">
      <c r="A1317" s="6" t="s">
        <v>6788</v>
      </c>
      <c r="B1317" s="6" t="s">
        <v>6824</v>
      </c>
      <c r="C1317" s="6" t="s">
        <v>6827</v>
      </c>
      <c r="D1317" s="6" t="s">
        <v>1399</v>
      </c>
      <c r="E1317" s="6" t="s">
        <v>1400</v>
      </c>
      <c r="F1317" s="6" t="s">
        <v>13</v>
      </c>
      <c r="G1317" s="6"/>
      <c r="H1317" s="6"/>
      <c r="I1317" s="6" t="s">
        <v>73</v>
      </c>
      <c r="J1317" s="6"/>
      <c r="K1317" s="6"/>
      <c r="L1317" s="6" t="s">
        <v>1401</v>
      </c>
      <c r="M1317" s="6"/>
      <c r="N1317" s="6" t="s">
        <v>1402</v>
      </c>
      <c r="O1317" s="6" t="str">
        <f>HYPERLINK("https://ceds.ed.gov/cedselementdetails.aspx?termid=5518")</f>
        <v>https://ceds.ed.gov/cedselementdetails.aspx?termid=5518</v>
      </c>
      <c r="P1317" s="6" t="str">
        <f>HYPERLINK("https://ceds.ed.gov/elementComment.aspx?elementName=Assignment End Date &amp;elementID=5518", "Click here to submit comment")</f>
        <v>Click here to submit comment</v>
      </c>
    </row>
    <row r="1318" spans="1:16" ht="60">
      <c r="A1318" s="6" t="s">
        <v>6788</v>
      </c>
      <c r="B1318" s="6" t="s">
        <v>6824</v>
      </c>
      <c r="C1318" s="6" t="s">
        <v>6827</v>
      </c>
      <c r="D1318" s="6" t="s">
        <v>5662</v>
      </c>
      <c r="E1318" s="6" t="s">
        <v>5663</v>
      </c>
      <c r="F1318" s="6" t="s">
        <v>5963</v>
      </c>
      <c r="G1318" s="6" t="s">
        <v>5665</v>
      </c>
      <c r="H1318" s="6"/>
      <c r="I1318" s="6"/>
      <c r="J1318" s="6"/>
      <c r="K1318" s="6" t="s">
        <v>5666</v>
      </c>
      <c r="L1318" s="6" t="s">
        <v>5667</v>
      </c>
      <c r="M1318" s="6"/>
      <c r="N1318" s="6" t="s">
        <v>5668</v>
      </c>
      <c r="O1318" s="6" t="str">
        <f>HYPERLINK("https://ceds.ed.gov/cedselementdetails.aspx?termid=5649")</f>
        <v>https://ceds.ed.gov/cedselementdetails.aspx?termid=5649</v>
      </c>
      <c r="P1318" s="6" t="str">
        <f>HYPERLINK("https://ceds.ed.gov/elementComment.aspx?elementName=Teacher of Record &amp;elementID=5649", "Click here to submit comment")</f>
        <v>Click here to submit comment</v>
      </c>
    </row>
    <row r="1319" spans="1:16" ht="105">
      <c r="A1319" s="6" t="s">
        <v>6788</v>
      </c>
      <c r="B1319" s="6" t="s">
        <v>6824</v>
      </c>
      <c r="C1319" s="6" t="s">
        <v>6827</v>
      </c>
      <c r="D1319" s="6" t="s">
        <v>5691</v>
      </c>
      <c r="E1319" s="6" t="s">
        <v>5692</v>
      </c>
      <c r="F1319" s="7" t="s">
        <v>6670</v>
      </c>
      <c r="G1319" s="6" t="s">
        <v>5665</v>
      </c>
      <c r="H1319" s="6"/>
      <c r="I1319" s="6"/>
      <c r="J1319" s="6"/>
      <c r="K1319" s="6"/>
      <c r="L1319" s="6" t="s">
        <v>5693</v>
      </c>
      <c r="M1319" s="6"/>
      <c r="N1319" s="6" t="s">
        <v>5694</v>
      </c>
      <c r="O1319" s="6" t="str">
        <f>HYPERLINK("https://ceds.ed.gov/cedselementdetails.aspx?termid=5650")</f>
        <v>https://ceds.ed.gov/cedselementdetails.aspx?termid=5650</v>
      </c>
      <c r="P1319" s="6" t="str">
        <f>HYPERLINK("https://ceds.ed.gov/elementComment.aspx?elementName=Teaching Assignment Role &amp;elementID=5650", "Click here to submit comment")</f>
        <v>Click here to submit comment</v>
      </c>
    </row>
    <row r="1320" spans="1:16" ht="90">
      <c r="A1320" s="6" t="s">
        <v>6788</v>
      </c>
      <c r="B1320" s="6" t="s">
        <v>6824</v>
      </c>
      <c r="C1320" s="6" t="s">
        <v>6827</v>
      </c>
      <c r="D1320" s="6" t="s">
        <v>5683</v>
      </c>
      <c r="E1320" s="6" t="s">
        <v>5684</v>
      </c>
      <c r="F1320" s="6" t="s">
        <v>13</v>
      </c>
      <c r="G1320" s="6" t="s">
        <v>5665</v>
      </c>
      <c r="H1320" s="6"/>
      <c r="I1320" s="6" t="s">
        <v>740</v>
      </c>
      <c r="J1320" s="6"/>
      <c r="K1320" s="6"/>
      <c r="L1320" s="6" t="s">
        <v>5685</v>
      </c>
      <c r="M1320" s="6"/>
      <c r="N1320" s="6" t="s">
        <v>5686</v>
      </c>
      <c r="O1320" s="6" t="str">
        <f>HYPERLINK("https://ceds.ed.gov/cedselementdetails.aspx?termid=5651")</f>
        <v>https://ceds.ed.gov/cedselementdetails.aspx?termid=5651</v>
      </c>
      <c r="P1320" s="6" t="str">
        <f>HYPERLINK("https://ceds.ed.gov/elementComment.aspx?elementName=Teaching Assignment Contribution Percentage &amp;elementID=5651", "Click here to submit comment")</f>
        <v>Click here to submit comment</v>
      </c>
    </row>
    <row r="1321" spans="1:16" ht="135">
      <c r="A1321" s="6" t="s">
        <v>6788</v>
      </c>
      <c r="B1321" s="6" t="s">
        <v>6824</v>
      </c>
      <c r="C1321" s="6" t="s">
        <v>6807</v>
      </c>
      <c r="D1321" s="6" t="s">
        <v>1411</v>
      </c>
      <c r="E1321" s="6" t="s">
        <v>1412</v>
      </c>
      <c r="F1321" s="7" t="s">
        <v>6408</v>
      </c>
      <c r="G1321" s="6"/>
      <c r="H1321" s="6" t="s">
        <v>66</v>
      </c>
      <c r="I1321" s="6"/>
      <c r="J1321" s="6" t="s">
        <v>1413</v>
      </c>
      <c r="K1321" s="6"/>
      <c r="L1321" s="6" t="s">
        <v>1414</v>
      </c>
      <c r="M1321" s="6"/>
      <c r="N1321" s="6" t="s">
        <v>1415</v>
      </c>
      <c r="O1321" s="6" t="str">
        <f>HYPERLINK("https://ceds.ed.gov/cedselementdetails.aspx?termid=5076")</f>
        <v>https://ceds.ed.gov/cedselementdetails.aspx?termid=5076</v>
      </c>
      <c r="P1321" s="6" t="str">
        <f>HYPERLINK("https://ceds.ed.gov/elementComment.aspx?elementName=Attendance Status &amp;elementID=5076", "Click here to submit comment")</f>
        <v>Click here to submit comment</v>
      </c>
    </row>
    <row r="1322" spans="1:16" ht="105">
      <c r="A1322" s="6" t="s">
        <v>6788</v>
      </c>
      <c r="B1322" s="6" t="s">
        <v>6828</v>
      </c>
      <c r="C1322" s="6"/>
      <c r="D1322" s="6" t="s">
        <v>5677</v>
      </c>
      <c r="E1322" s="6" t="s">
        <v>5678</v>
      </c>
      <c r="F1322" s="6" t="s">
        <v>5963</v>
      </c>
      <c r="G1322" s="6"/>
      <c r="H1322" s="6"/>
      <c r="I1322" s="6"/>
      <c r="J1322" s="6"/>
      <c r="K1322" s="6" t="s">
        <v>5680</v>
      </c>
      <c r="L1322" s="6" t="s">
        <v>5681</v>
      </c>
      <c r="M1322" s="6"/>
      <c r="N1322" s="6" t="s">
        <v>5682</v>
      </c>
      <c r="O1322" s="6" t="str">
        <f>HYPERLINK("https://ceds.ed.gov/cedselementdetails.aspx?termid=5973")</f>
        <v>https://ceds.ed.gov/cedselementdetails.aspx?termid=5973</v>
      </c>
      <c r="P1322" s="6" t="str">
        <f>HYPERLINK("https://ceds.ed.gov/elementComment.aspx?elementName=Teacher Student Data Link Exclusion Flag &amp;elementID=5973", "Click here to submit comment")</f>
        <v>Click here to submit comment</v>
      </c>
    </row>
    <row r="1323" spans="1:16" ht="75">
      <c r="A1323" s="6" t="s">
        <v>6788</v>
      </c>
      <c r="B1323" s="6" t="s">
        <v>6829</v>
      </c>
      <c r="C1323" s="6"/>
      <c r="D1323" s="6" t="s">
        <v>5053</v>
      </c>
      <c r="E1323" s="6" t="s">
        <v>5054</v>
      </c>
      <c r="F1323" s="6" t="s">
        <v>13</v>
      </c>
      <c r="G1323" s="6"/>
      <c r="H1323" s="6" t="s">
        <v>54</v>
      </c>
      <c r="I1323" s="6" t="s">
        <v>100</v>
      </c>
      <c r="J1323" s="6"/>
      <c r="K1323" s="6" t="s">
        <v>5056</v>
      </c>
      <c r="L1323" s="6" t="s">
        <v>5057</v>
      </c>
      <c r="M1323" s="6"/>
      <c r="N1323" s="6" t="s">
        <v>5058</v>
      </c>
      <c r="O1323" s="6" t="str">
        <f>HYPERLINK("https://ceds.ed.gov/cedselementdetails.aspx?termid=6438")</f>
        <v>https://ceds.ed.gov/cedselementdetails.aspx?termid=6438</v>
      </c>
      <c r="P1323" s="6" t="str">
        <f>HYPERLINK("https://ceds.ed.gov/elementComment.aspx?elementName=Responsible Organization Identifier &amp;elementID=6438", "Click here to submit comment")</f>
        <v>Click here to submit comment</v>
      </c>
    </row>
    <row r="1324" spans="1:16" ht="165">
      <c r="A1324" s="6" t="s">
        <v>6788</v>
      </c>
      <c r="B1324" s="6" t="s">
        <v>6829</v>
      </c>
      <c r="C1324" s="6"/>
      <c r="D1324" s="6" t="s">
        <v>5063</v>
      </c>
      <c r="E1324" s="6" t="s">
        <v>5050</v>
      </c>
      <c r="F1324" s="7" t="s">
        <v>6641</v>
      </c>
      <c r="G1324" s="6"/>
      <c r="H1324" s="6" t="s">
        <v>54</v>
      </c>
      <c r="I1324" s="6"/>
      <c r="J1324" s="6"/>
      <c r="K1324" s="6" t="s">
        <v>5056</v>
      </c>
      <c r="L1324" s="6" t="s">
        <v>5064</v>
      </c>
      <c r="M1324" s="6"/>
      <c r="N1324" s="6" t="s">
        <v>5065</v>
      </c>
      <c r="O1324" s="6" t="str">
        <f>HYPERLINK("https://ceds.ed.gov/cedselementdetails.aspx?termid=6439")</f>
        <v>https://ceds.ed.gov/cedselementdetails.aspx?termid=6439</v>
      </c>
      <c r="P1324" s="6" t="str">
        <f>HYPERLINK("https://ceds.ed.gov/elementComment.aspx?elementName=Responsible Organization Type &amp;elementID=6439", "Click here to submit comment")</f>
        <v>Click here to submit comment</v>
      </c>
    </row>
    <row r="1325" spans="1:16" ht="60">
      <c r="A1325" s="6" t="s">
        <v>6788</v>
      </c>
      <c r="B1325" s="6" t="s">
        <v>6829</v>
      </c>
      <c r="C1325" s="6"/>
      <c r="D1325" s="6" t="s">
        <v>5059</v>
      </c>
      <c r="E1325" s="6" t="s">
        <v>5060</v>
      </c>
      <c r="F1325" s="6" t="s">
        <v>13</v>
      </c>
      <c r="G1325" s="6" t="s">
        <v>6104</v>
      </c>
      <c r="H1325" s="6" t="s">
        <v>3</v>
      </c>
      <c r="I1325" s="6" t="s">
        <v>106</v>
      </c>
      <c r="J1325" s="6"/>
      <c r="K1325" s="6"/>
      <c r="L1325" s="6" t="s">
        <v>5061</v>
      </c>
      <c r="M1325" s="6"/>
      <c r="N1325" s="6" t="s">
        <v>5062</v>
      </c>
      <c r="O1325" s="6" t="str">
        <f>HYPERLINK("https://ceds.ed.gov/cedselementdetails.aspx?termid=5624")</f>
        <v>https://ceds.ed.gov/cedselementdetails.aspx?termid=5624</v>
      </c>
      <c r="P1325" s="6" t="str">
        <f>HYPERLINK("https://ceds.ed.gov/elementComment.aspx?elementName=Responsible Organization Name &amp;elementID=5624", "Click here to submit comment")</f>
        <v>Click here to submit comment</v>
      </c>
    </row>
    <row r="1326" spans="1:16" ht="315">
      <c r="A1326" s="6" t="s">
        <v>6788</v>
      </c>
      <c r="B1326" s="6" t="s">
        <v>6829</v>
      </c>
      <c r="C1326" s="6"/>
      <c r="D1326" s="6" t="s">
        <v>4337</v>
      </c>
      <c r="E1326" s="6" t="s">
        <v>4338</v>
      </c>
      <c r="F1326" s="7" t="s">
        <v>6364</v>
      </c>
      <c r="G1326" s="6" t="s">
        <v>65</v>
      </c>
      <c r="H1326" s="6" t="s">
        <v>66</v>
      </c>
      <c r="I1326" s="6"/>
      <c r="J1326" s="6" t="s">
        <v>2309</v>
      </c>
      <c r="K1326" s="6"/>
      <c r="L1326" s="6" t="s">
        <v>4339</v>
      </c>
      <c r="M1326" s="6"/>
      <c r="N1326" s="6" t="s">
        <v>4340</v>
      </c>
      <c r="O1326" s="6" t="str">
        <f>HYPERLINK("https://ceds.ed.gov/cedselementdetails.aspx?termid=5827")</f>
        <v>https://ceds.ed.gov/cedselementdetails.aspx?termid=5827</v>
      </c>
      <c r="P1326" s="6" t="str">
        <f>HYPERLINK("https://ceds.ed.gov/elementComment.aspx?elementName=Organization Identification System &amp;elementID=5827", "Click here to submit comment")</f>
        <v>Click here to submit comment</v>
      </c>
    </row>
    <row r="1327" spans="1:16" ht="60">
      <c r="A1327" s="6" t="s">
        <v>6788</v>
      </c>
      <c r="B1327" s="6" t="s">
        <v>6829</v>
      </c>
      <c r="C1327" s="6"/>
      <c r="D1327" s="6" t="s">
        <v>4341</v>
      </c>
      <c r="E1327" s="6" t="s">
        <v>4342</v>
      </c>
      <c r="F1327" s="6" t="s">
        <v>13</v>
      </c>
      <c r="G1327" s="6" t="s">
        <v>65</v>
      </c>
      <c r="H1327" s="6" t="s">
        <v>3</v>
      </c>
      <c r="I1327" s="6" t="s">
        <v>100</v>
      </c>
      <c r="J1327" s="6"/>
      <c r="K1327" s="6"/>
      <c r="L1327" s="6" t="s">
        <v>4343</v>
      </c>
      <c r="M1327" s="6"/>
      <c r="N1327" s="6" t="s">
        <v>4344</v>
      </c>
      <c r="O1327" s="6" t="str">
        <f>HYPERLINK("https://ceds.ed.gov/cedselementdetails.aspx?termid=5825")</f>
        <v>https://ceds.ed.gov/cedselementdetails.aspx?termid=5825</v>
      </c>
      <c r="P1327" s="6" t="str">
        <f>HYPERLINK("https://ceds.ed.gov/elementComment.aspx?elementName=Organization Identifier &amp;elementID=5825", "Click here to submit comment")</f>
        <v>Click here to submit comment</v>
      </c>
    </row>
    <row r="1328" spans="1:16" ht="45">
      <c r="A1328" s="6" t="s">
        <v>6788</v>
      </c>
      <c r="B1328" s="6" t="s">
        <v>6829</v>
      </c>
      <c r="C1328" s="6"/>
      <c r="D1328" s="6" t="s">
        <v>4349</v>
      </c>
      <c r="E1328" s="6" t="s">
        <v>4350</v>
      </c>
      <c r="F1328" s="6" t="s">
        <v>13</v>
      </c>
      <c r="G1328" s="6" t="s">
        <v>202</v>
      </c>
      <c r="H1328" s="6" t="s">
        <v>3</v>
      </c>
      <c r="I1328" s="6" t="s">
        <v>106</v>
      </c>
      <c r="J1328" s="6"/>
      <c r="K1328" s="6"/>
      <c r="L1328" s="6" t="s">
        <v>4351</v>
      </c>
      <c r="M1328" s="6"/>
      <c r="N1328" s="6" t="s">
        <v>4352</v>
      </c>
      <c r="O1328" s="6" t="str">
        <f>HYPERLINK("https://ceds.ed.gov/cedselementdetails.aspx?termid=5204")</f>
        <v>https://ceds.ed.gov/cedselementdetails.aspx?termid=5204</v>
      </c>
      <c r="P1328" s="6" t="str">
        <f>HYPERLINK("https://ceds.ed.gov/elementComment.aspx?elementName=Organization Name &amp;elementID=5204", "Click here to submit comment")</f>
        <v>Click here to submit comment</v>
      </c>
    </row>
    <row r="1329" spans="1:16" ht="60">
      <c r="A1329" s="6" t="s">
        <v>6788</v>
      </c>
      <c r="B1329" s="6" t="s">
        <v>6829</v>
      </c>
      <c r="C1329" s="6"/>
      <c r="D1329" s="6" t="s">
        <v>4353</v>
      </c>
      <c r="E1329" s="6" t="s">
        <v>4354</v>
      </c>
      <c r="F1329" s="6" t="s">
        <v>6267</v>
      </c>
      <c r="G1329" s="6"/>
      <c r="H1329" s="6" t="s">
        <v>54</v>
      </c>
      <c r="I1329" s="6"/>
      <c r="J1329" s="6"/>
      <c r="K1329" s="6"/>
      <c r="L1329" s="6" t="s">
        <v>4355</v>
      </c>
      <c r="M1329" s="6"/>
      <c r="N1329" s="6" t="s">
        <v>4356</v>
      </c>
      <c r="O1329" s="6" t="str">
        <f>HYPERLINK("https://ceds.ed.gov/cedselementdetails.aspx?termid=6387")</f>
        <v>https://ceds.ed.gov/cedselementdetails.aspx?termid=6387</v>
      </c>
      <c r="P1329" s="6" t="str">
        <f>HYPERLINK("https://ceds.ed.gov/elementComment.aspx?elementName=Organization Operational Status &amp;elementID=6387", "Click here to submit comment")</f>
        <v>Click here to submit comment</v>
      </c>
    </row>
    <row r="1330" spans="1:16" ht="240">
      <c r="A1330" s="6" t="s">
        <v>6788</v>
      </c>
      <c r="B1330" s="6" t="s">
        <v>6784</v>
      </c>
      <c r="C1330" s="6" t="s">
        <v>6830</v>
      </c>
      <c r="D1330" s="6" t="s">
        <v>586</v>
      </c>
      <c r="E1330" s="6" t="s">
        <v>587</v>
      </c>
      <c r="F1330" s="7" t="s">
        <v>6382</v>
      </c>
      <c r="G1330" s="6" t="s">
        <v>6013</v>
      </c>
      <c r="H1330" s="6"/>
      <c r="I1330" s="6"/>
      <c r="J1330" s="6"/>
      <c r="K1330" s="6"/>
      <c r="L1330" s="6" t="s">
        <v>588</v>
      </c>
      <c r="M1330" s="6"/>
      <c r="N1330" s="6" t="s">
        <v>589</v>
      </c>
      <c r="O1330" s="6" t="str">
        <f>HYPERLINK("https://ceds.ed.gov/cedselementdetails.aspx?termid=5158")</f>
        <v>https://ceds.ed.gov/cedselementdetails.aspx?termid=5158</v>
      </c>
      <c r="P1330" s="6" t="str">
        <f>HYPERLINK("https://ceds.ed.gov/elementComment.aspx?elementName=Assessment Identification System &amp;elementID=5158", "Click here to submit comment")</f>
        <v>Click here to submit comment</v>
      </c>
    </row>
    <row r="1331" spans="1:16" ht="90">
      <c r="A1331" s="6" t="s">
        <v>6788</v>
      </c>
      <c r="B1331" s="6" t="s">
        <v>6829</v>
      </c>
      <c r="C1331" s="6" t="s">
        <v>6749</v>
      </c>
      <c r="D1331" s="6" t="s">
        <v>196</v>
      </c>
      <c r="E1331" s="6" t="s">
        <v>197</v>
      </c>
      <c r="F1331" s="7" t="s">
        <v>6354</v>
      </c>
      <c r="G1331" s="6" t="s">
        <v>5968</v>
      </c>
      <c r="H1331" s="6" t="s">
        <v>3</v>
      </c>
      <c r="I1331" s="6" t="s">
        <v>100</v>
      </c>
      <c r="J1331" s="6"/>
      <c r="K1331" s="6"/>
      <c r="L1331" s="6" t="s">
        <v>198</v>
      </c>
      <c r="M1331" s="6"/>
      <c r="N1331" s="6" t="s">
        <v>199</v>
      </c>
      <c r="O1331" s="6" t="str">
        <f>HYPERLINK("https://ceds.ed.gov/cedselementdetails.aspx?termid=5644")</f>
        <v>https://ceds.ed.gov/cedselementdetails.aspx?termid=5644</v>
      </c>
      <c r="P1331" s="6" t="str">
        <f>HYPERLINK("https://ceds.ed.gov/elementComment.aspx?elementName=Address Type for Organization &amp;elementID=5644", "Click here to submit comment")</f>
        <v>Click here to submit comment</v>
      </c>
    </row>
    <row r="1332" spans="1:16" ht="165">
      <c r="A1332" s="6" t="s">
        <v>6788</v>
      </c>
      <c r="B1332" s="6" t="s">
        <v>6784</v>
      </c>
      <c r="C1332" s="6" t="s">
        <v>6830</v>
      </c>
      <c r="D1332" s="6" t="s">
        <v>590</v>
      </c>
      <c r="E1332" s="6" t="s">
        <v>591</v>
      </c>
      <c r="F1332" s="6" t="s">
        <v>13</v>
      </c>
      <c r="G1332" s="6" t="s">
        <v>6015</v>
      </c>
      <c r="H1332" s="6"/>
      <c r="I1332" s="6" t="s">
        <v>100</v>
      </c>
      <c r="J1332" s="6"/>
      <c r="K1332" s="6"/>
      <c r="L1332" s="6" t="s">
        <v>592</v>
      </c>
      <c r="M1332" s="6"/>
      <c r="N1332" s="6" t="s">
        <v>593</v>
      </c>
      <c r="O1332" s="6" t="str">
        <f>HYPERLINK("https://ceds.ed.gov/cedselementdetails.aspx?termid=5152")</f>
        <v>https://ceds.ed.gov/cedselementdetails.aspx?termid=5152</v>
      </c>
      <c r="P1332" s="6" t="str">
        <f>HYPERLINK("https://ceds.ed.gov/elementComment.aspx?elementName=Assessment Identifier &amp;elementID=5152", "Click here to submit comment")</f>
        <v>Click here to submit comment</v>
      </c>
    </row>
    <row r="1333" spans="1:16" ht="225">
      <c r="A1333" s="6" t="s">
        <v>6788</v>
      </c>
      <c r="B1333" s="6" t="s">
        <v>6829</v>
      </c>
      <c r="C1333" s="6" t="s">
        <v>6749</v>
      </c>
      <c r="D1333" s="6" t="s">
        <v>187</v>
      </c>
      <c r="E1333" s="6" t="s">
        <v>188</v>
      </c>
      <c r="F1333" s="6" t="s">
        <v>13</v>
      </c>
      <c r="G1333" s="6" t="s">
        <v>5973</v>
      </c>
      <c r="H1333" s="6" t="s">
        <v>3</v>
      </c>
      <c r="I1333" s="6" t="s">
        <v>149</v>
      </c>
      <c r="J1333" s="6"/>
      <c r="K1333" s="6"/>
      <c r="L1333" s="6" t="s">
        <v>189</v>
      </c>
      <c r="M1333" s="6"/>
      <c r="N1333" s="6" t="s">
        <v>190</v>
      </c>
      <c r="O1333" s="6" t="str">
        <f>HYPERLINK("https://ceds.ed.gov/cedselementdetails.aspx?termid=5269")</f>
        <v>https://ceds.ed.gov/cedselementdetails.aspx?termid=5269</v>
      </c>
      <c r="P1333" s="6" t="str">
        <f>HYPERLINK("https://ceds.ed.gov/elementComment.aspx?elementName=Address Street Number and Name &amp;elementID=5269", "Click here to submit comment")</f>
        <v>Click here to submit comment</v>
      </c>
    </row>
    <row r="1334" spans="1:16" ht="75">
      <c r="A1334" s="6" t="s">
        <v>6788</v>
      </c>
      <c r="B1334" s="6" t="s">
        <v>6784</v>
      </c>
      <c r="C1334" s="6" t="s">
        <v>6830</v>
      </c>
      <c r="D1334" s="6" t="s">
        <v>582</v>
      </c>
      <c r="E1334" s="6" t="s">
        <v>583</v>
      </c>
      <c r="F1334" s="6" t="s">
        <v>13</v>
      </c>
      <c r="G1334" s="6"/>
      <c r="H1334" s="6"/>
      <c r="I1334" s="6" t="s">
        <v>528</v>
      </c>
      <c r="J1334" s="6"/>
      <c r="K1334" s="6"/>
      <c r="L1334" s="6" t="s">
        <v>584</v>
      </c>
      <c r="M1334" s="6"/>
      <c r="N1334" s="6" t="s">
        <v>585</v>
      </c>
      <c r="O1334" s="6" t="str">
        <f>HYPERLINK("https://ceds.ed.gov/cedselementdetails.aspx?termid=5982")</f>
        <v>https://ceds.ed.gov/cedselementdetails.aspx?termid=5982</v>
      </c>
      <c r="P1334" s="6" t="str">
        <f>HYPERLINK("https://ceds.ed.gov/elementComment.aspx?elementName=Assessment GUID &amp;elementID=5982", "Click here to submit comment")</f>
        <v>Click here to submit comment</v>
      </c>
    </row>
    <row r="1335" spans="1:16" ht="225">
      <c r="A1335" s="6" t="s">
        <v>6788</v>
      </c>
      <c r="B1335" s="6" t="s">
        <v>6829</v>
      </c>
      <c r="C1335" s="6" t="s">
        <v>6749</v>
      </c>
      <c r="D1335" s="6" t="s">
        <v>170</v>
      </c>
      <c r="E1335" s="6" t="s">
        <v>171</v>
      </c>
      <c r="F1335" s="6" t="s">
        <v>13</v>
      </c>
      <c r="G1335" s="6" t="s">
        <v>5973</v>
      </c>
      <c r="H1335" s="6" t="s">
        <v>3</v>
      </c>
      <c r="I1335" s="6" t="s">
        <v>100</v>
      </c>
      <c r="J1335" s="6"/>
      <c r="K1335" s="6"/>
      <c r="L1335" s="6" t="s">
        <v>172</v>
      </c>
      <c r="M1335" s="6"/>
      <c r="N1335" s="6" t="s">
        <v>173</v>
      </c>
      <c r="O1335" s="6" t="str">
        <f>HYPERLINK("https://ceds.ed.gov/cedselementdetails.aspx?termid=5019")</f>
        <v>https://ceds.ed.gov/cedselementdetails.aspx?termid=5019</v>
      </c>
      <c r="P1335" s="6" t="str">
        <f>HYPERLINK("https://ceds.ed.gov/elementComment.aspx?elementName=Address Apartment Room or Suite Number &amp;elementID=5019", "Click here to submit comment")</f>
        <v>Click here to submit comment</v>
      </c>
    </row>
    <row r="1336" spans="1:16" ht="165">
      <c r="A1336" s="6" t="s">
        <v>6788</v>
      </c>
      <c r="B1336" s="6" t="s">
        <v>6784</v>
      </c>
      <c r="C1336" s="6" t="s">
        <v>6830</v>
      </c>
      <c r="D1336" s="6" t="s">
        <v>1387</v>
      </c>
      <c r="E1336" s="6" t="s">
        <v>1388</v>
      </c>
      <c r="F1336" s="6" t="s">
        <v>13</v>
      </c>
      <c r="G1336" s="6" t="s">
        <v>6073</v>
      </c>
      <c r="H1336" s="6"/>
      <c r="I1336" s="6" t="s">
        <v>106</v>
      </c>
      <c r="J1336" s="6"/>
      <c r="K1336" s="6"/>
      <c r="L1336" s="6" t="s">
        <v>1389</v>
      </c>
      <c r="M1336" s="6"/>
      <c r="N1336" s="6" t="s">
        <v>1390</v>
      </c>
      <c r="O1336" s="6" t="str">
        <f>HYPERLINK("https://ceds.ed.gov/cedselementdetails.aspx?termid=5028")</f>
        <v>https://ceds.ed.gov/cedselementdetails.aspx?termid=5028</v>
      </c>
      <c r="P1336" s="6" t="str">
        <f>HYPERLINK("https://ceds.ed.gov/elementComment.aspx?elementName=Assessment Title &amp;elementID=5028", "Click here to submit comment")</f>
        <v>Click here to submit comment</v>
      </c>
    </row>
    <row r="1337" spans="1:16" ht="409.5">
      <c r="A1337" s="6" t="s">
        <v>6788</v>
      </c>
      <c r="B1337" s="6" t="s">
        <v>6784</v>
      </c>
      <c r="C1337" s="6" t="s">
        <v>6830</v>
      </c>
      <c r="D1337" s="6" t="s">
        <v>1391</v>
      </c>
      <c r="E1337" s="6" t="s">
        <v>1392</v>
      </c>
      <c r="F1337" s="7" t="s">
        <v>6405</v>
      </c>
      <c r="G1337" s="6" t="s">
        <v>6000</v>
      </c>
      <c r="H1337" s="6"/>
      <c r="I1337" s="6"/>
      <c r="J1337" s="6"/>
      <c r="K1337" s="6"/>
      <c r="L1337" s="6" t="s">
        <v>1393</v>
      </c>
      <c r="M1337" s="6"/>
      <c r="N1337" s="6" t="s">
        <v>1394</v>
      </c>
      <c r="O1337" s="6" t="str">
        <f>HYPERLINK("https://ceds.ed.gov/cedselementdetails.aspx?termid=5029")</f>
        <v>https://ceds.ed.gov/cedselementdetails.aspx?termid=5029</v>
      </c>
      <c r="P1337" s="6" t="str">
        <f>HYPERLINK("https://ceds.ed.gov/elementComment.aspx?elementName=Assessment Type &amp;elementID=5029", "Click here to submit comment")</f>
        <v>Click here to submit comment</v>
      </c>
    </row>
    <row r="1338" spans="1:16" ht="225">
      <c r="A1338" s="6" t="s">
        <v>6788</v>
      </c>
      <c r="B1338" s="6" t="s">
        <v>6829</v>
      </c>
      <c r="C1338" s="6" t="s">
        <v>6749</v>
      </c>
      <c r="D1338" s="6" t="s">
        <v>174</v>
      </c>
      <c r="E1338" s="6" t="s">
        <v>175</v>
      </c>
      <c r="F1338" s="6" t="s">
        <v>13</v>
      </c>
      <c r="G1338" s="6" t="s">
        <v>5973</v>
      </c>
      <c r="H1338" s="6" t="s">
        <v>3</v>
      </c>
      <c r="I1338" s="6" t="s">
        <v>100</v>
      </c>
      <c r="J1338" s="6"/>
      <c r="K1338" s="6"/>
      <c r="L1338" s="6" t="s">
        <v>176</v>
      </c>
      <c r="M1338" s="6"/>
      <c r="N1338" s="6" t="s">
        <v>177</v>
      </c>
      <c r="O1338" s="6" t="str">
        <f>HYPERLINK("https://ceds.ed.gov/cedselementdetails.aspx?termid=5040")</f>
        <v>https://ceds.ed.gov/cedselementdetails.aspx?termid=5040</v>
      </c>
      <c r="P1338" s="6" t="str">
        <f>HYPERLINK("https://ceds.ed.gov/elementComment.aspx?elementName=Address City &amp;elementID=5040", "Click here to submit comment")</f>
        <v>Click here to submit comment</v>
      </c>
    </row>
    <row r="1339" spans="1:16" ht="30">
      <c r="A1339" s="6" t="s">
        <v>6788</v>
      </c>
      <c r="B1339" s="6" t="s">
        <v>6784</v>
      </c>
      <c r="C1339" s="6" t="s">
        <v>6830</v>
      </c>
      <c r="D1339" s="6" t="s">
        <v>1290</v>
      </c>
      <c r="E1339" s="6" t="s">
        <v>1291</v>
      </c>
      <c r="F1339" s="6" t="s">
        <v>13</v>
      </c>
      <c r="G1339" s="6"/>
      <c r="H1339" s="6"/>
      <c r="I1339" s="6" t="s">
        <v>100</v>
      </c>
      <c r="J1339" s="6"/>
      <c r="K1339" s="6"/>
      <c r="L1339" s="6" t="s">
        <v>1292</v>
      </c>
      <c r="M1339" s="6"/>
      <c r="N1339" s="6" t="s">
        <v>1293</v>
      </c>
      <c r="O1339" s="6" t="str">
        <f>HYPERLINK("https://ceds.ed.gov/cedselementdetails.aspx?termid=5932")</f>
        <v>https://ceds.ed.gov/cedselementdetails.aspx?termid=5932</v>
      </c>
      <c r="P1339" s="6" t="str">
        <f>HYPERLINK("https://ceds.ed.gov/elementComment.aspx?elementName=Assessment Short Name &amp;elementID=5932", "Click here to submit comment")</f>
        <v>Click here to submit comment</v>
      </c>
    </row>
    <row r="1340" spans="1:16" ht="409.5">
      <c r="A1340" s="6" t="s">
        <v>6788</v>
      </c>
      <c r="B1340" s="6" t="s">
        <v>6829</v>
      </c>
      <c r="C1340" s="6" t="s">
        <v>6749</v>
      </c>
      <c r="D1340" s="6" t="s">
        <v>5533</v>
      </c>
      <c r="E1340" s="6" t="s">
        <v>5534</v>
      </c>
      <c r="F1340" s="7" t="s">
        <v>6633</v>
      </c>
      <c r="G1340" s="6" t="s">
        <v>6324</v>
      </c>
      <c r="H1340" s="6" t="s">
        <v>3</v>
      </c>
      <c r="I1340" s="6"/>
      <c r="J1340" s="6"/>
      <c r="K1340" s="6"/>
      <c r="L1340" s="6" t="s">
        <v>5535</v>
      </c>
      <c r="M1340" s="6"/>
      <c r="N1340" s="6" t="s">
        <v>5536</v>
      </c>
      <c r="O1340" s="6" t="str">
        <f>HYPERLINK("https://ceds.ed.gov/cedselementdetails.aspx?termid=5267")</f>
        <v>https://ceds.ed.gov/cedselementdetails.aspx?termid=5267</v>
      </c>
      <c r="P1340" s="6" t="str">
        <f>HYPERLINK("https://ceds.ed.gov/elementComment.aspx?elementName=State Abbreviation &amp;elementID=5267", "Click here to submit comment")</f>
        <v>Click here to submit comment</v>
      </c>
    </row>
    <row r="1341" spans="1:16" ht="405">
      <c r="A1341" s="6" t="s">
        <v>6788</v>
      </c>
      <c r="B1341" s="6" t="s">
        <v>6784</v>
      </c>
      <c r="C1341" s="6" t="s">
        <v>6830</v>
      </c>
      <c r="D1341" s="6" t="s">
        <v>395</v>
      </c>
      <c r="E1341" s="6" t="s">
        <v>396</v>
      </c>
      <c r="F1341" s="7" t="s">
        <v>6375</v>
      </c>
      <c r="G1341" s="6" t="s">
        <v>5990</v>
      </c>
      <c r="H1341" s="6"/>
      <c r="I1341" s="6"/>
      <c r="J1341" s="6"/>
      <c r="K1341" s="6"/>
      <c r="L1341" s="6" t="s">
        <v>397</v>
      </c>
      <c r="M1341" s="6"/>
      <c r="N1341" s="6" t="s">
        <v>398</v>
      </c>
      <c r="O1341" s="6" t="str">
        <f>HYPERLINK("https://ceds.ed.gov/cedselementdetails.aspx?termid=5021")</f>
        <v>https://ceds.ed.gov/cedselementdetails.aspx?termid=5021</v>
      </c>
      <c r="P1341" s="6" t="str">
        <f>HYPERLINK("https://ceds.ed.gov/elementComment.aspx?elementName=Assessment Academic Subject &amp;elementID=5021", "Click here to submit comment")</f>
        <v>Click here to submit comment</v>
      </c>
    </row>
    <row r="1342" spans="1:16" ht="375">
      <c r="A1342" s="6" t="s">
        <v>6788</v>
      </c>
      <c r="B1342" s="6" t="s">
        <v>6784</v>
      </c>
      <c r="C1342" s="6" t="s">
        <v>6830</v>
      </c>
      <c r="D1342" s="6" t="s">
        <v>942</v>
      </c>
      <c r="E1342" s="6" t="s">
        <v>943</v>
      </c>
      <c r="F1342" s="7" t="s">
        <v>6390</v>
      </c>
      <c r="G1342" s="6" t="s">
        <v>6030</v>
      </c>
      <c r="H1342" s="6"/>
      <c r="I1342" s="6"/>
      <c r="J1342" s="6"/>
      <c r="K1342" s="6"/>
      <c r="L1342" s="6" t="s">
        <v>944</v>
      </c>
      <c r="M1342" s="6"/>
      <c r="N1342" s="6" t="s">
        <v>945</v>
      </c>
      <c r="O1342" s="6" t="str">
        <f>HYPERLINK("https://ceds.ed.gov/cedselementdetails.aspx?termid=5177")</f>
        <v>https://ceds.ed.gov/cedselementdetails.aspx?termid=5177</v>
      </c>
      <c r="P1342" s="6" t="str">
        <f>HYPERLINK("https://ceds.ed.gov/elementComment.aspx?elementName=Assessment Level for Which Designed &amp;elementID=5177", "Click here to submit comment")</f>
        <v>Click here to submit comment</v>
      </c>
    </row>
    <row r="1343" spans="1:16" ht="30">
      <c r="A1343" s="6" t="s">
        <v>6788</v>
      </c>
      <c r="B1343" s="6" t="s">
        <v>6784</v>
      </c>
      <c r="C1343" s="6" t="s">
        <v>6830</v>
      </c>
      <c r="D1343" s="6" t="s">
        <v>1086</v>
      </c>
      <c r="E1343" s="6" t="s">
        <v>1087</v>
      </c>
      <c r="F1343" s="6" t="s">
        <v>13</v>
      </c>
      <c r="G1343" s="6" t="s">
        <v>6018</v>
      </c>
      <c r="H1343" s="6"/>
      <c r="I1343" s="6" t="s">
        <v>745</v>
      </c>
      <c r="J1343" s="6"/>
      <c r="K1343" s="6"/>
      <c r="L1343" s="6" t="s">
        <v>1088</v>
      </c>
      <c r="M1343" s="6"/>
      <c r="N1343" s="6" t="s">
        <v>1089</v>
      </c>
      <c r="O1343" s="6" t="str">
        <f>HYPERLINK("https://ceds.ed.gov/cedselementdetails.aspx?termid=5373")</f>
        <v>https://ceds.ed.gov/cedselementdetails.aspx?termid=5373</v>
      </c>
      <c r="P1343" s="6" t="str">
        <f>HYPERLINK("https://ceds.ed.gov/elementComment.aspx?elementName=Assessment Objective &amp;elementID=5373", "Click here to submit comment")</f>
        <v>Click here to submit comment</v>
      </c>
    </row>
    <row r="1344" spans="1:16" ht="409.5">
      <c r="A1344" s="6" t="s">
        <v>6788</v>
      </c>
      <c r="B1344" s="6" t="s">
        <v>6784</v>
      </c>
      <c r="C1344" s="6" t="s">
        <v>6830</v>
      </c>
      <c r="D1344" s="6" t="s">
        <v>1156</v>
      </c>
      <c r="E1344" s="6" t="s">
        <v>1157</v>
      </c>
      <c r="F1344" s="7" t="s">
        <v>6399</v>
      </c>
      <c r="G1344" s="6" t="s">
        <v>6000</v>
      </c>
      <c r="H1344" s="6"/>
      <c r="I1344" s="6"/>
      <c r="J1344" s="6"/>
      <c r="K1344" s="6" t="s">
        <v>1158</v>
      </c>
      <c r="L1344" s="6" t="s">
        <v>1159</v>
      </c>
      <c r="M1344" s="6"/>
      <c r="N1344" s="6" t="s">
        <v>1160</v>
      </c>
      <c r="O1344" s="6" t="str">
        <f>HYPERLINK("https://ceds.ed.gov/cedselementdetails.aspx?termid=5026")</f>
        <v>https://ceds.ed.gov/cedselementdetails.aspx?termid=5026</v>
      </c>
      <c r="P1344" s="6" t="str">
        <f>HYPERLINK("https://ceds.ed.gov/elementComment.aspx?elementName=Assessment Purpose &amp;elementID=5026", "Click here to submit comment")</f>
        <v>Click here to submit comment</v>
      </c>
    </row>
    <row r="1345" spans="1:16" ht="409.5">
      <c r="A1345" s="6" t="s">
        <v>6788</v>
      </c>
      <c r="B1345" s="6" t="s">
        <v>6784</v>
      </c>
      <c r="C1345" s="6" t="s">
        <v>6830</v>
      </c>
      <c r="D1345" s="6" t="s">
        <v>1395</v>
      </c>
      <c r="E1345" s="6" t="s">
        <v>1396</v>
      </c>
      <c r="F1345" s="7" t="s">
        <v>6406</v>
      </c>
      <c r="G1345" s="6" t="s">
        <v>6052</v>
      </c>
      <c r="H1345" s="6"/>
      <c r="I1345" s="6"/>
      <c r="J1345" s="6"/>
      <c r="K1345" s="6"/>
      <c r="L1345" s="6" t="s">
        <v>1397</v>
      </c>
      <c r="M1345" s="6"/>
      <c r="N1345" s="6" t="s">
        <v>1398</v>
      </c>
      <c r="O1345" s="6" t="str">
        <f>HYPERLINK("https://ceds.ed.gov/cedselementdetails.aspx?termid=5405")</f>
        <v>https://ceds.ed.gov/cedselementdetails.aspx?termid=5405</v>
      </c>
      <c r="P1345" s="6" t="str">
        <f>HYPERLINK("https://ceds.ed.gov/elementComment.aspx?elementName=Assessment Type Administered to Children With Disabilities &amp;elementID=5405", "Click here to submit comment")</f>
        <v>Click here to submit comment</v>
      </c>
    </row>
    <row r="1346" spans="1:16" ht="225">
      <c r="A1346" s="6" t="s">
        <v>6788</v>
      </c>
      <c r="B1346" s="6" t="s">
        <v>6829</v>
      </c>
      <c r="C1346" s="6" t="s">
        <v>6749</v>
      </c>
      <c r="D1346" s="6" t="s">
        <v>182</v>
      </c>
      <c r="E1346" s="6" t="s">
        <v>183</v>
      </c>
      <c r="F1346" s="6" t="s">
        <v>13</v>
      </c>
      <c r="G1346" s="6" t="s">
        <v>5973</v>
      </c>
      <c r="H1346" s="6" t="s">
        <v>3</v>
      </c>
      <c r="I1346" s="6" t="s">
        <v>184</v>
      </c>
      <c r="J1346" s="6"/>
      <c r="K1346" s="6"/>
      <c r="L1346" s="6" t="s">
        <v>185</v>
      </c>
      <c r="M1346" s="6"/>
      <c r="N1346" s="6" t="s">
        <v>186</v>
      </c>
      <c r="O1346" s="6" t="str">
        <f>HYPERLINK("https://ceds.ed.gov/cedselementdetails.aspx?termid=5214")</f>
        <v>https://ceds.ed.gov/cedselementdetails.aspx?termid=5214</v>
      </c>
      <c r="P1346" s="6" t="str">
        <f>HYPERLINK("https://ceds.ed.gov/elementComment.aspx?elementName=Address Postal Code &amp;elementID=5214", "Click here to submit comment")</f>
        <v>Click here to submit comment</v>
      </c>
    </row>
    <row r="1347" spans="1:16" ht="225">
      <c r="A1347" s="6" t="s">
        <v>6788</v>
      </c>
      <c r="B1347" s="6" t="s">
        <v>6829</v>
      </c>
      <c r="C1347" s="6" t="s">
        <v>6749</v>
      </c>
      <c r="D1347" s="6" t="s">
        <v>178</v>
      </c>
      <c r="E1347" s="6" t="s">
        <v>179</v>
      </c>
      <c r="F1347" s="6" t="s">
        <v>13</v>
      </c>
      <c r="G1347" s="6" t="s">
        <v>5973</v>
      </c>
      <c r="H1347" s="6" t="s">
        <v>3</v>
      </c>
      <c r="I1347" s="6" t="s">
        <v>100</v>
      </c>
      <c r="J1347" s="6"/>
      <c r="K1347" s="6"/>
      <c r="L1347" s="6" t="s">
        <v>180</v>
      </c>
      <c r="M1347" s="6"/>
      <c r="N1347" s="6" t="s">
        <v>181</v>
      </c>
      <c r="O1347" s="6" t="str">
        <f>HYPERLINK("https://ceds.ed.gov/cedselementdetails.aspx?termid=5190")</f>
        <v>https://ceds.ed.gov/cedselementdetails.aspx?termid=5190</v>
      </c>
      <c r="P1347" s="6" t="str">
        <f>HYPERLINK("https://ceds.ed.gov/elementComment.aspx?elementName=Address County Name &amp;elementID=5190", "Click here to submit comment")</f>
        <v>Click here to submit comment</v>
      </c>
    </row>
    <row r="1348" spans="1:16" ht="225">
      <c r="A1348" s="6" t="s">
        <v>6788</v>
      </c>
      <c r="B1348" s="6" t="s">
        <v>6784</v>
      </c>
      <c r="C1348" s="6" t="s">
        <v>6830</v>
      </c>
      <c r="D1348" s="6" t="s">
        <v>491</v>
      </c>
      <c r="E1348" s="6" t="s">
        <v>492</v>
      </c>
      <c r="F1348" s="7" t="s">
        <v>6381</v>
      </c>
      <c r="G1348" s="6" t="s">
        <v>493</v>
      </c>
      <c r="H1348" s="6"/>
      <c r="I1348" s="6"/>
      <c r="J1348" s="6"/>
      <c r="K1348" s="6"/>
      <c r="L1348" s="6" t="s">
        <v>494</v>
      </c>
      <c r="M1348" s="6"/>
      <c r="N1348" s="6" t="s">
        <v>495</v>
      </c>
      <c r="O1348" s="6" t="str">
        <f>HYPERLINK("https://ceds.ed.gov/cedselementdetails.aspx?termid=6003")</f>
        <v>https://ceds.ed.gov/cedselementdetails.aspx?termid=6003</v>
      </c>
      <c r="P1348" s="6" t="str">
        <f>HYPERLINK("https://ceds.ed.gov/elementComment.aspx?elementName=Assessment Early Learning Developmental Domain &amp;elementID=6003", "Click here to submit comment")</f>
        <v>Click here to submit comment</v>
      </c>
    </row>
    <row r="1349" spans="1:16" ht="30">
      <c r="A1349" s="6" t="s">
        <v>6788</v>
      </c>
      <c r="B1349" s="6" t="s">
        <v>6784</v>
      </c>
      <c r="C1349" s="6" t="s">
        <v>6830</v>
      </c>
      <c r="D1349" s="6" t="s">
        <v>1151</v>
      </c>
      <c r="E1349" s="6" t="s">
        <v>1152</v>
      </c>
      <c r="F1349" s="6" t="s">
        <v>13</v>
      </c>
      <c r="G1349" s="6"/>
      <c r="H1349" s="6"/>
      <c r="I1349" s="6" t="s">
        <v>100</v>
      </c>
      <c r="J1349" s="6"/>
      <c r="K1349" s="6" t="s">
        <v>1153</v>
      </c>
      <c r="L1349" s="6" t="s">
        <v>1154</v>
      </c>
      <c r="M1349" s="6"/>
      <c r="N1349" s="6" t="s">
        <v>1155</v>
      </c>
      <c r="O1349" s="6" t="str">
        <f>HYPERLINK("https://ceds.ed.gov/cedselementdetails.aspx?termid=6009")</f>
        <v>https://ceds.ed.gov/cedselementdetails.aspx?termid=6009</v>
      </c>
      <c r="P1349" s="6" t="str">
        <f>HYPERLINK("https://ceds.ed.gov/elementComment.aspx?elementName=Assessment Provider &amp;elementID=6009", "Click here to submit comment")</f>
        <v>Click here to submit comment</v>
      </c>
    </row>
    <row r="1350" spans="1:16" ht="409.5">
      <c r="A1350" s="6" t="s">
        <v>6788</v>
      </c>
      <c r="B1350" s="6" t="s">
        <v>6784</v>
      </c>
      <c r="C1350" s="6" t="s">
        <v>6830</v>
      </c>
      <c r="D1350" s="6" t="s">
        <v>1375</v>
      </c>
      <c r="E1350" s="6" t="s">
        <v>1376</v>
      </c>
      <c r="F1350" s="7" t="s">
        <v>6398</v>
      </c>
      <c r="G1350" s="6" t="s">
        <v>6064</v>
      </c>
      <c r="H1350" s="6"/>
      <c r="I1350" s="6"/>
      <c r="J1350" s="6"/>
      <c r="K1350" s="6"/>
      <c r="L1350" s="6" t="s">
        <v>1377</v>
      </c>
      <c r="M1350" s="6"/>
      <c r="N1350" s="6" t="s">
        <v>1378</v>
      </c>
      <c r="O1350" s="6" t="str">
        <f>HYPERLINK("https://ceds.ed.gov/cedselementdetails.aspx?termid=5368")</f>
        <v>https://ceds.ed.gov/cedselementdetails.aspx?termid=5368</v>
      </c>
      <c r="P1350" s="6" t="str">
        <f>HYPERLINK("https://ceds.ed.gov/elementComment.aspx?elementName=Assessment Subtest Score Metric Type &amp;elementID=5368", "Click here to submit comment")</f>
        <v>Click here to submit comment</v>
      </c>
    </row>
    <row r="1351" spans="1:16" ht="90">
      <c r="A1351" s="6" t="s">
        <v>6788</v>
      </c>
      <c r="B1351" s="6" t="s">
        <v>6784</v>
      </c>
      <c r="C1351" s="6" t="s">
        <v>6830</v>
      </c>
      <c r="D1351" s="6" t="s">
        <v>3406</v>
      </c>
      <c r="E1351" s="6" t="s">
        <v>3407</v>
      </c>
      <c r="F1351" s="5" t="s">
        <v>939</v>
      </c>
      <c r="G1351" s="6" t="s">
        <v>6214</v>
      </c>
      <c r="H1351" s="6" t="s">
        <v>66</v>
      </c>
      <c r="I1351" s="6"/>
      <c r="J1351" s="6" t="s">
        <v>2645</v>
      </c>
      <c r="K1351" s="6" t="s">
        <v>3408</v>
      </c>
      <c r="L1351" s="6" t="s">
        <v>3409</v>
      </c>
      <c r="M1351" s="6"/>
      <c r="N1351" s="6" t="s">
        <v>3410</v>
      </c>
      <c r="O1351" s="6" t="str">
        <f>HYPERLINK("https://ceds.ed.gov/cedselementdetails.aspx?termid=5317")</f>
        <v>https://ceds.ed.gov/cedselementdetails.aspx?termid=5317</v>
      </c>
      <c r="P1351" s="6" t="str">
        <f>HYPERLINK("https://ceds.ed.gov/elementComment.aspx?elementName=Language Code &amp;elementID=5317", "Click here to submit comment")</f>
        <v>Click here to submit comment</v>
      </c>
    </row>
    <row r="1352" spans="1:16" ht="60">
      <c r="A1352" s="6" t="s">
        <v>6788</v>
      </c>
      <c r="B1352" s="6" t="s">
        <v>6784</v>
      </c>
      <c r="C1352" s="6" t="s">
        <v>6831</v>
      </c>
      <c r="D1352" s="6" t="s">
        <v>496</v>
      </c>
      <c r="E1352" s="6" t="s">
        <v>497</v>
      </c>
      <c r="F1352" s="6" t="s">
        <v>13</v>
      </c>
      <c r="G1352" s="6"/>
      <c r="H1352" s="6"/>
      <c r="I1352" s="6" t="s">
        <v>100</v>
      </c>
      <c r="J1352" s="6"/>
      <c r="K1352" s="6" t="s">
        <v>498</v>
      </c>
      <c r="L1352" s="6" t="s">
        <v>499</v>
      </c>
      <c r="M1352" s="6"/>
      <c r="N1352" s="6" t="s">
        <v>500</v>
      </c>
      <c r="O1352" s="6" t="str">
        <f>HYPERLINK("https://ceds.ed.gov/cedselementdetails.aspx?termid=5934")</f>
        <v>https://ceds.ed.gov/cedselementdetails.aspx?termid=5934</v>
      </c>
      <c r="P1352" s="6" t="str">
        <f>HYPERLINK("https://ceds.ed.gov/elementComment.aspx?elementName=Assessment Family Short Name &amp;elementID=5934", "Click here to submit comment")</f>
        <v>Click here to submit comment</v>
      </c>
    </row>
    <row r="1353" spans="1:16" ht="90">
      <c r="A1353" s="6" t="s">
        <v>6788</v>
      </c>
      <c r="B1353" s="6" t="s">
        <v>6784</v>
      </c>
      <c r="C1353" s="6" t="s">
        <v>6831</v>
      </c>
      <c r="D1353" s="6" t="s">
        <v>501</v>
      </c>
      <c r="E1353" s="6" t="s">
        <v>502</v>
      </c>
      <c r="F1353" s="6" t="s">
        <v>13</v>
      </c>
      <c r="G1353" s="6"/>
      <c r="H1353" s="6"/>
      <c r="I1353" s="6" t="s">
        <v>106</v>
      </c>
      <c r="J1353" s="6"/>
      <c r="K1353" s="6"/>
      <c r="L1353" s="6" t="s">
        <v>503</v>
      </c>
      <c r="M1353" s="6"/>
      <c r="N1353" s="6" t="s">
        <v>504</v>
      </c>
      <c r="O1353" s="6" t="str">
        <f>HYPERLINK("https://ceds.ed.gov/cedselementdetails.aspx?termid=5933")</f>
        <v>https://ceds.ed.gov/cedselementdetails.aspx?termid=5933</v>
      </c>
      <c r="P1353" s="6" t="str">
        <f>HYPERLINK("https://ceds.ed.gov/elementComment.aspx?elementName=Assessment Family Title &amp;elementID=5933", "Click here to submit comment")</f>
        <v>Click here to submit comment</v>
      </c>
    </row>
    <row r="1354" spans="1:16" ht="150">
      <c r="A1354" s="6" t="s">
        <v>6788</v>
      </c>
      <c r="B1354" s="6" t="s">
        <v>6784</v>
      </c>
      <c r="C1354" s="6" t="s">
        <v>6832</v>
      </c>
      <c r="D1354" s="6" t="s">
        <v>514</v>
      </c>
      <c r="E1354" s="6" t="s">
        <v>515</v>
      </c>
      <c r="F1354" s="6" t="s">
        <v>13</v>
      </c>
      <c r="G1354" s="6" t="s">
        <v>6006</v>
      </c>
      <c r="H1354" s="6"/>
      <c r="I1354" s="6" t="s">
        <v>149</v>
      </c>
      <c r="J1354" s="6"/>
      <c r="K1354" s="6"/>
      <c r="L1354" s="6" t="s">
        <v>516</v>
      </c>
      <c r="M1354" s="6"/>
      <c r="N1354" s="6" t="s">
        <v>517</v>
      </c>
      <c r="O1354" s="6" t="str">
        <f>HYPERLINK("https://ceds.ed.gov/cedselementdetails.aspx?termid=5024")</f>
        <v>https://ceds.ed.gov/cedselementdetails.aspx?termid=5024</v>
      </c>
      <c r="P1354" s="6" t="str">
        <f>HYPERLINK("https://ceds.ed.gov/elementComment.aspx?elementName=Assessment Form Name &amp;elementID=5024", "Click here to submit comment")</f>
        <v>Click here to submit comment</v>
      </c>
    </row>
    <row r="1355" spans="1:16" ht="45">
      <c r="A1355" s="6" t="s">
        <v>6788</v>
      </c>
      <c r="B1355" s="6" t="s">
        <v>6784</v>
      </c>
      <c r="C1355" s="6" t="s">
        <v>6832</v>
      </c>
      <c r="D1355" s="6" t="s">
        <v>518</v>
      </c>
      <c r="E1355" s="6" t="s">
        <v>519</v>
      </c>
      <c r="F1355" s="6" t="s">
        <v>13</v>
      </c>
      <c r="G1355" s="6" t="s">
        <v>5992</v>
      </c>
      <c r="H1355" s="6"/>
      <c r="I1355" s="6" t="s">
        <v>100</v>
      </c>
      <c r="J1355" s="6"/>
      <c r="K1355" s="6"/>
      <c r="L1355" s="6" t="s">
        <v>520</v>
      </c>
      <c r="M1355" s="6"/>
      <c r="N1355" s="6" t="s">
        <v>521</v>
      </c>
      <c r="O1355" s="6" t="str">
        <f>HYPERLINK("https://ceds.ed.gov/cedselementdetails.aspx?termid=5365")</f>
        <v>https://ceds.ed.gov/cedselementdetails.aspx?termid=5365</v>
      </c>
      <c r="P1355" s="6" t="str">
        <f>HYPERLINK("https://ceds.ed.gov/elementComment.aspx?elementName=Assessment Form Number &amp;elementID=5365", "Click here to submit comment")</f>
        <v>Click here to submit comment</v>
      </c>
    </row>
    <row r="1356" spans="1:16" ht="405">
      <c r="A1356" s="6" t="s">
        <v>6788</v>
      </c>
      <c r="B1356" s="6" t="s">
        <v>6784</v>
      </c>
      <c r="C1356" s="6" t="s">
        <v>6832</v>
      </c>
      <c r="D1356" s="6" t="s">
        <v>395</v>
      </c>
      <c r="E1356" s="6" t="s">
        <v>396</v>
      </c>
      <c r="F1356" s="7" t="s">
        <v>6375</v>
      </c>
      <c r="G1356" s="6" t="s">
        <v>5990</v>
      </c>
      <c r="H1356" s="6"/>
      <c r="I1356" s="6"/>
      <c r="J1356" s="6"/>
      <c r="K1356" s="6"/>
      <c r="L1356" s="6" t="s">
        <v>397</v>
      </c>
      <c r="M1356" s="6"/>
      <c r="N1356" s="6" t="s">
        <v>398</v>
      </c>
      <c r="O1356" s="6" t="str">
        <f>HYPERLINK("https://ceds.ed.gov/cedselementdetails.aspx?termid=5021")</f>
        <v>https://ceds.ed.gov/cedselementdetails.aspx?termid=5021</v>
      </c>
      <c r="P1356" s="6" t="str">
        <f>HYPERLINK("https://ceds.ed.gov/elementComment.aspx?elementName=Assessment Academic Subject &amp;elementID=5021", "Click here to submit comment")</f>
        <v>Click here to submit comment</v>
      </c>
    </row>
    <row r="1357" spans="1:16" ht="75">
      <c r="A1357" s="6" t="s">
        <v>6788</v>
      </c>
      <c r="B1357" s="6" t="s">
        <v>6784</v>
      </c>
      <c r="C1357" s="6" t="s">
        <v>6832</v>
      </c>
      <c r="D1357" s="6" t="s">
        <v>505</v>
      </c>
      <c r="E1357" s="6" t="s">
        <v>506</v>
      </c>
      <c r="F1357" s="6" t="s">
        <v>13</v>
      </c>
      <c r="G1357" s="6"/>
      <c r="H1357" s="6"/>
      <c r="I1357" s="6" t="s">
        <v>319</v>
      </c>
      <c r="J1357" s="6"/>
      <c r="K1357" s="6"/>
      <c r="L1357" s="6" t="s">
        <v>507</v>
      </c>
      <c r="M1357" s="6"/>
      <c r="N1357" s="6" t="s">
        <v>508</v>
      </c>
      <c r="O1357" s="6" t="str">
        <f>HYPERLINK("https://ceds.ed.gov/cedselementdetails.aspx?termid=6136")</f>
        <v>https://ceds.ed.gov/cedselementdetails.aspx?termid=6136</v>
      </c>
      <c r="P1357" s="6" t="str">
        <f>HYPERLINK("https://ceds.ed.gov/elementComment.aspx?elementName=Assessment Form Accommodation List &amp;elementID=6136", "Click here to submit comment")</f>
        <v>Click here to submit comment</v>
      </c>
    </row>
    <row r="1358" spans="1:16" ht="75">
      <c r="A1358" s="6" t="s">
        <v>6788</v>
      </c>
      <c r="B1358" s="6" t="s">
        <v>6784</v>
      </c>
      <c r="C1358" s="6" t="s">
        <v>6832</v>
      </c>
      <c r="D1358" s="6" t="s">
        <v>509</v>
      </c>
      <c r="E1358" s="6" t="s">
        <v>510</v>
      </c>
      <c r="F1358" s="6" t="s">
        <v>13</v>
      </c>
      <c r="G1358" s="6"/>
      <c r="H1358" s="6" t="s">
        <v>66</v>
      </c>
      <c r="I1358" s="6" t="s">
        <v>73</v>
      </c>
      <c r="J1358" s="6" t="s">
        <v>511</v>
      </c>
      <c r="K1358" s="6"/>
      <c r="L1358" s="6" t="s">
        <v>512</v>
      </c>
      <c r="M1358" s="6"/>
      <c r="N1358" s="6" t="s">
        <v>513</v>
      </c>
      <c r="O1358" s="6" t="str">
        <f>HYPERLINK("https://ceds.ed.gov/cedselementdetails.aspx?termid=6138")</f>
        <v>https://ceds.ed.gov/cedselementdetails.aspx?termid=6138</v>
      </c>
      <c r="P1358" s="6" t="str">
        <f>HYPERLINK("https://ceds.ed.gov/elementComment.aspx?elementName=Assessment Form Intended Administration End Date &amp;elementID=6138", "Click here to submit comment")</f>
        <v>Click here to submit comment</v>
      </c>
    </row>
    <row r="1359" spans="1:16" ht="45">
      <c r="A1359" s="6" t="s">
        <v>6788</v>
      </c>
      <c r="B1359" s="6" t="s">
        <v>6784</v>
      </c>
      <c r="C1359" s="6" t="s">
        <v>6832</v>
      </c>
      <c r="D1359" s="6" t="s">
        <v>522</v>
      </c>
      <c r="E1359" s="6" t="s">
        <v>523</v>
      </c>
      <c r="F1359" s="6" t="s">
        <v>13</v>
      </c>
      <c r="G1359" s="6"/>
      <c r="H1359" s="6"/>
      <c r="I1359" s="6" t="s">
        <v>319</v>
      </c>
      <c r="J1359" s="6"/>
      <c r="K1359" s="6"/>
      <c r="L1359" s="6" t="s">
        <v>524</v>
      </c>
      <c r="M1359" s="6"/>
      <c r="N1359" s="6" t="s">
        <v>525</v>
      </c>
      <c r="O1359" s="6" t="str">
        <f>HYPERLINK("https://ceds.ed.gov/cedselementdetails.aspx?termid=6139")</f>
        <v>https://ceds.ed.gov/cedselementdetails.aspx?termid=6139</v>
      </c>
      <c r="P1359" s="6" t="str">
        <f>HYPERLINK("https://ceds.ed.gov/elementComment.aspx?elementName=Assessment Form Platforms Supported &amp;elementID=6139", "Click here to submit comment")</f>
        <v>Click here to submit comment</v>
      </c>
    </row>
    <row r="1360" spans="1:16" ht="30">
      <c r="A1360" s="6" t="s">
        <v>6788</v>
      </c>
      <c r="B1360" s="6" t="s">
        <v>6784</v>
      </c>
      <c r="C1360" s="6" t="s">
        <v>6832</v>
      </c>
      <c r="D1360" s="6" t="s">
        <v>578</v>
      </c>
      <c r="E1360" s="6" t="s">
        <v>579</v>
      </c>
      <c r="F1360" s="6" t="s">
        <v>13</v>
      </c>
      <c r="G1360" s="6"/>
      <c r="H1360" s="6"/>
      <c r="I1360" s="6" t="s">
        <v>100</v>
      </c>
      <c r="J1360" s="6"/>
      <c r="K1360" s="6"/>
      <c r="L1360" s="6" t="s">
        <v>580</v>
      </c>
      <c r="M1360" s="6"/>
      <c r="N1360" s="6" t="s">
        <v>581</v>
      </c>
      <c r="O1360" s="6" t="str">
        <f>HYPERLINK("https://ceds.ed.gov/cedselementdetails.aspx?termid=6134")</f>
        <v>https://ceds.ed.gov/cedselementdetails.aspx?termid=6134</v>
      </c>
      <c r="P1360" s="6" t="str">
        <f>HYPERLINK("https://ceds.ed.gov/elementComment.aspx?elementName=Assessment Form Version &amp;elementID=6134", "Click here to submit comment")</f>
        <v>Click here to submit comment</v>
      </c>
    </row>
    <row r="1361" spans="1:16" ht="45">
      <c r="A1361" s="6" t="s">
        <v>6788</v>
      </c>
      <c r="B1361" s="6" t="s">
        <v>6784</v>
      </c>
      <c r="C1361" s="6" t="s">
        <v>6832</v>
      </c>
      <c r="D1361" s="6" t="s">
        <v>937</v>
      </c>
      <c r="E1361" s="6" t="s">
        <v>938</v>
      </c>
      <c r="F1361" s="5" t="s">
        <v>939</v>
      </c>
      <c r="G1361" s="6"/>
      <c r="H1361" s="6"/>
      <c r="I1361" s="6"/>
      <c r="J1361" s="6"/>
      <c r="K1361" s="6"/>
      <c r="L1361" s="6" t="s">
        <v>940</v>
      </c>
      <c r="M1361" s="6"/>
      <c r="N1361" s="6" t="s">
        <v>941</v>
      </c>
      <c r="O1361" s="6" t="str">
        <f>HYPERLINK("https://ceds.ed.gov/cedselementdetails.aspx?termid=6073")</f>
        <v>https://ceds.ed.gov/cedselementdetails.aspx?termid=6073</v>
      </c>
      <c r="P1361" s="6" t="str">
        <f>HYPERLINK("https://ceds.ed.gov/elementComment.aspx?elementName=Assessment Language &amp;elementID=6073", "Click here to submit comment")</f>
        <v>Click here to submit comment</v>
      </c>
    </row>
    <row r="1362" spans="1:16" ht="45">
      <c r="A1362" s="6" t="s">
        <v>6788</v>
      </c>
      <c r="B1362" s="6" t="s">
        <v>6784</v>
      </c>
      <c r="C1362" s="6" t="s">
        <v>6832</v>
      </c>
      <c r="D1362" s="6" t="s">
        <v>3347</v>
      </c>
      <c r="E1362" s="6" t="s">
        <v>3348</v>
      </c>
      <c r="F1362" s="6" t="s">
        <v>13</v>
      </c>
      <c r="G1362" s="6"/>
      <c r="H1362" s="6"/>
      <c r="I1362" s="6" t="s">
        <v>73</v>
      </c>
      <c r="J1362" s="6"/>
      <c r="K1362" s="6"/>
      <c r="L1362" s="6" t="s">
        <v>3349</v>
      </c>
      <c r="M1362" s="6"/>
      <c r="N1362" s="6" t="s">
        <v>3350</v>
      </c>
      <c r="O1362" s="6" t="str">
        <f>HYPERLINK("https://ceds.ed.gov/cedselementdetails.aspx?termid=6137")</f>
        <v>https://ceds.ed.gov/cedselementdetails.aspx?termid=6137</v>
      </c>
      <c r="P1362" s="6" t="str">
        <f>HYPERLINK("https://ceds.ed.gov/elementComment.aspx?elementName=Intended Administration Start Date &amp;elementID=6137", "Click here to submit comment")</f>
        <v>Click here to submit comment</v>
      </c>
    </row>
    <row r="1363" spans="1:16" ht="60">
      <c r="A1363" s="6" t="s">
        <v>6788</v>
      </c>
      <c r="B1363" s="6" t="s">
        <v>6784</v>
      </c>
      <c r="C1363" s="6" t="s">
        <v>6832</v>
      </c>
      <c r="D1363" s="6" t="s">
        <v>3665</v>
      </c>
      <c r="E1363" s="6" t="s">
        <v>3666</v>
      </c>
      <c r="F1363" s="6" t="s">
        <v>13</v>
      </c>
      <c r="G1363" s="6"/>
      <c r="H1363" s="6"/>
      <c r="I1363" s="6" t="s">
        <v>73</v>
      </c>
      <c r="J1363" s="6"/>
      <c r="K1363" s="6"/>
      <c r="L1363" s="6" t="s">
        <v>3667</v>
      </c>
      <c r="M1363" s="6"/>
      <c r="N1363" s="6" t="s">
        <v>3668</v>
      </c>
      <c r="O1363" s="6" t="str">
        <f>HYPERLINK("https://ceds.ed.gov/cedselementdetails.aspx?termid=6135")</f>
        <v>https://ceds.ed.gov/cedselementdetails.aspx?termid=6135</v>
      </c>
      <c r="P1363" s="6" t="str">
        <f>HYPERLINK("https://ceds.ed.gov/elementComment.aspx?elementName=Learning Resource Published Date &amp;elementID=6135", "Click here to submit comment")</f>
        <v>Click here to submit comment</v>
      </c>
    </row>
    <row r="1364" spans="1:16" ht="75">
      <c r="A1364" s="6" t="s">
        <v>6788</v>
      </c>
      <c r="B1364" s="6" t="s">
        <v>6784</v>
      </c>
      <c r="C1364" s="6" t="s">
        <v>6833</v>
      </c>
      <c r="D1364" s="6" t="s">
        <v>526</v>
      </c>
      <c r="E1364" s="6" t="s">
        <v>527</v>
      </c>
      <c r="F1364" s="6" t="s">
        <v>13</v>
      </c>
      <c r="G1364" s="6"/>
      <c r="H1364" s="6"/>
      <c r="I1364" s="6" t="s">
        <v>528</v>
      </c>
      <c r="J1364" s="6"/>
      <c r="K1364" s="6"/>
      <c r="L1364" s="6" t="s">
        <v>529</v>
      </c>
      <c r="M1364" s="6"/>
      <c r="N1364" s="6" t="s">
        <v>530</v>
      </c>
      <c r="O1364" s="6" t="str">
        <f>HYPERLINK("https://ceds.ed.gov/cedselementdetails.aspx?termid=5981")</f>
        <v>https://ceds.ed.gov/cedselementdetails.aspx?termid=5981</v>
      </c>
      <c r="P1364" s="6" t="str">
        <f>HYPERLINK("https://ceds.ed.gov/elementComment.aspx?elementName=Assessment Form Section GUID &amp;elementID=5981", "Click here to submit comment")</f>
        <v>Click here to submit comment</v>
      </c>
    </row>
    <row r="1365" spans="1:16" ht="75">
      <c r="A1365" s="6" t="s">
        <v>6788</v>
      </c>
      <c r="B1365" s="6" t="s">
        <v>6784</v>
      </c>
      <c r="C1365" s="6" t="s">
        <v>6833</v>
      </c>
      <c r="D1365" s="6" t="s">
        <v>531</v>
      </c>
      <c r="E1365" s="6" t="s">
        <v>532</v>
      </c>
      <c r="F1365" s="6" t="s">
        <v>13</v>
      </c>
      <c r="G1365" s="6"/>
      <c r="H1365" s="6"/>
      <c r="I1365" s="6" t="s">
        <v>100</v>
      </c>
      <c r="J1365" s="6"/>
      <c r="K1365" s="6"/>
      <c r="L1365" s="6" t="s">
        <v>533</v>
      </c>
      <c r="M1365" s="6"/>
      <c r="N1365" s="6" t="s">
        <v>534</v>
      </c>
      <c r="O1365" s="6" t="str">
        <f>HYPERLINK("https://ceds.ed.gov/cedselementdetails.aspx?termid=6142")</f>
        <v>https://ceds.ed.gov/cedselementdetails.aspx?termid=6142</v>
      </c>
      <c r="P1365" s="6" t="str">
        <f>HYPERLINK("https://ceds.ed.gov/elementComment.aspx?elementName=Assessment Form Section Identifier &amp;elementID=6142", "Click here to submit comment")</f>
        <v>Click here to submit comment</v>
      </c>
    </row>
    <row r="1366" spans="1:16" ht="405">
      <c r="A1366" s="6" t="s">
        <v>6788</v>
      </c>
      <c r="B1366" s="6" t="s">
        <v>6784</v>
      </c>
      <c r="C1366" s="6" t="s">
        <v>6833</v>
      </c>
      <c r="D1366" s="6" t="s">
        <v>395</v>
      </c>
      <c r="E1366" s="6" t="s">
        <v>396</v>
      </c>
      <c r="F1366" s="7" t="s">
        <v>6375</v>
      </c>
      <c r="G1366" s="6" t="s">
        <v>5990</v>
      </c>
      <c r="H1366" s="6"/>
      <c r="I1366" s="6"/>
      <c r="J1366" s="6"/>
      <c r="K1366" s="6"/>
      <c r="L1366" s="6" t="s">
        <v>397</v>
      </c>
      <c r="M1366" s="6"/>
      <c r="N1366" s="6" t="s">
        <v>398</v>
      </c>
      <c r="O1366" s="6" t="str">
        <f>HYPERLINK("https://ceds.ed.gov/cedselementdetails.aspx?termid=5021")</f>
        <v>https://ceds.ed.gov/cedselementdetails.aspx?termid=5021</v>
      </c>
      <c r="P1366" s="6" t="str">
        <f>HYPERLINK("https://ceds.ed.gov/elementComment.aspx?elementName=Assessment Academic Subject &amp;elementID=5021", "Click here to submit comment")</f>
        <v>Click here to submit comment</v>
      </c>
    </row>
    <row r="1367" spans="1:16" ht="45">
      <c r="A1367" s="6" t="s">
        <v>6788</v>
      </c>
      <c r="B1367" s="6" t="s">
        <v>6784</v>
      </c>
      <c r="C1367" s="6" t="s">
        <v>6833</v>
      </c>
      <c r="D1367" s="6" t="s">
        <v>543</v>
      </c>
      <c r="E1367" s="6" t="s">
        <v>544</v>
      </c>
      <c r="F1367" s="6" t="s">
        <v>13</v>
      </c>
      <c r="G1367" s="6"/>
      <c r="H1367" s="6"/>
      <c r="I1367" s="6" t="s">
        <v>545</v>
      </c>
      <c r="J1367" s="6"/>
      <c r="K1367" s="6"/>
      <c r="L1367" s="6" t="s">
        <v>546</v>
      </c>
      <c r="M1367" s="6"/>
      <c r="N1367" s="6" t="s">
        <v>547</v>
      </c>
      <c r="O1367" s="6" t="str">
        <f>HYPERLINK("https://ceds.ed.gov/cedselementdetails.aspx?termid=5980")</f>
        <v>https://ceds.ed.gov/cedselementdetails.aspx?termid=5980</v>
      </c>
      <c r="P1367" s="6" t="str">
        <f>HYPERLINK("https://ceds.ed.gov/elementComment.aspx?elementName=Assessment Form Section Sequence Number &amp;elementID=5980", "Click here to submit comment")</f>
        <v>Click here to submit comment</v>
      </c>
    </row>
    <row r="1368" spans="1:16" ht="45">
      <c r="A1368" s="6" t="s">
        <v>6788</v>
      </c>
      <c r="B1368" s="6" t="s">
        <v>6784</v>
      </c>
      <c r="C1368" s="6" t="s">
        <v>6833</v>
      </c>
      <c r="D1368" s="6" t="s">
        <v>552</v>
      </c>
      <c r="E1368" s="6" t="s">
        <v>553</v>
      </c>
      <c r="F1368" s="6" t="s">
        <v>13</v>
      </c>
      <c r="G1368" s="6"/>
      <c r="H1368" s="6"/>
      <c r="I1368" s="6" t="s">
        <v>100</v>
      </c>
      <c r="J1368" s="6"/>
      <c r="K1368" s="6"/>
      <c r="L1368" s="6" t="s">
        <v>554</v>
      </c>
      <c r="M1368" s="6"/>
      <c r="N1368" s="6" t="s">
        <v>555</v>
      </c>
      <c r="O1368" s="6" t="str">
        <f>HYPERLINK("https://ceds.ed.gov/cedselementdetails.aspx?termid=6140")</f>
        <v>https://ceds.ed.gov/cedselementdetails.aspx?termid=6140</v>
      </c>
      <c r="P1368" s="6" t="str">
        <f>HYPERLINK("https://ceds.ed.gov/elementComment.aspx?elementName=Assessment Form Section Version &amp;elementID=6140", "Click here to submit comment")</f>
        <v>Click here to submit comment</v>
      </c>
    </row>
    <row r="1369" spans="1:16" ht="75">
      <c r="A1369" s="6" t="s">
        <v>6788</v>
      </c>
      <c r="B1369" s="6" t="s">
        <v>6784</v>
      </c>
      <c r="C1369" s="6" t="s">
        <v>6833</v>
      </c>
      <c r="D1369" s="6" t="s">
        <v>3080</v>
      </c>
      <c r="E1369" s="6" t="s">
        <v>3081</v>
      </c>
      <c r="F1369" s="6" t="s">
        <v>6065</v>
      </c>
      <c r="G1369" s="6"/>
      <c r="H1369" s="6"/>
      <c r="I1369" s="6"/>
      <c r="J1369" s="6"/>
      <c r="K1369" s="6"/>
      <c r="L1369" s="6" t="s">
        <v>3082</v>
      </c>
      <c r="M1369" s="6"/>
      <c r="N1369" s="6" t="s">
        <v>3083</v>
      </c>
      <c r="O1369" s="6" t="str">
        <f>HYPERLINK("https://ceds.ed.gov/cedselementdetails.aspx?termid=6141")</f>
        <v>https://ceds.ed.gov/cedselementdetails.aspx?termid=6141</v>
      </c>
      <c r="P1369" s="6" t="str">
        <f>HYPERLINK("https://ceds.ed.gov/elementComment.aspx?elementName=Identification System for Assessment Form Section &amp;elementID=6141", "Click here to submit comment")</f>
        <v>Click here to submit comment</v>
      </c>
    </row>
    <row r="1370" spans="1:16" ht="60">
      <c r="A1370" s="6" t="s">
        <v>6788</v>
      </c>
      <c r="B1370" s="6" t="s">
        <v>6784</v>
      </c>
      <c r="C1370" s="6" t="s">
        <v>6833</v>
      </c>
      <c r="D1370" s="6" t="s">
        <v>548</v>
      </c>
      <c r="E1370" s="6" t="s">
        <v>549</v>
      </c>
      <c r="F1370" s="6" t="s">
        <v>13</v>
      </c>
      <c r="G1370" s="6"/>
      <c r="H1370" s="6"/>
      <c r="I1370" s="6" t="s">
        <v>426</v>
      </c>
      <c r="J1370" s="6"/>
      <c r="K1370" s="6"/>
      <c r="L1370" s="6" t="s">
        <v>550</v>
      </c>
      <c r="M1370" s="6"/>
      <c r="N1370" s="6" t="s">
        <v>551</v>
      </c>
      <c r="O1370" s="6" t="str">
        <f>HYPERLINK("https://ceds.ed.gov/cedselementdetails.aspx?termid=6143")</f>
        <v>https://ceds.ed.gov/cedselementdetails.aspx?termid=6143</v>
      </c>
      <c r="P1370" s="6" t="str">
        <f>HYPERLINK("https://ceds.ed.gov/elementComment.aspx?elementName=Assessment Form Section Time Limit &amp;elementID=6143", "Click here to submit comment")</f>
        <v>Click here to submit comment</v>
      </c>
    </row>
    <row r="1371" spans="1:16" ht="60">
      <c r="A1371" s="6" t="s">
        <v>6788</v>
      </c>
      <c r="B1371" s="6" t="s">
        <v>6784</v>
      </c>
      <c r="C1371" s="6" t="s">
        <v>6833</v>
      </c>
      <c r="D1371" s="6" t="s">
        <v>539</v>
      </c>
      <c r="E1371" s="6" t="s">
        <v>540</v>
      </c>
      <c r="F1371" s="6" t="s">
        <v>5963</v>
      </c>
      <c r="G1371" s="6"/>
      <c r="H1371" s="6"/>
      <c r="I1371" s="6"/>
      <c r="J1371" s="6"/>
      <c r="K1371" s="6"/>
      <c r="L1371" s="6" t="s">
        <v>541</v>
      </c>
      <c r="M1371" s="6"/>
      <c r="N1371" s="6" t="s">
        <v>542</v>
      </c>
      <c r="O1371" s="6" t="str">
        <f>HYPERLINK("https://ceds.ed.gov/cedselementdetails.aspx?termid=6144")</f>
        <v>https://ceds.ed.gov/cedselementdetails.aspx?termid=6144</v>
      </c>
      <c r="P1371" s="6" t="str">
        <f>HYPERLINK("https://ceds.ed.gov/elementComment.aspx?elementName=Assessment Form Section Sealed &amp;elementID=6144", "Click here to submit comment")</f>
        <v>Click here to submit comment</v>
      </c>
    </row>
    <row r="1372" spans="1:16" ht="150">
      <c r="A1372" s="6" t="s">
        <v>6788</v>
      </c>
      <c r="B1372" s="6" t="s">
        <v>6784</v>
      </c>
      <c r="C1372" s="6" t="s">
        <v>6833</v>
      </c>
      <c r="D1372" s="6" t="s">
        <v>535</v>
      </c>
      <c r="E1372" s="6" t="s">
        <v>536</v>
      </c>
      <c r="F1372" s="6" t="s">
        <v>5963</v>
      </c>
      <c r="G1372" s="6"/>
      <c r="H1372" s="6"/>
      <c r="I1372" s="6"/>
      <c r="J1372" s="6"/>
      <c r="K1372" s="6"/>
      <c r="L1372" s="6" t="s">
        <v>537</v>
      </c>
      <c r="M1372" s="6"/>
      <c r="N1372" s="6" t="s">
        <v>538</v>
      </c>
      <c r="O1372" s="6" t="str">
        <f>HYPERLINK("https://ceds.ed.gov/cedselementdetails.aspx?termid=6145")</f>
        <v>https://ceds.ed.gov/cedselementdetails.aspx?termid=6145</v>
      </c>
      <c r="P1372" s="6" t="str">
        <f>HYPERLINK("https://ceds.ed.gov/elementComment.aspx?elementName=Assessment Form Section Reentry &amp;elementID=6145", "Click here to submit comment")</f>
        <v>Click here to submit comment</v>
      </c>
    </row>
    <row r="1373" spans="1:16" ht="60">
      <c r="A1373" s="6" t="s">
        <v>6788</v>
      </c>
      <c r="B1373" s="6" t="s">
        <v>6784</v>
      </c>
      <c r="C1373" s="6" t="s">
        <v>6833</v>
      </c>
      <c r="D1373" s="6" t="s">
        <v>3665</v>
      </c>
      <c r="E1373" s="6" t="s">
        <v>3666</v>
      </c>
      <c r="F1373" s="6" t="s">
        <v>13</v>
      </c>
      <c r="G1373" s="6"/>
      <c r="H1373" s="6"/>
      <c r="I1373" s="6" t="s">
        <v>73</v>
      </c>
      <c r="J1373" s="6"/>
      <c r="K1373" s="6"/>
      <c r="L1373" s="6" t="s">
        <v>3667</v>
      </c>
      <c r="M1373" s="6"/>
      <c r="N1373" s="6" t="s">
        <v>3668</v>
      </c>
      <c r="O1373" s="6" t="str">
        <f>HYPERLINK("https://ceds.ed.gov/cedselementdetails.aspx?termid=6135")</f>
        <v>https://ceds.ed.gov/cedselementdetails.aspx?termid=6135</v>
      </c>
      <c r="P1373" s="6" t="str">
        <f>HYPERLINK("https://ceds.ed.gov/elementComment.aspx?elementName=Learning Resource Published Date &amp;elementID=6135", "Click here to submit comment")</f>
        <v>Click here to submit comment</v>
      </c>
    </row>
    <row r="1374" spans="1:16" ht="150">
      <c r="A1374" s="6" t="s">
        <v>6788</v>
      </c>
      <c r="B1374" s="6" t="s">
        <v>6784</v>
      </c>
      <c r="C1374" s="6" t="s">
        <v>6834</v>
      </c>
      <c r="D1374" s="6" t="s">
        <v>561</v>
      </c>
      <c r="E1374" s="6" t="s">
        <v>562</v>
      </c>
      <c r="F1374" s="6" t="s">
        <v>13</v>
      </c>
      <c r="G1374" s="6"/>
      <c r="H1374" s="6"/>
      <c r="I1374" s="6" t="s">
        <v>545</v>
      </c>
      <c r="J1374" s="6"/>
      <c r="K1374" s="6"/>
      <c r="L1374" s="6" t="s">
        <v>563</v>
      </c>
      <c r="M1374" s="6"/>
      <c r="N1374" s="6" t="s">
        <v>564</v>
      </c>
      <c r="O1374" s="6" t="str">
        <f>HYPERLINK("https://ceds.ed.gov/cedselementdetails.aspx?termid=6013")</f>
        <v>https://ceds.ed.gov/cedselementdetails.aspx?termid=6013</v>
      </c>
      <c r="P1374" s="6" t="str">
        <f>HYPERLINK("https://ceds.ed.gov/elementComment.aspx?elementName=Assessment Form Subtest Item Weight Correct &amp;elementID=6013", "Click here to submit comment")</f>
        <v>Click here to submit comment</v>
      </c>
    </row>
    <row r="1375" spans="1:16" ht="90">
      <c r="A1375" s="6" t="s">
        <v>6788</v>
      </c>
      <c r="B1375" s="6" t="s">
        <v>6784</v>
      </c>
      <c r="C1375" s="6" t="s">
        <v>6834</v>
      </c>
      <c r="D1375" s="6" t="s">
        <v>565</v>
      </c>
      <c r="E1375" s="6" t="s">
        <v>566</v>
      </c>
      <c r="F1375" s="6" t="s">
        <v>13</v>
      </c>
      <c r="G1375" s="6"/>
      <c r="H1375" s="6"/>
      <c r="I1375" s="6" t="s">
        <v>545</v>
      </c>
      <c r="J1375" s="6"/>
      <c r="K1375" s="6"/>
      <c r="L1375" s="6" t="s">
        <v>567</v>
      </c>
      <c r="M1375" s="6"/>
      <c r="N1375" s="6" t="s">
        <v>568</v>
      </c>
      <c r="O1375" s="6" t="str">
        <f>HYPERLINK("https://ceds.ed.gov/cedselementdetails.aspx?termid=6014")</f>
        <v>https://ceds.ed.gov/cedselementdetails.aspx?termid=6014</v>
      </c>
      <c r="P1375" s="6" t="str">
        <f>HYPERLINK("https://ceds.ed.gov/elementComment.aspx?elementName=Assessment Form Subtest Item Weight Incorrect &amp;elementID=6014", "Click here to submit comment")</f>
        <v>Click here to submit comment</v>
      </c>
    </row>
    <row r="1376" spans="1:16" ht="105">
      <c r="A1376" s="6" t="s">
        <v>6788</v>
      </c>
      <c r="B1376" s="6" t="s">
        <v>6784</v>
      </c>
      <c r="C1376" s="6" t="s">
        <v>6834</v>
      </c>
      <c r="D1376" s="6" t="s">
        <v>569</v>
      </c>
      <c r="E1376" s="6" t="s">
        <v>570</v>
      </c>
      <c r="F1376" s="6" t="s">
        <v>13</v>
      </c>
      <c r="G1376" s="6"/>
      <c r="H1376" s="6"/>
      <c r="I1376" s="6" t="s">
        <v>545</v>
      </c>
      <c r="J1376" s="6"/>
      <c r="K1376" s="6"/>
      <c r="L1376" s="6" t="s">
        <v>571</v>
      </c>
      <c r="M1376" s="6"/>
      <c r="N1376" s="6" t="s">
        <v>572</v>
      </c>
      <c r="O1376" s="6" t="str">
        <f>HYPERLINK("https://ceds.ed.gov/cedselementdetails.aspx?termid=6015")</f>
        <v>https://ceds.ed.gov/cedselementdetails.aspx?termid=6015</v>
      </c>
      <c r="P1376" s="6" t="str">
        <f>HYPERLINK("https://ceds.ed.gov/elementComment.aspx?elementName=Assessment Form Subtest Item Weight Not Attempted &amp;elementID=6015", "Click here to submit comment")</f>
        <v>Click here to submit comment</v>
      </c>
    </row>
    <row r="1377" spans="1:16" ht="45">
      <c r="A1377" s="6" t="s">
        <v>6788</v>
      </c>
      <c r="B1377" s="6" t="s">
        <v>6784</v>
      </c>
      <c r="C1377" s="6" t="s">
        <v>6835</v>
      </c>
      <c r="D1377" s="6" t="s">
        <v>1281</v>
      </c>
      <c r="E1377" s="6" t="s">
        <v>1282</v>
      </c>
      <c r="F1377" s="6" t="s">
        <v>6062</v>
      </c>
      <c r="G1377" s="6"/>
      <c r="H1377" s="6"/>
      <c r="I1377" s="6"/>
      <c r="J1377" s="6"/>
      <c r="K1377" s="6"/>
      <c r="L1377" s="6" t="s">
        <v>1283</v>
      </c>
      <c r="M1377" s="6"/>
      <c r="N1377" s="6" t="s">
        <v>1284</v>
      </c>
      <c r="O1377" s="6" t="str">
        <f>HYPERLINK("https://ceds.ed.gov/cedselementdetails.aspx?termid=6020")</f>
        <v>https://ceds.ed.gov/cedselementdetails.aspx?termid=6020</v>
      </c>
      <c r="P1377" s="6" t="str">
        <f>HYPERLINK("https://ceds.ed.gov/elementComment.aspx?elementName=Assessment Session Type &amp;elementID=6020", "Click here to submit comment")</f>
        <v>Click here to submit comment</v>
      </c>
    </row>
    <row r="1378" spans="1:16" ht="45">
      <c r="A1378" s="6" t="s">
        <v>6788</v>
      </c>
      <c r="B1378" s="6" t="s">
        <v>6784</v>
      </c>
      <c r="C1378" s="6" t="s">
        <v>6835</v>
      </c>
      <c r="D1378" s="6" t="s">
        <v>1247</v>
      </c>
      <c r="E1378" s="6" t="s">
        <v>1248</v>
      </c>
      <c r="F1378" s="6" t="s">
        <v>13</v>
      </c>
      <c r="G1378" s="6" t="s">
        <v>5992</v>
      </c>
      <c r="H1378" s="6"/>
      <c r="I1378" s="6" t="s">
        <v>1249</v>
      </c>
      <c r="J1378" s="6"/>
      <c r="K1378" s="6"/>
      <c r="L1378" s="6" t="s">
        <v>1250</v>
      </c>
      <c r="M1378" s="6"/>
      <c r="N1378" s="6" t="s">
        <v>1251</v>
      </c>
      <c r="O1378" s="6" t="str">
        <f>HYPERLINK("https://ceds.ed.gov/cedselementdetails.aspx?termid=5590")</f>
        <v>https://ceds.ed.gov/cedselementdetails.aspx?termid=5590</v>
      </c>
      <c r="P1378" s="6" t="str">
        <f>HYPERLINK("https://ceds.ed.gov/elementComment.aspx?elementName=Assessment Session Location &amp;elementID=5590", "Click here to submit comment")</f>
        <v>Click here to submit comment</v>
      </c>
    </row>
    <row r="1379" spans="1:16" ht="45">
      <c r="A1379" s="6" t="s">
        <v>6788</v>
      </c>
      <c r="B1379" s="6" t="s">
        <v>6784</v>
      </c>
      <c r="C1379" s="6" t="s">
        <v>6835</v>
      </c>
      <c r="D1379" s="6" t="s">
        <v>1261</v>
      </c>
      <c r="E1379" s="6" t="s">
        <v>1262</v>
      </c>
      <c r="F1379" s="6" t="s">
        <v>13</v>
      </c>
      <c r="G1379" s="6"/>
      <c r="H1379" s="6"/>
      <c r="I1379" s="6" t="s">
        <v>1168</v>
      </c>
      <c r="J1379" s="6"/>
      <c r="K1379" s="6"/>
      <c r="L1379" s="6" t="s">
        <v>1263</v>
      </c>
      <c r="M1379" s="6"/>
      <c r="N1379" s="6" t="s">
        <v>1264</v>
      </c>
      <c r="O1379" s="6" t="str">
        <f>HYPERLINK("https://ceds.ed.gov/cedselementdetails.aspx?termid=6021")</f>
        <v>https://ceds.ed.gov/cedselementdetails.aspx?termid=6021</v>
      </c>
      <c r="P1379" s="6" t="str">
        <f>HYPERLINK("https://ceds.ed.gov/elementComment.aspx?elementName=Assessment Session Scheduled Start Date Time &amp;elementID=6021", "Click here to submit comment")</f>
        <v>Click here to submit comment</v>
      </c>
    </row>
    <row r="1380" spans="1:16" ht="45">
      <c r="A1380" s="6" t="s">
        <v>6788</v>
      </c>
      <c r="B1380" s="6" t="s">
        <v>6784</v>
      </c>
      <c r="C1380" s="6" t="s">
        <v>6835</v>
      </c>
      <c r="D1380" s="6" t="s">
        <v>1257</v>
      </c>
      <c r="E1380" s="6" t="s">
        <v>1258</v>
      </c>
      <c r="F1380" s="6" t="s">
        <v>13</v>
      </c>
      <c r="G1380" s="6"/>
      <c r="H1380" s="6"/>
      <c r="I1380" s="6" t="s">
        <v>1168</v>
      </c>
      <c r="J1380" s="6"/>
      <c r="K1380" s="6"/>
      <c r="L1380" s="6" t="s">
        <v>1259</v>
      </c>
      <c r="M1380" s="6"/>
      <c r="N1380" s="6" t="s">
        <v>1260</v>
      </c>
      <c r="O1380" s="6" t="str">
        <f>HYPERLINK("https://ceds.ed.gov/cedselementdetails.aspx?termid=6022")</f>
        <v>https://ceds.ed.gov/cedselementdetails.aspx?termid=6022</v>
      </c>
      <c r="P1380" s="6" t="str">
        <f>HYPERLINK("https://ceds.ed.gov/elementComment.aspx?elementName=Assessment Session Scheduled End Date Time &amp;elementID=6022", "Click here to submit comment")</f>
        <v>Click here to submit comment</v>
      </c>
    </row>
    <row r="1381" spans="1:16" ht="90">
      <c r="A1381" s="6" t="s">
        <v>6788</v>
      </c>
      <c r="B1381" s="6" t="s">
        <v>6784</v>
      </c>
      <c r="C1381" s="6" t="s">
        <v>6835</v>
      </c>
      <c r="D1381" s="6" t="s">
        <v>1233</v>
      </c>
      <c r="E1381" s="6" t="s">
        <v>1234</v>
      </c>
      <c r="F1381" s="6" t="s">
        <v>13</v>
      </c>
      <c r="G1381" s="6"/>
      <c r="H1381" s="6"/>
      <c r="I1381" s="6" t="s">
        <v>1168</v>
      </c>
      <c r="J1381" s="6"/>
      <c r="K1381" s="6" t="s">
        <v>1235</v>
      </c>
      <c r="L1381" s="6" t="s">
        <v>1236</v>
      </c>
      <c r="M1381" s="6"/>
      <c r="N1381" s="6" t="s">
        <v>1237</v>
      </c>
      <c r="O1381" s="6" t="str">
        <f>HYPERLINK("https://ceds.ed.gov/cedselementdetails.aspx?termid=6023")</f>
        <v>https://ceds.ed.gov/cedselementdetails.aspx?termid=6023</v>
      </c>
      <c r="P1381" s="6" t="str">
        <f>HYPERLINK("https://ceds.ed.gov/elementComment.aspx?elementName=Assessment Session Actual Start Date Time &amp;elementID=6023", "Click here to submit comment")</f>
        <v>Click here to submit comment</v>
      </c>
    </row>
    <row r="1382" spans="1:16" ht="90">
      <c r="A1382" s="6" t="s">
        <v>6788</v>
      </c>
      <c r="B1382" s="6" t="s">
        <v>6784</v>
      </c>
      <c r="C1382" s="6" t="s">
        <v>6835</v>
      </c>
      <c r="D1382" s="6" t="s">
        <v>1228</v>
      </c>
      <c r="E1382" s="6" t="s">
        <v>1229</v>
      </c>
      <c r="F1382" s="6" t="s">
        <v>13</v>
      </c>
      <c r="G1382" s="6"/>
      <c r="H1382" s="6"/>
      <c r="I1382" s="6" t="s">
        <v>1168</v>
      </c>
      <c r="J1382" s="6"/>
      <c r="K1382" s="6" t="s">
        <v>1230</v>
      </c>
      <c r="L1382" s="6" t="s">
        <v>1231</v>
      </c>
      <c r="M1382" s="6"/>
      <c r="N1382" s="6" t="s">
        <v>1232</v>
      </c>
      <c r="O1382" s="6" t="str">
        <f>HYPERLINK("https://ceds.ed.gov/cedselementdetails.aspx?termid=6024")</f>
        <v>https://ceds.ed.gov/cedselementdetails.aspx?termid=6024</v>
      </c>
      <c r="P1382" s="6" t="str">
        <f>HYPERLINK("https://ceds.ed.gov/elementComment.aspx?elementName=Assessment Session Actual End Date Time &amp;elementID=6024", "Click here to submit comment")</f>
        <v>Click here to submit comment</v>
      </c>
    </row>
    <row r="1383" spans="1:16" ht="75">
      <c r="A1383" s="6" t="s">
        <v>6788</v>
      </c>
      <c r="B1383" s="6" t="s">
        <v>6784</v>
      </c>
      <c r="C1383" s="6" t="s">
        <v>6835</v>
      </c>
      <c r="D1383" s="6" t="s">
        <v>1238</v>
      </c>
      <c r="E1383" s="6" t="s">
        <v>1239</v>
      </c>
      <c r="F1383" s="6" t="s">
        <v>13</v>
      </c>
      <c r="G1383" s="6" t="s">
        <v>5992</v>
      </c>
      <c r="H1383" s="6"/>
      <c r="I1383" s="6" t="s">
        <v>1240</v>
      </c>
      <c r="J1383" s="6"/>
      <c r="K1383" s="6"/>
      <c r="L1383" s="6" t="s">
        <v>1241</v>
      </c>
      <c r="M1383" s="6"/>
      <c r="N1383" s="6" t="s">
        <v>1242</v>
      </c>
      <c r="O1383" s="6" t="str">
        <f>HYPERLINK("https://ceds.ed.gov/cedselementdetails.aspx?termid=5400")</f>
        <v>https://ceds.ed.gov/cedselementdetails.aspx?termid=5400</v>
      </c>
      <c r="P1383" s="6" t="str">
        <f>HYPERLINK("https://ceds.ed.gov/elementComment.aspx?elementName=Assessment Session Administrator Identifier &amp;elementID=5400", "Click here to submit comment")</f>
        <v>Click here to submit comment</v>
      </c>
    </row>
    <row r="1384" spans="1:16" ht="45">
      <c r="A1384" s="6" t="s">
        <v>6788</v>
      </c>
      <c r="B1384" s="6" t="s">
        <v>6784</v>
      </c>
      <c r="C1384" s="6" t="s">
        <v>6835</v>
      </c>
      <c r="D1384" s="6" t="s">
        <v>1252</v>
      </c>
      <c r="E1384" s="6" t="s">
        <v>1253</v>
      </c>
      <c r="F1384" s="6" t="s">
        <v>13</v>
      </c>
      <c r="G1384" s="6" t="s">
        <v>5992</v>
      </c>
      <c r="H1384" s="6"/>
      <c r="I1384" s="6" t="s">
        <v>1240</v>
      </c>
      <c r="J1384" s="6"/>
      <c r="K1384" s="6" t="s">
        <v>1254</v>
      </c>
      <c r="L1384" s="6" t="s">
        <v>1255</v>
      </c>
      <c r="M1384" s="6"/>
      <c r="N1384" s="6" t="s">
        <v>1256</v>
      </c>
      <c r="O1384" s="6" t="str">
        <f>HYPERLINK("https://ceds.ed.gov/cedselementdetails.aspx?termid=5401")</f>
        <v>https://ceds.ed.gov/cedselementdetails.aspx?termid=5401</v>
      </c>
      <c r="P1384" s="6" t="str">
        <f>HYPERLINK("https://ceds.ed.gov/elementComment.aspx?elementName=Assessment Session Proctor Identifier &amp;elementID=5401", "Click here to submit comment")</f>
        <v>Click here to submit comment</v>
      </c>
    </row>
    <row r="1385" spans="1:16" ht="120">
      <c r="A1385" s="6" t="s">
        <v>6788</v>
      </c>
      <c r="B1385" s="6" t="s">
        <v>6784</v>
      </c>
      <c r="C1385" s="6" t="s">
        <v>6835</v>
      </c>
      <c r="D1385" s="6" t="s">
        <v>1277</v>
      </c>
      <c r="E1385" s="6" t="s">
        <v>1278</v>
      </c>
      <c r="F1385" s="6" t="s">
        <v>6061</v>
      </c>
      <c r="G1385" s="6"/>
      <c r="H1385" s="6"/>
      <c r="I1385" s="6"/>
      <c r="J1385" s="6"/>
      <c r="K1385" s="6"/>
      <c r="L1385" s="6" t="s">
        <v>1279</v>
      </c>
      <c r="M1385" s="6"/>
      <c r="N1385" s="6" t="s">
        <v>1280</v>
      </c>
      <c r="O1385" s="6" t="str">
        <f>HYPERLINK("https://ceds.ed.gov/cedselementdetails.aspx?termid=6179")</f>
        <v>https://ceds.ed.gov/cedselementdetails.aspx?termid=6179</v>
      </c>
      <c r="P1385" s="6" t="str">
        <f>HYPERLINK("https://ceds.ed.gov/elementComment.aspx?elementName=Assessment Session Staff Role Type &amp;elementID=6179", "Click here to submit comment")</f>
        <v>Click here to submit comment</v>
      </c>
    </row>
    <row r="1386" spans="1:16" ht="285">
      <c r="A1386" s="6" t="s">
        <v>6788</v>
      </c>
      <c r="B1386" s="6" t="s">
        <v>6784</v>
      </c>
      <c r="C1386" s="6" t="s">
        <v>6835</v>
      </c>
      <c r="D1386" s="6" t="s">
        <v>4017</v>
      </c>
      <c r="E1386" s="6" t="s">
        <v>4018</v>
      </c>
      <c r="F1386" s="7" t="s">
        <v>6577</v>
      </c>
      <c r="G1386" s="6" t="s">
        <v>6252</v>
      </c>
      <c r="H1386" s="6"/>
      <c r="I1386" s="6"/>
      <c r="J1386" s="6"/>
      <c r="K1386" s="6"/>
      <c r="L1386" s="6" t="s">
        <v>4019</v>
      </c>
      <c r="M1386" s="6" t="s">
        <v>4020</v>
      </c>
      <c r="N1386" s="6" t="s">
        <v>4021</v>
      </c>
      <c r="O1386" s="6" t="str">
        <f>HYPERLINK("https://ceds.ed.gov/cedselementdetails.aspx?termid=5159")</f>
        <v>https://ceds.ed.gov/cedselementdetails.aspx?termid=5159</v>
      </c>
      <c r="P1386" s="6" t="str">
        <f>HYPERLINK("https://ceds.ed.gov/elementComment.aspx?elementName=Local Education Agency Identification System &amp;elementID=5159", "Click here to submit comment")</f>
        <v>Click here to submit comment</v>
      </c>
    </row>
    <row r="1387" spans="1:16" ht="120">
      <c r="A1387" s="6" t="s">
        <v>6788</v>
      </c>
      <c r="B1387" s="6" t="s">
        <v>6784</v>
      </c>
      <c r="C1387" s="6" t="s">
        <v>6835</v>
      </c>
      <c r="D1387" s="6" t="s">
        <v>4022</v>
      </c>
      <c r="E1387" s="6" t="s">
        <v>4023</v>
      </c>
      <c r="F1387" s="6" t="s">
        <v>13</v>
      </c>
      <c r="G1387" s="6" t="s">
        <v>6252</v>
      </c>
      <c r="H1387" s="6"/>
      <c r="I1387" s="6" t="s">
        <v>100</v>
      </c>
      <c r="J1387" s="6"/>
      <c r="K1387" s="6"/>
      <c r="L1387" s="6" t="s">
        <v>4024</v>
      </c>
      <c r="M1387" s="6" t="s">
        <v>4025</v>
      </c>
      <c r="N1387" s="6" t="s">
        <v>4026</v>
      </c>
      <c r="O1387" s="6" t="str">
        <f>HYPERLINK("https://ceds.ed.gov/cedselementdetails.aspx?termid=5153")</f>
        <v>https://ceds.ed.gov/cedselementdetails.aspx?termid=5153</v>
      </c>
      <c r="P1387" s="6" t="str">
        <f>HYPERLINK("https://ceds.ed.gov/elementComment.aspx?elementName=Local Education Agency Identifier &amp;elementID=5153", "Click here to submit comment")</f>
        <v>Click here to submit comment</v>
      </c>
    </row>
    <row r="1388" spans="1:16" ht="360">
      <c r="A1388" s="6" t="s">
        <v>6788</v>
      </c>
      <c r="B1388" s="6" t="s">
        <v>6784</v>
      </c>
      <c r="C1388" s="6" t="s">
        <v>6835</v>
      </c>
      <c r="D1388" s="6" t="s">
        <v>5221</v>
      </c>
      <c r="E1388" s="6" t="s">
        <v>265</v>
      </c>
      <c r="F1388" s="7" t="s">
        <v>6645</v>
      </c>
      <c r="G1388" s="6" t="s">
        <v>6308</v>
      </c>
      <c r="H1388" s="6"/>
      <c r="I1388" s="6"/>
      <c r="J1388" s="6"/>
      <c r="K1388" s="6"/>
      <c r="L1388" s="6" t="s">
        <v>5222</v>
      </c>
      <c r="M1388" s="6"/>
      <c r="N1388" s="6" t="s">
        <v>5223</v>
      </c>
      <c r="O1388" s="6" t="str">
        <f>HYPERLINK("https://ceds.ed.gov/cedselementdetails.aspx?termid=5161")</f>
        <v>https://ceds.ed.gov/cedselementdetails.aspx?termid=5161</v>
      </c>
      <c r="P1388" s="6" t="str">
        <f>HYPERLINK("https://ceds.ed.gov/elementComment.aspx?elementName=School Identification System &amp;elementID=5161", "Click here to submit comment")</f>
        <v>Click here to submit comment</v>
      </c>
    </row>
    <row r="1389" spans="1:16" ht="165">
      <c r="A1389" s="6" t="s">
        <v>6788</v>
      </c>
      <c r="B1389" s="6" t="s">
        <v>6784</v>
      </c>
      <c r="C1389" s="6" t="s">
        <v>6835</v>
      </c>
      <c r="D1389" s="6" t="s">
        <v>5224</v>
      </c>
      <c r="E1389" s="6" t="s">
        <v>269</v>
      </c>
      <c r="F1389" s="6" t="s">
        <v>13</v>
      </c>
      <c r="G1389" s="6" t="s">
        <v>6308</v>
      </c>
      <c r="H1389" s="6"/>
      <c r="I1389" s="6" t="s">
        <v>100</v>
      </c>
      <c r="J1389" s="6"/>
      <c r="K1389" s="6"/>
      <c r="L1389" s="6" t="s">
        <v>5225</v>
      </c>
      <c r="M1389" s="6"/>
      <c r="N1389" s="6" t="s">
        <v>5226</v>
      </c>
      <c r="O1389" s="6" t="str">
        <f>HYPERLINK("https://ceds.ed.gov/cedselementdetails.aspx?termid=5155")</f>
        <v>https://ceds.ed.gov/cedselementdetails.aspx?termid=5155</v>
      </c>
      <c r="P1389" s="6" t="str">
        <f>HYPERLINK("https://ceds.ed.gov/elementComment.aspx?elementName=School Identifier &amp;elementID=5155", "Click here to submit comment")</f>
        <v>Click here to submit comment</v>
      </c>
    </row>
    <row r="1390" spans="1:16" ht="45">
      <c r="A1390" s="6" t="s">
        <v>6788</v>
      </c>
      <c r="B1390" s="6" t="s">
        <v>6784</v>
      </c>
      <c r="C1390" s="6" t="s">
        <v>6835</v>
      </c>
      <c r="D1390" s="6" t="s">
        <v>1243</v>
      </c>
      <c r="E1390" s="6" t="s">
        <v>1244</v>
      </c>
      <c r="F1390" s="6" t="s">
        <v>13</v>
      </c>
      <c r="G1390" s="6" t="s">
        <v>5992</v>
      </c>
      <c r="H1390" s="6"/>
      <c r="I1390" s="6" t="s">
        <v>808</v>
      </c>
      <c r="J1390" s="6"/>
      <c r="K1390" s="6"/>
      <c r="L1390" s="6" t="s">
        <v>1245</v>
      </c>
      <c r="M1390" s="6"/>
      <c r="N1390" s="6" t="s">
        <v>1246</v>
      </c>
      <c r="O1390" s="6" t="str">
        <f>HYPERLINK("https://ceds.ed.gov/cedselementdetails.aspx?termid=5399")</f>
        <v>https://ceds.ed.gov/cedselementdetails.aspx?termid=5399</v>
      </c>
      <c r="P1390" s="6" t="str">
        <f>HYPERLINK("https://ceds.ed.gov/elementComment.aspx?elementName=Assessment Session Allotted Time &amp;elementID=5399", "Click here to submit comment")</f>
        <v>Click here to submit comment</v>
      </c>
    </row>
    <row r="1391" spans="1:16" ht="150">
      <c r="A1391" s="6" t="s">
        <v>6788</v>
      </c>
      <c r="B1391" s="6" t="s">
        <v>6784</v>
      </c>
      <c r="C1391" s="6" t="s">
        <v>6835</v>
      </c>
      <c r="D1391" s="6" t="s">
        <v>1265</v>
      </c>
      <c r="E1391" s="6" t="s">
        <v>1266</v>
      </c>
      <c r="F1391" s="6" t="s">
        <v>13</v>
      </c>
      <c r="G1391" s="6"/>
      <c r="H1391" s="6"/>
      <c r="I1391" s="6" t="s">
        <v>93</v>
      </c>
      <c r="J1391" s="6"/>
      <c r="K1391" s="6" t="s">
        <v>835</v>
      </c>
      <c r="L1391" s="6" t="s">
        <v>1267</v>
      </c>
      <c r="M1391" s="6"/>
      <c r="N1391" s="6" t="s">
        <v>1268</v>
      </c>
      <c r="O1391" s="6" t="str">
        <f>HYPERLINK("https://ceds.ed.gov/cedselementdetails.aspx?termid=5969")</f>
        <v>https://ceds.ed.gov/cedselementdetails.aspx?termid=5969</v>
      </c>
      <c r="P1391" s="6" t="str">
        <f>HYPERLINK("https://ceds.ed.gov/elementComment.aspx?elementName=Assessment Session Security Issue &amp;elementID=5969", "Click here to submit comment")</f>
        <v>Click here to submit comment</v>
      </c>
    </row>
    <row r="1392" spans="1:16" ht="409.5">
      <c r="A1392" s="6" t="s">
        <v>6788</v>
      </c>
      <c r="B1392" s="6" t="s">
        <v>6784</v>
      </c>
      <c r="C1392" s="6" t="s">
        <v>6835</v>
      </c>
      <c r="D1392" s="6" t="s">
        <v>1269</v>
      </c>
      <c r="E1392" s="6" t="s">
        <v>1270</v>
      </c>
      <c r="F1392" s="7" t="s">
        <v>6403</v>
      </c>
      <c r="G1392" s="6" t="s">
        <v>5992</v>
      </c>
      <c r="H1392" s="6"/>
      <c r="I1392" s="6"/>
      <c r="J1392" s="6"/>
      <c r="K1392" s="6"/>
      <c r="L1392" s="6" t="s">
        <v>1271</v>
      </c>
      <c r="M1392" s="6"/>
      <c r="N1392" s="6" t="s">
        <v>1272</v>
      </c>
      <c r="O1392" s="6" t="str">
        <f>HYPERLINK("https://ceds.ed.gov/cedselementdetails.aspx?termid=5380")</f>
        <v>https://ceds.ed.gov/cedselementdetails.aspx?termid=5380</v>
      </c>
      <c r="P1392" s="6" t="str">
        <f>HYPERLINK("https://ceds.ed.gov/elementComment.aspx?elementName=Assessment Session Special Circumstance Type &amp;elementID=5380", "Click here to submit comment")</f>
        <v>Click here to submit comment</v>
      </c>
    </row>
    <row r="1393" spans="1:16" ht="90">
      <c r="A1393" s="6" t="s">
        <v>6788</v>
      </c>
      <c r="B1393" s="6" t="s">
        <v>6784</v>
      </c>
      <c r="C1393" s="6" t="s">
        <v>6835</v>
      </c>
      <c r="D1393" s="6" t="s">
        <v>1273</v>
      </c>
      <c r="E1393" s="6" t="s">
        <v>1274</v>
      </c>
      <c r="F1393" s="6" t="s">
        <v>13</v>
      </c>
      <c r="G1393" s="6"/>
      <c r="H1393" s="6"/>
      <c r="I1393" s="6" t="s">
        <v>106</v>
      </c>
      <c r="J1393" s="6"/>
      <c r="K1393" s="6"/>
      <c r="L1393" s="6" t="s">
        <v>1275</v>
      </c>
      <c r="M1393" s="6"/>
      <c r="N1393" s="6" t="s">
        <v>1276</v>
      </c>
      <c r="O1393" s="6" t="str">
        <f>HYPERLINK("https://ceds.ed.gov/cedselementdetails.aspx?termid=6077")</f>
        <v>https://ceds.ed.gov/cedselementdetails.aspx?termid=6077</v>
      </c>
      <c r="P1393" s="6" t="str">
        <f>HYPERLINK("https://ceds.ed.gov/elementComment.aspx?elementName=Assessment Session Special Event Description &amp;elementID=6077", "Click here to submit comment")</f>
        <v>Click here to submit comment</v>
      </c>
    </row>
    <row r="1394" spans="1:16" ht="30">
      <c r="A1394" s="6" t="s">
        <v>6788</v>
      </c>
      <c r="B1394" s="6" t="s">
        <v>6784</v>
      </c>
      <c r="C1394" s="6" t="s">
        <v>6836</v>
      </c>
      <c r="D1394" s="6" t="s">
        <v>748</v>
      </c>
      <c r="E1394" s="6" t="s">
        <v>749</v>
      </c>
      <c r="F1394" s="6" t="s">
        <v>13</v>
      </c>
      <c r="G1394" s="6" t="s">
        <v>6018</v>
      </c>
      <c r="H1394" s="6"/>
      <c r="I1394" s="6" t="s">
        <v>100</v>
      </c>
      <c r="J1394" s="6"/>
      <c r="K1394" s="6"/>
      <c r="L1394" s="6" t="s">
        <v>750</v>
      </c>
      <c r="M1394" s="6"/>
      <c r="N1394" s="6" t="s">
        <v>751</v>
      </c>
      <c r="O1394" s="6" t="str">
        <f>HYPERLINK("https://ceds.ed.gov/cedselementdetails.aspx?termid=5623")</f>
        <v>https://ceds.ed.gov/cedselementdetails.aspx?termid=5623</v>
      </c>
      <c r="P1394" s="6" t="str">
        <f>HYPERLINK("https://ceds.ed.gov/elementComment.aspx?elementName=Assessment Item Identifier &amp;elementID=5623", "Click here to submit comment")</f>
        <v>Click here to submit comment</v>
      </c>
    </row>
    <row r="1395" spans="1:16" ht="409.5">
      <c r="A1395" s="6" t="s">
        <v>6788</v>
      </c>
      <c r="B1395" s="6" t="s">
        <v>6784</v>
      </c>
      <c r="C1395" s="6" t="s">
        <v>6836</v>
      </c>
      <c r="D1395" s="6" t="s">
        <v>933</v>
      </c>
      <c r="E1395" s="6" t="s">
        <v>934</v>
      </c>
      <c r="F1395" s="7" t="s">
        <v>6389</v>
      </c>
      <c r="G1395" s="6" t="s">
        <v>6018</v>
      </c>
      <c r="H1395" s="6"/>
      <c r="I1395" s="6"/>
      <c r="J1395" s="6"/>
      <c r="K1395" s="6"/>
      <c r="L1395" s="6" t="s">
        <v>935</v>
      </c>
      <c r="M1395" s="6"/>
      <c r="N1395" s="6" t="s">
        <v>936</v>
      </c>
      <c r="O1395" s="6" t="str">
        <f>HYPERLINK("https://ceds.ed.gov/cedselementdetails.aspx?termid=5382")</f>
        <v>https://ceds.ed.gov/cedselementdetails.aspx?termid=5382</v>
      </c>
      <c r="P1395" s="6" t="str">
        <f>HYPERLINK("https://ceds.ed.gov/elementComment.aspx?elementName=Assessment Item Type &amp;elementID=5382", "Click here to submit comment")</f>
        <v>Click here to submit comment</v>
      </c>
    </row>
    <row r="1396" spans="1:16" ht="405">
      <c r="A1396" s="6" t="s">
        <v>6788</v>
      </c>
      <c r="B1396" s="6" t="s">
        <v>6784</v>
      </c>
      <c r="C1396" s="6" t="s">
        <v>6836</v>
      </c>
      <c r="D1396" s="6" t="s">
        <v>395</v>
      </c>
      <c r="E1396" s="6" t="s">
        <v>396</v>
      </c>
      <c r="F1396" s="7" t="s">
        <v>6375</v>
      </c>
      <c r="G1396" s="6" t="s">
        <v>5990</v>
      </c>
      <c r="H1396" s="6"/>
      <c r="I1396" s="6"/>
      <c r="J1396" s="6"/>
      <c r="K1396" s="6"/>
      <c r="L1396" s="6" t="s">
        <v>397</v>
      </c>
      <c r="M1396" s="6"/>
      <c r="N1396" s="6" t="s">
        <v>398</v>
      </c>
      <c r="O1396" s="6" t="str">
        <f>HYPERLINK("https://ceds.ed.gov/cedselementdetails.aspx?termid=5021")</f>
        <v>https://ceds.ed.gov/cedselementdetails.aspx?termid=5021</v>
      </c>
      <c r="P1396" s="6" t="str">
        <f>HYPERLINK("https://ceds.ed.gov/elementComment.aspx?elementName=Assessment Academic Subject &amp;elementID=5021", "Click here to submit comment")</f>
        <v>Click here to submit comment</v>
      </c>
    </row>
    <row r="1397" spans="1:16" ht="60">
      <c r="A1397" s="6" t="s">
        <v>6788</v>
      </c>
      <c r="B1397" s="6" t="s">
        <v>6784</v>
      </c>
      <c r="C1397" s="6" t="s">
        <v>6836</v>
      </c>
      <c r="D1397" s="6" t="s">
        <v>718</v>
      </c>
      <c r="E1397" s="6" t="s">
        <v>719</v>
      </c>
      <c r="F1397" s="6" t="s">
        <v>13</v>
      </c>
      <c r="G1397" s="6"/>
      <c r="H1397" s="6"/>
      <c r="I1397" s="6" t="s">
        <v>319</v>
      </c>
      <c r="J1397" s="6"/>
      <c r="K1397" s="6"/>
      <c r="L1397" s="6" t="s">
        <v>720</v>
      </c>
      <c r="M1397" s="6"/>
      <c r="N1397" s="6" t="s">
        <v>721</v>
      </c>
      <c r="O1397" s="6" t="str">
        <f>HYPERLINK("https://ceds.ed.gov/cedselementdetails.aspx?termid=6233")</f>
        <v>https://ceds.ed.gov/cedselementdetails.aspx?termid=6233</v>
      </c>
      <c r="P1397" s="6" t="str">
        <f>HYPERLINK("https://ceds.ed.gov/elementComment.aspx?elementName=Assessment Item Body Text &amp;elementID=6233", "Click here to submit comment")</f>
        <v>Click here to submit comment</v>
      </c>
    </row>
    <row r="1398" spans="1:16" ht="90">
      <c r="A1398" s="6" t="s">
        <v>6788</v>
      </c>
      <c r="B1398" s="6" t="s">
        <v>6784</v>
      </c>
      <c r="C1398" s="6" t="s">
        <v>6836</v>
      </c>
      <c r="D1398" s="6" t="s">
        <v>921</v>
      </c>
      <c r="E1398" s="6" t="s">
        <v>922</v>
      </c>
      <c r="F1398" s="6" t="s">
        <v>13</v>
      </c>
      <c r="G1398" s="6"/>
      <c r="H1398" s="6"/>
      <c r="I1398" s="6" t="s">
        <v>319</v>
      </c>
      <c r="J1398" s="6"/>
      <c r="K1398" s="6"/>
      <c r="L1398" s="6" t="s">
        <v>923</v>
      </c>
      <c r="M1398" s="6"/>
      <c r="N1398" s="6" t="s">
        <v>924</v>
      </c>
      <c r="O1398" s="6" t="str">
        <f>HYPERLINK("https://ceds.ed.gov/cedselementdetails.aspx?termid=6234")</f>
        <v>https://ceds.ed.gov/cedselementdetails.aspx?termid=6234</v>
      </c>
      <c r="P1398" s="6" t="str">
        <f>HYPERLINK("https://ceds.ed.gov/elementComment.aspx?elementName=Assessment Item Stimulus &amp;elementID=6234", "Click here to submit comment")</f>
        <v>Click here to submit comment</v>
      </c>
    </row>
    <row r="1399" spans="1:16" ht="45">
      <c r="A1399" s="6" t="s">
        <v>6788</v>
      </c>
      <c r="B1399" s="6" t="s">
        <v>6784</v>
      </c>
      <c r="C1399" s="6" t="s">
        <v>6836</v>
      </c>
      <c r="D1399" s="6" t="s">
        <v>738</v>
      </c>
      <c r="E1399" s="6" t="s">
        <v>739</v>
      </c>
      <c r="F1399" s="6" t="s">
        <v>13</v>
      </c>
      <c r="G1399" s="6" t="s">
        <v>6018</v>
      </c>
      <c r="H1399" s="6"/>
      <c r="I1399" s="6" t="s">
        <v>740</v>
      </c>
      <c r="J1399" s="6"/>
      <c r="K1399" s="6"/>
      <c r="L1399" s="6" t="s">
        <v>741</v>
      </c>
      <c r="M1399" s="6"/>
      <c r="N1399" s="6" t="s">
        <v>742</v>
      </c>
      <c r="O1399" s="6" t="str">
        <f>HYPERLINK("https://ceds.ed.gov/cedselementdetails.aspx?termid=5383")</f>
        <v>https://ceds.ed.gov/cedselementdetails.aspx?termid=5383</v>
      </c>
      <c r="P1399" s="6" t="str">
        <f>HYPERLINK("https://ceds.ed.gov/elementComment.aspx?elementName=Assessment Item Difficulty &amp;elementID=5383", "Click here to submit comment")</f>
        <v>Click here to submit comment</v>
      </c>
    </row>
    <row r="1400" spans="1:16" ht="30">
      <c r="A1400" s="6" t="s">
        <v>6788</v>
      </c>
      <c r="B1400" s="6" t="s">
        <v>6784</v>
      </c>
      <c r="C1400" s="6" t="s">
        <v>6836</v>
      </c>
      <c r="D1400" s="6" t="s">
        <v>743</v>
      </c>
      <c r="E1400" s="6" t="s">
        <v>744</v>
      </c>
      <c r="F1400" s="6" t="s">
        <v>13</v>
      </c>
      <c r="G1400" s="6" t="s">
        <v>6018</v>
      </c>
      <c r="H1400" s="6"/>
      <c r="I1400" s="6" t="s">
        <v>745</v>
      </c>
      <c r="J1400" s="6"/>
      <c r="K1400" s="6"/>
      <c r="L1400" s="6" t="s">
        <v>746</v>
      </c>
      <c r="M1400" s="6"/>
      <c r="N1400" s="6" t="s">
        <v>747</v>
      </c>
      <c r="O1400" s="6" t="str">
        <f>HYPERLINK("https://ceds.ed.gov/cedselementdetails.aspx?termid=5390")</f>
        <v>https://ceds.ed.gov/cedselementdetails.aspx?termid=5390</v>
      </c>
      <c r="P1400" s="6" t="str">
        <f>HYPERLINK("https://ceds.ed.gov/elementComment.aspx?elementName=Assessment Item Distractor Analysis &amp;elementID=5390", "Click here to submit comment")</f>
        <v>Click here to submit comment</v>
      </c>
    </row>
    <row r="1401" spans="1:16" ht="45">
      <c r="A1401" s="6" t="s">
        <v>6788</v>
      </c>
      <c r="B1401" s="6" t="s">
        <v>6784</v>
      </c>
      <c r="C1401" s="6" t="s">
        <v>6836</v>
      </c>
      <c r="D1401" s="6" t="s">
        <v>917</v>
      </c>
      <c r="E1401" s="6" t="s">
        <v>918</v>
      </c>
      <c r="F1401" s="6" t="s">
        <v>13</v>
      </c>
      <c r="G1401" s="6" t="s">
        <v>6018</v>
      </c>
      <c r="H1401" s="6"/>
      <c r="I1401" s="6" t="s">
        <v>319</v>
      </c>
      <c r="J1401" s="6"/>
      <c r="K1401" s="6"/>
      <c r="L1401" s="6" t="s">
        <v>919</v>
      </c>
      <c r="M1401" s="6"/>
      <c r="N1401" s="6" t="s">
        <v>920</v>
      </c>
      <c r="O1401" s="6" t="str">
        <f>HYPERLINK("https://ceds.ed.gov/cedselementdetails.aspx?termid=5392")</f>
        <v>https://ceds.ed.gov/cedselementdetails.aspx?termid=5392</v>
      </c>
      <c r="P1401" s="6" t="str">
        <f>HYPERLINK("https://ceds.ed.gov/elementComment.aspx?elementName=Assessment Item Stem &amp;elementID=5392", "Click here to submit comment")</f>
        <v>Click here to submit comment</v>
      </c>
    </row>
    <row r="1402" spans="1:16" ht="30">
      <c r="A1402" s="6" t="s">
        <v>6788</v>
      </c>
      <c r="B1402" s="6" t="s">
        <v>6784</v>
      </c>
      <c r="C1402" s="6" t="s">
        <v>6836</v>
      </c>
      <c r="D1402" s="6" t="s">
        <v>598</v>
      </c>
      <c r="E1402" s="6" t="s">
        <v>599</v>
      </c>
      <c r="F1402" s="6" t="s">
        <v>13</v>
      </c>
      <c r="G1402" s="6" t="s">
        <v>6018</v>
      </c>
      <c r="H1402" s="6"/>
      <c r="I1402" s="6" t="s">
        <v>426</v>
      </c>
      <c r="J1402" s="6"/>
      <c r="K1402" s="6"/>
      <c r="L1402" s="6" t="s">
        <v>600</v>
      </c>
      <c r="M1402" s="6"/>
      <c r="N1402" s="6" t="s">
        <v>601</v>
      </c>
      <c r="O1402" s="6" t="str">
        <f>HYPERLINK("https://ceds.ed.gov/cedselementdetails.aspx?termid=5395")</f>
        <v>https://ceds.ed.gov/cedselementdetails.aspx?termid=5395</v>
      </c>
      <c r="P1402" s="6" t="str">
        <f>HYPERLINK("https://ceds.ed.gov/elementComment.aspx?elementName=Assessment Item Allotted Time &amp;elementID=5395", "Click here to submit comment")</f>
        <v>Click here to submit comment</v>
      </c>
    </row>
    <row r="1403" spans="1:16" ht="30">
      <c r="A1403" s="6" t="s">
        <v>6788</v>
      </c>
      <c r="B1403" s="6" t="s">
        <v>6784</v>
      </c>
      <c r="C1403" s="6" t="s">
        <v>6836</v>
      </c>
      <c r="D1403" s="6" t="s">
        <v>764</v>
      </c>
      <c r="E1403" s="6" t="s">
        <v>765</v>
      </c>
      <c r="F1403" s="6" t="s">
        <v>13</v>
      </c>
      <c r="G1403" s="6"/>
      <c r="H1403" s="6"/>
      <c r="I1403" s="6" t="s">
        <v>93</v>
      </c>
      <c r="J1403" s="6"/>
      <c r="K1403" s="6"/>
      <c r="L1403" s="6" t="s">
        <v>766</v>
      </c>
      <c r="M1403" s="6"/>
      <c r="N1403" s="6" t="s">
        <v>767</v>
      </c>
      <c r="O1403" s="6" t="str">
        <f>HYPERLINK("https://ceds.ed.gov/cedselementdetails.aspx?termid=5684")</f>
        <v>https://ceds.ed.gov/cedselementdetails.aspx?termid=5684</v>
      </c>
      <c r="P1403" s="6" t="str">
        <f>HYPERLINK("https://ceds.ed.gov/elementComment.aspx?elementName=Assessment Item Minimum Score &amp;elementID=5684", "Click here to submit comment")</f>
        <v>Click here to submit comment</v>
      </c>
    </row>
    <row r="1404" spans="1:16" ht="30">
      <c r="A1404" s="6" t="s">
        <v>6788</v>
      </c>
      <c r="B1404" s="6" t="s">
        <v>6784</v>
      </c>
      <c r="C1404" s="6" t="s">
        <v>6836</v>
      </c>
      <c r="D1404" s="6" t="s">
        <v>760</v>
      </c>
      <c r="E1404" s="6" t="s">
        <v>761</v>
      </c>
      <c r="F1404" s="6" t="s">
        <v>13</v>
      </c>
      <c r="G1404" s="6"/>
      <c r="H1404" s="6"/>
      <c r="I1404" s="6" t="s">
        <v>93</v>
      </c>
      <c r="J1404" s="6"/>
      <c r="K1404" s="6"/>
      <c r="L1404" s="6" t="s">
        <v>762</v>
      </c>
      <c r="M1404" s="6"/>
      <c r="N1404" s="6" t="s">
        <v>763</v>
      </c>
      <c r="O1404" s="6" t="str">
        <f>HYPERLINK("https://ceds.ed.gov/cedselementdetails.aspx?termid=5683")</f>
        <v>https://ceds.ed.gov/cedselementdetails.aspx?termid=5683</v>
      </c>
      <c r="P1404" s="6" t="str">
        <f>HYPERLINK("https://ceds.ed.gov/elementComment.aspx?elementName=Assessment Item Maximum Score &amp;elementID=5683", "Click here to submit comment")</f>
        <v>Click here to submit comment</v>
      </c>
    </row>
    <row r="1405" spans="1:16" ht="75">
      <c r="A1405" s="6" t="s">
        <v>6788</v>
      </c>
      <c r="B1405" s="6" t="s">
        <v>6784</v>
      </c>
      <c r="C1405" s="6" t="s">
        <v>6836</v>
      </c>
      <c r="D1405" s="6" t="s">
        <v>929</v>
      </c>
      <c r="E1405" s="6" t="s">
        <v>930</v>
      </c>
      <c r="F1405" s="6" t="s">
        <v>13</v>
      </c>
      <c r="G1405" s="6"/>
      <c r="H1405" s="6"/>
      <c r="I1405" s="6" t="s">
        <v>100</v>
      </c>
      <c r="J1405" s="6"/>
      <c r="K1405" s="6"/>
      <c r="L1405" s="6" t="s">
        <v>931</v>
      </c>
      <c r="M1405" s="6"/>
      <c r="N1405" s="6" t="s">
        <v>932</v>
      </c>
      <c r="O1405" s="6" t="str">
        <f>HYPERLINK("https://ceds.ed.gov/cedselementdetails.aspx?termid=5906")</f>
        <v>https://ceds.ed.gov/cedselementdetails.aspx?termid=5906</v>
      </c>
      <c r="P1405" s="6" t="str">
        <f>HYPERLINK("https://ceds.ed.gov/elementComment.aspx?elementName=Assessment Item Text Complexity Value &amp;elementID=5906", "Click here to submit comment")</f>
        <v>Click here to submit comment</v>
      </c>
    </row>
    <row r="1406" spans="1:16" ht="409.5">
      <c r="A1406" s="6" t="s">
        <v>6788</v>
      </c>
      <c r="B1406" s="6" t="s">
        <v>6784</v>
      </c>
      <c r="C1406" s="6" t="s">
        <v>6836</v>
      </c>
      <c r="D1406" s="6" t="s">
        <v>925</v>
      </c>
      <c r="E1406" s="6" t="s">
        <v>926</v>
      </c>
      <c r="F1406" s="7" t="s">
        <v>6388</v>
      </c>
      <c r="G1406" s="6"/>
      <c r="H1406" s="6"/>
      <c r="I1406" s="6"/>
      <c r="J1406" s="6"/>
      <c r="K1406" s="6"/>
      <c r="L1406" s="6" t="s">
        <v>927</v>
      </c>
      <c r="M1406" s="6"/>
      <c r="N1406" s="6" t="s">
        <v>928</v>
      </c>
      <c r="O1406" s="6" t="str">
        <f>HYPERLINK("https://ceds.ed.gov/cedselementdetails.aspx?termid=5907")</f>
        <v>https://ceds.ed.gov/cedselementdetails.aspx?termid=5907</v>
      </c>
      <c r="P1406" s="6" t="str">
        <f>HYPERLINK("https://ceds.ed.gov/elementComment.aspx?elementName=Assessment Item Text Complexity System &amp;elementID=5907", "Click here to submit comment")</f>
        <v>Click here to submit comment</v>
      </c>
    </row>
    <row r="1407" spans="1:16" ht="150">
      <c r="A1407" s="6" t="s">
        <v>6788</v>
      </c>
      <c r="B1407" s="6" t="s">
        <v>6784</v>
      </c>
      <c r="C1407" s="6" t="s">
        <v>6836</v>
      </c>
      <c r="D1407" s="6" t="s">
        <v>833</v>
      </c>
      <c r="E1407" s="6" t="s">
        <v>834</v>
      </c>
      <c r="F1407" s="6" t="s">
        <v>13</v>
      </c>
      <c r="G1407" s="6"/>
      <c r="H1407" s="6"/>
      <c r="I1407" s="6" t="s">
        <v>93</v>
      </c>
      <c r="J1407" s="6"/>
      <c r="K1407" s="6" t="s">
        <v>835</v>
      </c>
      <c r="L1407" s="6" t="s">
        <v>836</v>
      </c>
      <c r="M1407" s="6"/>
      <c r="N1407" s="6" t="s">
        <v>837</v>
      </c>
      <c r="O1407" s="6" t="str">
        <f>HYPERLINK("https://ceds.ed.gov/cedselementdetails.aspx?termid=5970")</f>
        <v>https://ceds.ed.gov/cedselementdetails.aspx?termid=5970</v>
      </c>
      <c r="P1407" s="6" t="str">
        <f>HYPERLINK("https://ceds.ed.gov/elementComment.aspx?elementName=Assessment Item Response Security Issue &amp;elementID=5970", "Click here to submit comment")</f>
        <v>Click here to submit comment</v>
      </c>
    </row>
    <row r="1408" spans="1:16" ht="60">
      <c r="A1408" s="6" t="s">
        <v>6788</v>
      </c>
      <c r="B1408" s="6" t="s">
        <v>6784</v>
      </c>
      <c r="C1408" s="6" t="s">
        <v>6836</v>
      </c>
      <c r="D1408" s="6" t="s">
        <v>634</v>
      </c>
      <c r="E1408" s="6" t="s">
        <v>635</v>
      </c>
      <c r="F1408" s="6" t="s">
        <v>13</v>
      </c>
      <c r="G1408" s="6"/>
      <c r="H1408" s="6"/>
      <c r="I1408" s="6" t="s">
        <v>100</v>
      </c>
      <c r="J1408" s="6"/>
      <c r="K1408" s="6"/>
      <c r="L1408" s="6" t="s">
        <v>636</v>
      </c>
      <c r="M1408" s="6"/>
      <c r="N1408" s="6" t="s">
        <v>637</v>
      </c>
      <c r="O1408" s="6" t="str">
        <f>HYPERLINK("https://ceds.ed.gov/cedselementdetails.aspx?termid=6132")</f>
        <v>https://ceds.ed.gov/cedselementdetails.aspx?termid=6132</v>
      </c>
      <c r="P1408" s="6" t="str">
        <f>HYPERLINK("https://ceds.ed.gov/elementComment.aspx?elementName=Assessment Item Bank Identifier &amp;elementID=6132", "Click here to submit comment")</f>
        <v>Click here to submit comment</v>
      </c>
    </row>
    <row r="1409" spans="1:16" ht="45">
      <c r="A1409" s="6" t="s">
        <v>6788</v>
      </c>
      <c r="B1409" s="6" t="s">
        <v>6784</v>
      </c>
      <c r="C1409" s="6" t="s">
        <v>6836</v>
      </c>
      <c r="D1409" s="6" t="s">
        <v>638</v>
      </c>
      <c r="E1409" s="6" t="s">
        <v>639</v>
      </c>
      <c r="F1409" s="6" t="s">
        <v>13</v>
      </c>
      <c r="G1409" s="6"/>
      <c r="H1409" s="6"/>
      <c r="I1409" s="6" t="s">
        <v>106</v>
      </c>
      <c r="J1409" s="6"/>
      <c r="K1409" s="6"/>
      <c r="L1409" s="6" t="s">
        <v>640</v>
      </c>
      <c r="M1409" s="6"/>
      <c r="N1409" s="6" t="s">
        <v>641</v>
      </c>
      <c r="O1409" s="6" t="str">
        <f>HYPERLINK("https://ceds.ed.gov/cedselementdetails.aspx?termid=6133")</f>
        <v>https://ceds.ed.gov/cedselementdetails.aspx?termid=6133</v>
      </c>
      <c r="P1409" s="6" t="str">
        <f>HYPERLINK("https://ceds.ed.gov/elementComment.aspx?elementName=Assessment Item Bank Name &amp;elementID=6133", "Click here to submit comment")</f>
        <v>Click here to submit comment</v>
      </c>
    </row>
    <row r="1410" spans="1:16" ht="150">
      <c r="A1410" s="6" t="s">
        <v>6788</v>
      </c>
      <c r="B1410" s="6" t="s">
        <v>6784</v>
      </c>
      <c r="C1410" s="6" t="s">
        <v>6836</v>
      </c>
      <c r="D1410" s="6" t="s">
        <v>4181</v>
      </c>
      <c r="E1410" s="6" t="s">
        <v>4182</v>
      </c>
      <c r="F1410" s="7" t="s">
        <v>6588</v>
      </c>
      <c r="G1410" s="6"/>
      <c r="H1410" s="6"/>
      <c r="I1410" s="6"/>
      <c r="J1410" s="6"/>
      <c r="K1410" s="6"/>
      <c r="L1410" s="6" t="s">
        <v>4183</v>
      </c>
      <c r="M1410" s="6"/>
      <c r="N1410" s="6" t="s">
        <v>4184</v>
      </c>
      <c r="O1410" s="6" t="str">
        <f>HYPERLINK("https://ceds.ed.gov/cedselementdetails.aspx?termid=6166")</f>
        <v>https://ceds.ed.gov/cedselementdetails.aspx?termid=6166</v>
      </c>
      <c r="P1410" s="6" t="str">
        <f>HYPERLINK("https://ceds.ed.gov/elementComment.aspx?elementName=NAEP Aspects of Reading &amp;elementID=6166", "Click here to submit comment")</f>
        <v>Click here to submit comment</v>
      </c>
    </row>
    <row r="1411" spans="1:16" ht="105">
      <c r="A1411" s="6" t="s">
        <v>6788</v>
      </c>
      <c r="B1411" s="6" t="s">
        <v>6784</v>
      </c>
      <c r="C1411" s="6" t="s">
        <v>6836</v>
      </c>
      <c r="D1411" s="6" t="s">
        <v>4185</v>
      </c>
      <c r="E1411" s="6" t="s">
        <v>4186</v>
      </c>
      <c r="F1411" s="7" t="s">
        <v>6589</v>
      </c>
      <c r="G1411" s="6"/>
      <c r="H1411" s="6"/>
      <c r="I1411" s="6"/>
      <c r="J1411" s="6"/>
      <c r="K1411" s="6"/>
      <c r="L1411" s="6" t="s">
        <v>4187</v>
      </c>
      <c r="M1411" s="6"/>
      <c r="N1411" s="6" t="s">
        <v>4188</v>
      </c>
      <c r="O1411" s="6" t="str">
        <f>HYPERLINK("https://ceds.ed.gov/cedselementdetails.aspx?termid=6072")</f>
        <v>https://ceds.ed.gov/cedselementdetails.aspx?termid=6072</v>
      </c>
      <c r="P1411" s="6" t="str">
        <f>HYPERLINK("https://ceds.ed.gov/elementComment.aspx?elementName=NAEP Mathematical Complexity Level &amp;elementID=6072", "Click here to submit comment")</f>
        <v>Click here to submit comment</v>
      </c>
    </row>
    <row r="1412" spans="1:16" ht="45">
      <c r="A1412" s="6" t="s">
        <v>6788</v>
      </c>
      <c r="B1412" s="6" t="s">
        <v>6784</v>
      </c>
      <c r="C1412" s="6" t="s">
        <v>6836</v>
      </c>
      <c r="D1412" s="6" t="s">
        <v>789</v>
      </c>
      <c r="E1412" s="6" t="s">
        <v>790</v>
      </c>
      <c r="F1412" s="6" t="s">
        <v>5963</v>
      </c>
      <c r="G1412" s="6"/>
      <c r="H1412" s="6"/>
      <c r="I1412" s="6"/>
      <c r="J1412" s="6"/>
      <c r="K1412" s="6"/>
      <c r="L1412" s="6" t="s">
        <v>791</v>
      </c>
      <c r="M1412" s="6"/>
      <c r="N1412" s="6" t="s">
        <v>792</v>
      </c>
      <c r="O1412" s="6" t="str">
        <f>HYPERLINK("https://ceds.ed.gov/cedselementdetails.aspx?termid=6229")</f>
        <v>https://ceds.ed.gov/cedselementdetails.aspx?termid=6229</v>
      </c>
      <c r="P1412" s="6" t="str">
        <f>HYPERLINK("https://ceds.ed.gov/elementComment.aspx?elementName=Assessment Item Release Status &amp;elementID=6229", "Click here to submit comment")</f>
        <v>Click here to submit comment</v>
      </c>
    </row>
    <row r="1413" spans="1:16" ht="60">
      <c r="A1413" s="6" t="s">
        <v>6788</v>
      </c>
      <c r="B1413" s="6" t="s">
        <v>6784</v>
      </c>
      <c r="C1413" s="6" t="s">
        <v>6836</v>
      </c>
      <c r="D1413" s="6" t="s">
        <v>756</v>
      </c>
      <c r="E1413" s="6" t="s">
        <v>757</v>
      </c>
      <c r="F1413" s="6" t="s">
        <v>5963</v>
      </c>
      <c r="G1413" s="6"/>
      <c r="H1413" s="6"/>
      <c r="I1413" s="6"/>
      <c r="J1413" s="6"/>
      <c r="K1413" s="6"/>
      <c r="L1413" s="6" t="s">
        <v>758</v>
      </c>
      <c r="M1413" s="6"/>
      <c r="N1413" s="6" t="s">
        <v>759</v>
      </c>
      <c r="O1413" s="6" t="str">
        <f>HYPERLINK("https://ceds.ed.gov/cedselementdetails.aspx?termid=6227")</f>
        <v>https://ceds.ed.gov/cedselementdetails.aspx?termid=6227</v>
      </c>
      <c r="P1413" s="6" t="str">
        <f>HYPERLINK("https://ceds.ed.gov/elementComment.aspx?elementName=Assessment Item Linking Item Indicator &amp;elementID=6227", "Click here to submit comment")</f>
        <v>Click here to submit comment</v>
      </c>
    </row>
    <row r="1414" spans="1:16" ht="45">
      <c r="A1414" s="6" t="s">
        <v>6788</v>
      </c>
      <c r="B1414" s="6" t="s">
        <v>6784</v>
      </c>
      <c r="C1414" s="6" t="s">
        <v>6837</v>
      </c>
      <c r="D1414" s="6" t="s">
        <v>781</v>
      </c>
      <c r="E1414" s="6" t="s">
        <v>782</v>
      </c>
      <c r="F1414" s="6" t="s">
        <v>13</v>
      </c>
      <c r="G1414" s="6"/>
      <c r="H1414" s="6"/>
      <c r="I1414" s="6" t="s">
        <v>308</v>
      </c>
      <c r="J1414" s="6"/>
      <c r="K1414" s="6"/>
      <c r="L1414" s="6" t="s">
        <v>783</v>
      </c>
      <c r="M1414" s="6"/>
      <c r="N1414" s="6" t="s">
        <v>784</v>
      </c>
      <c r="O1414" s="6" t="str">
        <f>HYPERLINK("https://ceds.ed.gov/cedselementdetails.aspx?termid=5905")</f>
        <v>https://ceds.ed.gov/cedselementdetails.aspx?termid=5905</v>
      </c>
      <c r="P1414" s="6" t="str">
        <f>HYPERLINK("https://ceds.ed.gov/elementComment.aspx?elementName=Assessment Item Possible Response Sequence Number &amp;elementID=5905", "Click here to submit comment")</f>
        <v>Click here to submit comment</v>
      </c>
    </row>
    <row r="1415" spans="1:16" ht="60">
      <c r="A1415" s="6" t="s">
        <v>6788</v>
      </c>
      <c r="B1415" s="6" t="s">
        <v>6784</v>
      </c>
      <c r="C1415" s="6" t="s">
        <v>6837</v>
      </c>
      <c r="D1415" s="6" t="s">
        <v>785</v>
      </c>
      <c r="E1415" s="6" t="s">
        <v>786</v>
      </c>
      <c r="F1415" s="6" t="s">
        <v>13</v>
      </c>
      <c r="G1415" s="6"/>
      <c r="H1415" s="6"/>
      <c r="I1415" s="6" t="s">
        <v>93</v>
      </c>
      <c r="J1415" s="6"/>
      <c r="K1415" s="6"/>
      <c r="L1415" s="6" t="s">
        <v>787</v>
      </c>
      <c r="M1415" s="6"/>
      <c r="N1415" s="6" t="s">
        <v>788</v>
      </c>
      <c r="O1415" s="6" t="str">
        <f>HYPERLINK("https://ceds.ed.gov/cedselementdetails.aspx?termid=5908")</f>
        <v>https://ceds.ed.gov/cedselementdetails.aspx?termid=5908</v>
      </c>
      <c r="P1415" s="6" t="str">
        <f>HYPERLINK("https://ceds.ed.gov/elementComment.aspx?elementName=Assessment Item Possible Response Value &amp;elementID=5908", "Click here to submit comment")</f>
        <v>Click here to submit comment</v>
      </c>
    </row>
    <row r="1416" spans="1:16" ht="60">
      <c r="A1416" s="6" t="s">
        <v>6788</v>
      </c>
      <c r="B1416" s="6" t="s">
        <v>6784</v>
      </c>
      <c r="C1416" s="6" t="s">
        <v>6837</v>
      </c>
      <c r="D1416" s="6" t="s">
        <v>777</v>
      </c>
      <c r="E1416" s="6" t="s">
        <v>778</v>
      </c>
      <c r="F1416" s="6" t="s">
        <v>13</v>
      </c>
      <c r="G1416" s="6"/>
      <c r="H1416" s="6"/>
      <c r="I1416" s="6" t="s">
        <v>319</v>
      </c>
      <c r="J1416" s="6"/>
      <c r="K1416" s="6"/>
      <c r="L1416" s="6" t="s">
        <v>779</v>
      </c>
      <c r="M1416" s="6"/>
      <c r="N1416" s="6" t="s">
        <v>780</v>
      </c>
      <c r="O1416" s="6" t="str">
        <f>HYPERLINK("https://ceds.ed.gov/cedselementdetails.aspx?termid=6235")</f>
        <v>https://ceds.ed.gov/cedselementdetails.aspx?termid=6235</v>
      </c>
      <c r="P1416" s="6" t="str">
        <f>HYPERLINK("https://ceds.ed.gov/elementComment.aspx?elementName=Assessment Item Possible Response Option &amp;elementID=6235", "Click here to submit comment")</f>
        <v>Click here to submit comment</v>
      </c>
    </row>
    <row r="1417" spans="1:16" ht="45">
      <c r="A1417" s="6" t="s">
        <v>6788</v>
      </c>
      <c r="B1417" s="6" t="s">
        <v>6784</v>
      </c>
      <c r="C1417" s="6" t="s">
        <v>6837</v>
      </c>
      <c r="D1417" s="6" t="s">
        <v>768</v>
      </c>
      <c r="E1417" s="6" t="s">
        <v>769</v>
      </c>
      <c r="F1417" s="6" t="s">
        <v>5963</v>
      </c>
      <c r="G1417" s="6"/>
      <c r="H1417" s="6"/>
      <c r="I1417" s="6"/>
      <c r="J1417" s="6"/>
      <c r="K1417" s="6"/>
      <c r="L1417" s="6" t="s">
        <v>770</v>
      </c>
      <c r="M1417" s="6"/>
      <c r="N1417" s="6" t="s">
        <v>771</v>
      </c>
      <c r="O1417" s="6" t="str">
        <f>HYPERLINK("https://ceds.ed.gov/cedselementdetails.aspx?termid=6183")</f>
        <v>https://ceds.ed.gov/cedselementdetails.aspx?termid=6183</v>
      </c>
      <c r="P1417" s="6" t="str">
        <f>HYPERLINK("https://ceds.ed.gov/elementComment.aspx?elementName=Assessment Item Possible Response Correct Indicator &amp;elementID=6183", "Click here to submit comment")</f>
        <v>Click here to submit comment</v>
      </c>
    </row>
    <row r="1418" spans="1:16" ht="120">
      <c r="A1418" s="6" t="s">
        <v>6788</v>
      </c>
      <c r="B1418" s="6" t="s">
        <v>6784</v>
      </c>
      <c r="C1418" s="6" t="s">
        <v>6837</v>
      </c>
      <c r="D1418" s="6" t="s">
        <v>772</v>
      </c>
      <c r="E1418" s="6" t="s">
        <v>773</v>
      </c>
      <c r="F1418" s="6" t="s">
        <v>13</v>
      </c>
      <c r="G1418" s="6" t="s">
        <v>493</v>
      </c>
      <c r="H1418" s="6"/>
      <c r="I1418" s="6" t="s">
        <v>93</v>
      </c>
      <c r="J1418" s="6"/>
      <c r="K1418" s="6" t="s">
        <v>774</v>
      </c>
      <c r="L1418" s="6" t="s">
        <v>775</v>
      </c>
      <c r="M1418" s="6"/>
      <c r="N1418" s="6" t="s">
        <v>776</v>
      </c>
      <c r="O1418" s="6" t="str">
        <f>HYPERLINK("https://ceds.ed.gov/cedselementdetails.aspx?termid=5904")</f>
        <v>https://ceds.ed.gov/cedselementdetails.aspx?termid=5904</v>
      </c>
      <c r="P1418" s="6" t="str">
        <f>HYPERLINK("https://ceds.ed.gov/elementComment.aspx?elementName=Assessment Item Possible Response Feedback Message &amp;elementID=5904", "Click here to submit comment")</f>
        <v>Click here to submit comment</v>
      </c>
    </row>
    <row r="1419" spans="1:16" ht="45">
      <c r="A1419" s="6" t="s">
        <v>6788</v>
      </c>
      <c r="B1419" s="6" t="s">
        <v>6784</v>
      </c>
      <c r="C1419" s="6" t="s">
        <v>6838</v>
      </c>
      <c r="D1419" s="6" t="s">
        <v>908</v>
      </c>
      <c r="E1419" s="6" t="s">
        <v>909</v>
      </c>
      <c r="F1419" s="6" t="s">
        <v>13</v>
      </c>
      <c r="G1419" s="6" t="s">
        <v>493</v>
      </c>
      <c r="H1419" s="6"/>
      <c r="I1419" s="6" t="s">
        <v>93</v>
      </c>
      <c r="J1419" s="6"/>
      <c r="K1419" s="6"/>
      <c r="L1419" s="6" t="s">
        <v>910</v>
      </c>
      <c r="M1419" s="6"/>
      <c r="N1419" s="6" t="s">
        <v>911</v>
      </c>
      <c r="O1419" s="6" t="str">
        <f>HYPERLINK("https://ceds.ed.gov/cedselementdetails.aspx?termid=6069")</f>
        <v>https://ceds.ed.gov/cedselementdetails.aspx?termid=6069</v>
      </c>
      <c r="P1419" s="6" t="str">
        <f>HYPERLINK("https://ceds.ed.gov/elementComment.aspx?elementName=Assessment Item Response Value &amp;elementID=6069", "Click here to submit comment")</f>
        <v>Click here to submit comment</v>
      </c>
    </row>
    <row r="1420" spans="1:16" ht="45">
      <c r="A1420" s="6" t="s">
        <v>6788</v>
      </c>
      <c r="B1420" s="6" t="s">
        <v>6784</v>
      </c>
      <c r="C1420" s="6" t="s">
        <v>6838</v>
      </c>
      <c r="D1420" s="6" t="s">
        <v>838</v>
      </c>
      <c r="E1420" s="6" t="s">
        <v>839</v>
      </c>
      <c r="F1420" s="6" t="s">
        <v>13</v>
      </c>
      <c r="G1420" s="6"/>
      <c r="H1420" s="6"/>
      <c r="I1420" s="6" t="s">
        <v>73</v>
      </c>
      <c r="J1420" s="6"/>
      <c r="K1420" s="6"/>
      <c r="L1420" s="6" t="s">
        <v>840</v>
      </c>
      <c r="M1420" s="6"/>
      <c r="N1420" s="6" t="s">
        <v>841</v>
      </c>
      <c r="O1420" s="6" t="str">
        <f>HYPERLINK("https://ceds.ed.gov/cedselementdetails.aspx?termid=5960")</f>
        <v>https://ceds.ed.gov/cedselementdetails.aspx?termid=5960</v>
      </c>
      <c r="P1420" s="6" t="str">
        <f>HYPERLINK("https://ceds.ed.gov/elementComment.aspx?elementName=Assessment Item Response Start Date &amp;elementID=5960", "Click here to submit comment")</f>
        <v>Click here to submit comment</v>
      </c>
    </row>
    <row r="1421" spans="1:16" ht="45">
      <c r="A1421" s="6" t="s">
        <v>6788</v>
      </c>
      <c r="B1421" s="6" t="s">
        <v>6784</v>
      </c>
      <c r="C1421" s="6" t="s">
        <v>6838</v>
      </c>
      <c r="D1421" s="6" t="s">
        <v>842</v>
      </c>
      <c r="E1421" s="6" t="s">
        <v>843</v>
      </c>
      <c r="F1421" s="6" t="s">
        <v>13</v>
      </c>
      <c r="G1421" s="6"/>
      <c r="H1421" s="6"/>
      <c r="I1421" s="6" t="s">
        <v>808</v>
      </c>
      <c r="J1421" s="6"/>
      <c r="K1421" s="6"/>
      <c r="L1421" s="6" t="s">
        <v>844</v>
      </c>
      <c r="M1421" s="6"/>
      <c r="N1421" s="6" t="s">
        <v>845</v>
      </c>
      <c r="O1421" s="6" t="str">
        <f>HYPERLINK("https://ceds.ed.gov/cedselementdetails.aspx?termid=5959")</f>
        <v>https://ceds.ed.gov/cedselementdetails.aspx?termid=5959</v>
      </c>
      <c r="P1421" s="6" t="str">
        <f>HYPERLINK("https://ceds.ed.gov/elementComment.aspx?elementName=Assessment Item Response Start Time &amp;elementID=5959", "Click here to submit comment")</f>
        <v>Click here to submit comment</v>
      </c>
    </row>
    <row r="1422" spans="1:16" ht="60">
      <c r="A1422" s="6" t="s">
        <v>6788</v>
      </c>
      <c r="B1422" s="6" t="s">
        <v>6784</v>
      </c>
      <c r="C1422" s="6" t="s">
        <v>6838</v>
      </c>
      <c r="D1422" s="6" t="s">
        <v>806</v>
      </c>
      <c r="E1422" s="6" t="s">
        <v>807</v>
      </c>
      <c r="F1422" s="6" t="s">
        <v>13</v>
      </c>
      <c r="G1422" s="6" t="s">
        <v>6018</v>
      </c>
      <c r="H1422" s="6"/>
      <c r="I1422" s="6" t="s">
        <v>808</v>
      </c>
      <c r="J1422" s="6"/>
      <c r="K1422" s="6"/>
      <c r="L1422" s="6" t="s">
        <v>809</v>
      </c>
      <c r="M1422" s="6"/>
      <c r="N1422" s="6" t="s">
        <v>810</v>
      </c>
      <c r="O1422" s="6" t="str">
        <f>HYPERLINK("https://ceds.ed.gov/cedselementdetails.aspx?termid=5394")</f>
        <v>https://ceds.ed.gov/cedselementdetails.aspx?termid=5394</v>
      </c>
      <c r="P1422" s="6" t="str">
        <f>HYPERLINK("https://ceds.ed.gov/elementComment.aspx?elementName=Assessment Item Response Duration &amp;elementID=5394", "Click here to submit comment")</f>
        <v>Click here to submit comment</v>
      </c>
    </row>
    <row r="1423" spans="1:16" ht="210">
      <c r="A1423" s="6" t="s">
        <v>6788</v>
      </c>
      <c r="B1423" s="6" t="s">
        <v>6784</v>
      </c>
      <c r="C1423" s="6" t="s">
        <v>6838</v>
      </c>
      <c r="D1423" s="6" t="s">
        <v>846</v>
      </c>
      <c r="E1423" s="6" t="s">
        <v>847</v>
      </c>
      <c r="F1423" s="7" t="s">
        <v>6385</v>
      </c>
      <c r="G1423" s="6" t="s">
        <v>6018</v>
      </c>
      <c r="H1423" s="6" t="s">
        <v>66</v>
      </c>
      <c r="I1423" s="6"/>
      <c r="J1423" s="6" t="s">
        <v>848</v>
      </c>
      <c r="K1423" s="6"/>
      <c r="L1423" s="6" t="s">
        <v>849</v>
      </c>
      <c r="M1423" s="6"/>
      <c r="N1423" s="6" t="s">
        <v>850</v>
      </c>
      <c r="O1423" s="6" t="str">
        <f>HYPERLINK("https://ceds.ed.gov/cedselementdetails.aspx?termid=5396")</f>
        <v>https://ceds.ed.gov/cedselementdetails.aspx?termid=5396</v>
      </c>
      <c r="P1423" s="6" t="str">
        <f>HYPERLINK("https://ceds.ed.gov/elementComment.aspx?elementName=Assessment Item Response Status &amp;elementID=5396", "Click here to submit comment")</f>
        <v>Click here to submit comment</v>
      </c>
    </row>
    <row r="1424" spans="1:16" ht="60">
      <c r="A1424" s="6" t="s">
        <v>6788</v>
      </c>
      <c r="B1424" s="6" t="s">
        <v>6784</v>
      </c>
      <c r="C1424" s="6" t="s">
        <v>6838</v>
      </c>
      <c r="D1424" s="6" t="s">
        <v>793</v>
      </c>
      <c r="E1424" s="6" t="s">
        <v>794</v>
      </c>
      <c r="F1424" s="6" t="s">
        <v>13</v>
      </c>
      <c r="G1424" s="6" t="s">
        <v>6018</v>
      </c>
      <c r="H1424" s="6"/>
      <c r="I1424" s="6" t="s">
        <v>100</v>
      </c>
      <c r="J1424" s="6"/>
      <c r="K1424" s="6" t="s">
        <v>795</v>
      </c>
      <c r="L1424" s="6" t="s">
        <v>796</v>
      </c>
      <c r="M1424" s="6"/>
      <c r="N1424" s="6" t="s">
        <v>797</v>
      </c>
      <c r="O1424" s="6" t="str">
        <f>HYPERLINK("https://ceds.ed.gov/cedselementdetails.aspx?termid=5397")</f>
        <v>https://ceds.ed.gov/cedselementdetails.aspx?termid=5397</v>
      </c>
      <c r="P1424" s="6" t="str">
        <f>HYPERLINK("https://ceds.ed.gov/elementComment.aspx?elementName=Assessment Item Response Aid Set Used &amp;elementID=5397", "Click here to submit comment")</f>
        <v>Click here to submit comment</v>
      </c>
    </row>
    <row r="1425" spans="1:16" ht="45">
      <c r="A1425" s="6" t="s">
        <v>6788</v>
      </c>
      <c r="B1425" s="6" t="s">
        <v>6784</v>
      </c>
      <c r="C1425" s="6" t="s">
        <v>6838</v>
      </c>
      <c r="D1425" s="6" t="s">
        <v>829</v>
      </c>
      <c r="E1425" s="6" t="s">
        <v>830</v>
      </c>
      <c r="F1425" s="6" t="s">
        <v>13</v>
      </c>
      <c r="G1425" s="6" t="s">
        <v>493</v>
      </c>
      <c r="H1425" s="6"/>
      <c r="I1425" s="6" t="s">
        <v>106</v>
      </c>
      <c r="J1425" s="6"/>
      <c r="K1425" s="6"/>
      <c r="L1425" s="6" t="s">
        <v>831</v>
      </c>
      <c r="M1425" s="6"/>
      <c r="N1425" s="6" t="s">
        <v>832</v>
      </c>
      <c r="O1425" s="6" t="str">
        <f>HYPERLINK("https://ceds.ed.gov/cedselementdetails.aspx?termid=5700")</f>
        <v>https://ceds.ed.gov/cedselementdetails.aspx?termid=5700</v>
      </c>
      <c r="P1425" s="6" t="str">
        <f>HYPERLINK("https://ceds.ed.gov/elementComment.aspx?elementName=Assessment Item Response Score Value &amp;elementID=5700", "Click here to submit comment")</f>
        <v>Click here to submit comment</v>
      </c>
    </row>
    <row r="1426" spans="1:16" ht="45">
      <c r="A1426" s="6" t="s">
        <v>6788</v>
      </c>
      <c r="B1426" s="6" t="s">
        <v>6784</v>
      </c>
      <c r="C1426" s="6" t="s">
        <v>6838</v>
      </c>
      <c r="D1426" s="6" t="s">
        <v>798</v>
      </c>
      <c r="E1426" s="6" t="s">
        <v>799</v>
      </c>
      <c r="F1426" s="6" t="s">
        <v>13</v>
      </c>
      <c r="G1426" s="6" t="s">
        <v>6018</v>
      </c>
      <c r="H1426" s="6"/>
      <c r="I1426" s="6" t="s">
        <v>745</v>
      </c>
      <c r="J1426" s="6"/>
      <c r="K1426" s="6"/>
      <c r="L1426" s="6" t="s">
        <v>800</v>
      </c>
      <c r="M1426" s="6"/>
      <c r="N1426" s="6" t="s">
        <v>801</v>
      </c>
      <c r="O1426" s="6" t="str">
        <f>HYPERLINK("https://ceds.ed.gov/cedselementdetails.aspx?termid=5385")</f>
        <v>https://ceds.ed.gov/cedselementdetails.aspx?termid=5385</v>
      </c>
      <c r="P1426" s="6" t="str">
        <f>HYPERLINK("https://ceds.ed.gov/elementComment.aspx?elementName=Assessment Item Response Choice Pattern &amp;elementID=5385", "Click here to submit comment")</f>
        <v>Click here to submit comment</v>
      </c>
    </row>
    <row r="1427" spans="1:16" ht="60">
      <c r="A1427" s="6" t="s">
        <v>6788</v>
      </c>
      <c r="B1427" s="6" t="s">
        <v>6784</v>
      </c>
      <c r="C1427" s="6" t="s">
        <v>6838</v>
      </c>
      <c r="D1427" s="6" t="s">
        <v>802</v>
      </c>
      <c r="E1427" s="6" t="s">
        <v>803</v>
      </c>
      <c r="F1427" s="6" t="s">
        <v>13</v>
      </c>
      <c r="G1427" s="6" t="s">
        <v>493</v>
      </c>
      <c r="H1427" s="6"/>
      <c r="I1427" s="6" t="s">
        <v>93</v>
      </c>
      <c r="J1427" s="6"/>
      <c r="K1427" s="6"/>
      <c r="L1427" s="6" t="s">
        <v>804</v>
      </c>
      <c r="M1427" s="6"/>
      <c r="N1427" s="6" t="s">
        <v>805</v>
      </c>
      <c r="O1427" s="6" t="str">
        <f>HYPERLINK("https://ceds.ed.gov/cedselementdetails.aspx?termid=5891")</f>
        <v>https://ceds.ed.gov/cedselementdetails.aspx?termid=5891</v>
      </c>
      <c r="P1427" s="6" t="str">
        <f>HYPERLINK("https://ceds.ed.gov/elementComment.aspx?elementName=Assessment Item Response Descriptive Feedback &amp;elementID=5891", "Click here to submit comment")</f>
        <v>Click here to submit comment</v>
      </c>
    </row>
    <row r="1428" spans="1:16" ht="135">
      <c r="A1428" s="6" t="s">
        <v>6788</v>
      </c>
      <c r="B1428" s="6" t="s">
        <v>6784</v>
      </c>
      <c r="C1428" s="6" t="s">
        <v>6838</v>
      </c>
      <c r="D1428" s="6" t="s">
        <v>825</v>
      </c>
      <c r="E1428" s="6" t="s">
        <v>826</v>
      </c>
      <c r="F1428" s="6" t="s">
        <v>5963</v>
      </c>
      <c r="G1428" s="6"/>
      <c r="H1428" s="6"/>
      <c r="I1428" s="6"/>
      <c r="J1428" s="6"/>
      <c r="K1428" s="6"/>
      <c r="L1428" s="6" t="s">
        <v>827</v>
      </c>
      <c r="M1428" s="6"/>
      <c r="N1428" s="6" t="s">
        <v>828</v>
      </c>
      <c r="O1428" s="6" t="str">
        <f>HYPERLINK("https://ceds.ed.gov/cedselementdetails.aspx?termid=5955")</f>
        <v>https://ceds.ed.gov/cedselementdetails.aspx?termid=5955</v>
      </c>
      <c r="P1428" s="6" t="str">
        <f>HYPERLINK("https://ceds.ed.gov/elementComment.aspx?elementName=Assessment Item Response Scaffolding Item Flag &amp;elementID=5955", "Click here to submit comment")</f>
        <v>Click here to submit comment</v>
      </c>
    </row>
    <row r="1429" spans="1:16" ht="135">
      <c r="A1429" s="6" t="s">
        <v>6788</v>
      </c>
      <c r="B1429" s="6" t="s">
        <v>6784</v>
      </c>
      <c r="C1429" s="6" t="s">
        <v>6838</v>
      </c>
      <c r="D1429" s="6" t="s">
        <v>816</v>
      </c>
      <c r="E1429" s="6" t="s">
        <v>817</v>
      </c>
      <c r="F1429" s="6" t="s">
        <v>13</v>
      </c>
      <c r="G1429" s="6"/>
      <c r="H1429" s="6"/>
      <c r="I1429" s="6" t="s">
        <v>308</v>
      </c>
      <c r="J1429" s="6"/>
      <c r="K1429" s="6"/>
      <c r="L1429" s="6" t="s">
        <v>818</v>
      </c>
      <c r="M1429" s="6"/>
      <c r="N1429" s="6" t="s">
        <v>819</v>
      </c>
      <c r="O1429" s="6" t="str">
        <f>HYPERLINK("https://ceds.ed.gov/cedselementdetails.aspx?termid=5956")</f>
        <v>https://ceds.ed.gov/cedselementdetails.aspx?termid=5956</v>
      </c>
      <c r="P1429" s="6" t="str">
        <f>HYPERLINK("https://ceds.ed.gov/elementComment.aspx?elementName=Assessment Item Response Hint Count &amp;elementID=5956", "Click here to submit comment")</f>
        <v>Click here to submit comment</v>
      </c>
    </row>
    <row r="1430" spans="1:16" ht="135">
      <c r="A1430" s="6" t="s">
        <v>6788</v>
      </c>
      <c r="B1430" s="6" t="s">
        <v>6784</v>
      </c>
      <c r="C1430" s="6" t="s">
        <v>6838</v>
      </c>
      <c r="D1430" s="6" t="s">
        <v>820</v>
      </c>
      <c r="E1430" s="6" t="s">
        <v>821</v>
      </c>
      <c r="F1430" s="6" t="s">
        <v>5963</v>
      </c>
      <c r="G1430" s="6"/>
      <c r="H1430" s="6"/>
      <c r="I1430" s="6"/>
      <c r="J1430" s="6"/>
      <c r="K1430" s="6" t="s">
        <v>822</v>
      </c>
      <c r="L1430" s="6" t="s">
        <v>823</v>
      </c>
      <c r="M1430" s="6"/>
      <c r="N1430" s="6" t="s">
        <v>824</v>
      </c>
      <c r="O1430" s="6" t="str">
        <f>HYPERLINK("https://ceds.ed.gov/cedselementdetails.aspx?termid=5957")</f>
        <v>https://ceds.ed.gov/cedselementdetails.aspx?termid=5957</v>
      </c>
      <c r="P1430" s="6" t="str">
        <f>HYPERLINK("https://ceds.ed.gov/elementComment.aspx?elementName=Assessment Item Response Hint Included Answer &amp;elementID=5957", "Click here to submit comment")</f>
        <v>Click here to submit comment</v>
      </c>
    </row>
    <row r="1431" spans="1:16" ht="105">
      <c r="A1431" s="6" t="s">
        <v>6788</v>
      </c>
      <c r="B1431" s="6" t="s">
        <v>6784</v>
      </c>
      <c r="C1431" s="6" t="s">
        <v>6838</v>
      </c>
      <c r="D1431" s="6" t="s">
        <v>811</v>
      </c>
      <c r="E1431" s="6" t="s">
        <v>812</v>
      </c>
      <c r="F1431" s="6" t="s">
        <v>13</v>
      </c>
      <c r="G1431" s="6"/>
      <c r="H1431" s="6"/>
      <c r="I1431" s="6" t="s">
        <v>808</v>
      </c>
      <c r="J1431" s="6"/>
      <c r="K1431" s="6" t="s">
        <v>813</v>
      </c>
      <c r="L1431" s="6" t="s">
        <v>814</v>
      </c>
      <c r="M1431" s="6"/>
      <c r="N1431" s="6" t="s">
        <v>815</v>
      </c>
      <c r="O1431" s="6" t="str">
        <f>HYPERLINK("https://ceds.ed.gov/cedselementdetails.aspx?termid=5958")</f>
        <v>https://ceds.ed.gov/cedselementdetails.aspx?termid=5958</v>
      </c>
      <c r="P1431" s="6" t="str">
        <f>HYPERLINK("https://ceds.ed.gov/elementComment.aspx?elementName=Assessment Item Response First Attempt Duration &amp;elementID=5958", "Click here to submit comment")</f>
        <v>Click here to submit comment</v>
      </c>
    </row>
    <row r="1432" spans="1:16" ht="60">
      <c r="A1432" s="6" t="s">
        <v>6788</v>
      </c>
      <c r="B1432" s="6" t="s">
        <v>6784</v>
      </c>
      <c r="C1432" s="6" t="s">
        <v>6838</v>
      </c>
      <c r="D1432" s="6" t="s">
        <v>4767</v>
      </c>
      <c r="E1432" s="6" t="s">
        <v>4768</v>
      </c>
      <c r="F1432" s="7" t="s">
        <v>6621</v>
      </c>
      <c r="G1432" s="6" t="s">
        <v>218</v>
      </c>
      <c r="H1432" s="6"/>
      <c r="I1432" s="6"/>
      <c r="J1432" s="6"/>
      <c r="K1432" s="6"/>
      <c r="L1432" s="6" t="s">
        <v>4769</v>
      </c>
      <c r="M1432" s="6"/>
      <c r="N1432" s="6" t="s">
        <v>4770</v>
      </c>
      <c r="O1432" s="6" t="str">
        <f>HYPERLINK("https://ceds.ed.gov/cedselementdetails.aspx?termid=5565")</f>
        <v>https://ceds.ed.gov/cedselementdetails.aspx?termid=5565</v>
      </c>
      <c r="P1432" s="6" t="str">
        <f>HYPERLINK("https://ceds.ed.gov/elementComment.aspx?elementName=Proficiency Status &amp;elementID=5565", "Click here to submit comment")</f>
        <v>Click here to submit comment</v>
      </c>
    </row>
    <row r="1433" spans="1:16" ht="120">
      <c r="A1433" s="6" t="s">
        <v>6788</v>
      </c>
      <c r="B1433" s="6" t="s">
        <v>6784</v>
      </c>
      <c r="C1433" s="6" t="s">
        <v>6839</v>
      </c>
      <c r="D1433" s="6" t="s">
        <v>863</v>
      </c>
      <c r="E1433" s="6" t="s">
        <v>864</v>
      </c>
      <c r="F1433" s="6" t="s">
        <v>13</v>
      </c>
      <c r="G1433" s="6"/>
      <c r="H1433" s="6"/>
      <c r="I1433" s="6" t="s">
        <v>545</v>
      </c>
      <c r="J1433" s="6"/>
      <c r="K1433" s="6"/>
      <c r="L1433" s="6" t="s">
        <v>865</v>
      </c>
      <c r="M1433" s="6"/>
      <c r="N1433" s="6" t="s">
        <v>866</v>
      </c>
      <c r="O1433" s="6" t="str">
        <f>HYPERLINK("https://ceds.ed.gov/cedselementdetails.aspx?termid=6217")</f>
        <v>https://ceds.ed.gov/cedselementdetails.aspx?termid=6217</v>
      </c>
      <c r="P1433" s="6" t="str">
        <f>HYPERLINK("https://ceds.ed.gov/elementComment.aspx?elementName=Assessment Item Response Theory Parameter A &amp;elementID=6217", "Click here to submit comment")</f>
        <v>Click here to submit comment</v>
      </c>
    </row>
    <row r="1434" spans="1:16" ht="75">
      <c r="A1434" s="6" t="s">
        <v>6788</v>
      </c>
      <c r="B1434" s="6" t="s">
        <v>6784</v>
      </c>
      <c r="C1434" s="6" t="s">
        <v>6839</v>
      </c>
      <c r="D1434" s="6" t="s">
        <v>867</v>
      </c>
      <c r="E1434" s="6" t="s">
        <v>868</v>
      </c>
      <c r="F1434" s="6" t="s">
        <v>13</v>
      </c>
      <c r="G1434" s="6"/>
      <c r="H1434" s="6"/>
      <c r="I1434" s="6" t="s">
        <v>545</v>
      </c>
      <c r="J1434" s="6"/>
      <c r="K1434" s="6"/>
      <c r="L1434" s="6" t="s">
        <v>869</v>
      </c>
      <c r="M1434" s="6"/>
      <c r="N1434" s="6" t="s">
        <v>870</v>
      </c>
      <c r="O1434" s="6" t="str">
        <f>HYPERLINK("https://ceds.ed.gov/cedselementdetails.aspx?termid=6218")</f>
        <v>https://ceds.ed.gov/cedselementdetails.aspx?termid=6218</v>
      </c>
      <c r="P1434" s="6" t="str">
        <f>HYPERLINK("https://ceds.ed.gov/elementComment.aspx?elementName=Assessment Item Response Theory Parameter B &amp;elementID=6218", "Click here to submit comment")</f>
        <v>Click here to submit comment</v>
      </c>
    </row>
    <row r="1435" spans="1:16" ht="180">
      <c r="A1435" s="6" t="s">
        <v>6788</v>
      </c>
      <c r="B1435" s="6" t="s">
        <v>6784</v>
      </c>
      <c r="C1435" s="6" t="s">
        <v>6839</v>
      </c>
      <c r="D1435" s="6" t="s">
        <v>899</v>
      </c>
      <c r="E1435" s="6" t="s">
        <v>900</v>
      </c>
      <c r="F1435" s="7" t="s">
        <v>6387</v>
      </c>
      <c r="G1435" s="6"/>
      <c r="H1435" s="6"/>
      <c r="I1435" s="6"/>
      <c r="J1435" s="6"/>
      <c r="K1435" s="6"/>
      <c r="L1435" s="6" t="s">
        <v>901</v>
      </c>
      <c r="M1435" s="6"/>
      <c r="N1435" s="6" t="s">
        <v>902</v>
      </c>
      <c r="O1435" s="6" t="str">
        <f>HYPERLINK("https://ceds.ed.gov/cedselementdetails.aspx?termid=6219")</f>
        <v>https://ceds.ed.gov/cedselementdetails.aspx?termid=6219</v>
      </c>
      <c r="P1435" s="6" t="str">
        <f>HYPERLINK("https://ceds.ed.gov/elementComment.aspx?elementName=Assessment Item Response Theory Parameter Difficulty Category &amp;elementID=6219", "Click here to submit comment")</f>
        <v>Click here to submit comment</v>
      </c>
    </row>
    <row r="1436" spans="1:16" ht="120">
      <c r="A1436" s="6" t="s">
        <v>6788</v>
      </c>
      <c r="B1436" s="6" t="s">
        <v>6784</v>
      </c>
      <c r="C1436" s="6" t="s">
        <v>6839</v>
      </c>
      <c r="D1436" s="6" t="s">
        <v>871</v>
      </c>
      <c r="E1436" s="6" t="s">
        <v>872</v>
      </c>
      <c r="F1436" s="6" t="s">
        <v>13</v>
      </c>
      <c r="G1436" s="6"/>
      <c r="H1436" s="6"/>
      <c r="I1436" s="6" t="s">
        <v>545</v>
      </c>
      <c r="J1436" s="6"/>
      <c r="K1436" s="6"/>
      <c r="L1436" s="6" t="s">
        <v>873</v>
      </c>
      <c r="M1436" s="6"/>
      <c r="N1436" s="6" t="s">
        <v>874</v>
      </c>
      <c r="O1436" s="6" t="str">
        <f>HYPERLINK("https://ceds.ed.gov/cedselementdetails.aspx?termid=6220")</f>
        <v>https://ceds.ed.gov/cedselementdetails.aspx?termid=6220</v>
      </c>
      <c r="P1436" s="6" t="str">
        <f>HYPERLINK("https://ceds.ed.gov/elementComment.aspx?elementName=Assessment Item Response Theory Parameter C &amp;elementID=6220", "Click here to submit comment")</f>
        <v>Click here to submit comment</v>
      </c>
    </row>
    <row r="1437" spans="1:16" ht="90">
      <c r="A1437" s="6" t="s">
        <v>6788</v>
      </c>
      <c r="B1437" s="6" t="s">
        <v>6784</v>
      </c>
      <c r="C1437" s="6" t="s">
        <v>6839</v>
      </c>
      <c r="D1437" s="6" t="s">
        <v>875</v>
      </c>
      <c r="E1437" s="6" t="s">
        <v>876</v>
      </c>
      <c r="F1437" s="6" t="s">
        <v>13</v>
      </c>
      <c r="G1437" s="6"/>
      <c r="H1437" s="6"/>
      <c r="I1437" s="6" t="s">
        <v>545</v>
      </c>
      <c r="J1437" s="6"/>
      <c r="K1437" s="6"/>
      <c r="L1437" s="6" t="s">
        <v>877</v>
      </c>
      <c r="M1437" s="6"/>
      <c r="N1437" s="6" t="s">
        <v>878</v>
      </c>
      <c r="O1437" s="6" t="str">
        <f>HYPERLINK("https://ceds.ed.gov/cedselementdetails.aspx?termid=6221")</f>
        <v>https://ceds.ed.gov/cedselementdetails.aspx?termid=6221</v>
      </c>
      <c r="P1437" s="6" t="str">
        <f>HYPERLINK("https://ceds.ed.gov/elementComment.aspx?elementName=Assessment Item Response Theory Parameter D1 &amp;elementID=6221", "Click here to submit comment")</f>
        <v>Click here to submit comment</v>
      </c>
    </row>
    <row r="1438" spans="1:16" ht="90">
      <c r="A1438" s="6" t="s">
        <v>6788</v>
      </c>
      <c r="B1438" s="6" t="s">
        <v>6784</v>
      </c>
      <c r="C1438" s="6" t="s">
        <v>6839</v>
      </c>
      <c r="D1438" s="6" t="s">
        <v>879</v>
      </c>
      <c r="E1438" s="6" t="s">
        <v>880</v>
      </c>
      <c r="F1438" s="6" t="s">
        <v>13</v>
      </c>
      <c r="G1438" s="6"/>
      <c r="H1438" s="6"/>
      <c r="I1438" s="6" t="s">
        <v>545</v>
      </c>
      <c r="J1438" s="6"/>
      <c r="K1438" s="6"/>
      <c r="L1438" s="6" t="s">
        <v>881</v>
      </c>
      <c r="M1438" s="6"/>
      <c r="N1438" s="6" t="s">
        <v>882</v>
      </c>
      <c r="O1438" s="6" t="str">
        <f>HYPERLINK("https://ceds.ed.gov/cedselementdetails.aspx?termid=6222")</f>
        <v>https://ceds.ed.gov/cedselementdetails.aspx?termid=6222</v>
      </c>
      <c r="P1438" s="6" t="str">
        <f>HYPERLINK("https://ceds.ed.gov/elementComment.aspx?elementName=Assessment Item Response Theory Parameter D2 &amp;elementID=6222", "Click here to submit comment")</f>
        <v>Click here to submit comment</v>
      </c>
    </row>
    <row r="1439" spans="1:16" ht="90">
      <c r="A1439" s="6" t="s">
        <v>6788</v>
      </c>
      <c r="B1439" s="6" t="s">
        <v>6784</v>
      </c>
      <c r="C1439" s="6" t="s">
        <v>6839</v>
      </c>
      <c r="D1439" s="6" t="s">
        <v>883</v>
      </c>
      <c r="E1439" s="6" t="s">
        <v>884</v>
      </c>
      <c r="F1439" s="6" t="s">
        <v>13</v>
      </c>
      <c r="G1439" s="6"/>
      <c r="H1439" s="6"/>
      <c r="I1439" s="6" t="s">
        <v>545</v>
      </c>
      <c r="J1439" s="6"/>
      <c r="K1439" s="6"/>
      <c r="L1439" s="6" t="s">
        <v>885</v>
      </c>
      <c r="M1439" s="6"/>
      <c r="N1439" s="6" t="s">
        <v>886</v>
      </c>
      <c r="O1439" s="6" t="str">
        <f>HYPERLINK("https://ceds.ed.gov/cedselementdetails.aspx?termid=6223")</f>
        <v>https://ceds.ed.gov/cedselementdetails.aspx?termid=6223</v>
      </c>
      <c r="P1439" s="6" t="str">
        <f>HYPERLINK("https://ceds.ed.gov/elementComment.aspx?elementName=Assessment Item Response Theory Parameter D3 &amp;elementID=6223", "Click here to submit comment")</f>
        <v>Click here to submit comment</v>
      </c>
    </row>
    <row r="1440" spans="1:16" ht="90">
      <c r="A1440" s="6" t="s">
        <v>6788</v>
      </c>
      <c r="B1440" s="6" t="s">
        <v>6784</v>
      </c>
      <c r="C1440" s="6" t="s">
        <v>6839</v>
      </c>
      <c r="D1440" s="6" t="s">
        <v>887</v>
      </c>
      <c r="E1440" s="6" t="s">
        <v>888</v>
      </c>
      <c r="F1440" s="6" t="s">
        <v>13</v>
      </c>
      <c r="G1440" s="6"/>
      <c r="H1440" s="6"/>
      <c r="I1440" s="6" t="s">
        <v>545</v>
      </c>
      <c r="J1440" s="6"/>
      <c r="K1440" s="6"/>
      <c r="L1440" s="6" t="s">
        <v>889</v>
      </c>
      <c r="M1440" s="6"/>
      <c r="N1440" s="6" t="s">
        <v>890</v>
      </c>
      <c r="O1440" s="6" t="str">
        <f>HYPERLINK("https://ceds.ed.gov/cedselementdetails.aspx?termid=6224")</f>
        <v>https://ceds.ed.gov/cedselementdetails.aspx?termid=6224</v>
      </c>
      <c r="P1440" s="6" t="str">
        <f>HYPERLINK("https://ceds.ed.gov/elementComment.aspx?elementName=Assessment Item Response Theory Parameter D4 &amp;elementID=6224", "Click here to submit comment")</f>
        <v>Click here to submit comment</v>
      </c>
    </row>
    <row r="1441" spans="1:16" ht="90">
      <c r="A1441" s="6" t="s">
        <v>6788</v>
      </c>
      <c r="B1441" s="6" t="s">
        <v>6784</v>
      </c>
      <c r="C1441" s="6" t="s">
        <v>6839</v>
      </c>
      <c r="D1441" s="6" t="s">
        <v>891</v>
      </c>
      <c r="E1441" s="6" t="s">
        <v>892</v>
      </c>
      <c r="F1441" s="6" t="s">
        <v>13</v>
      </c>
      <c r="G1441" s="6"/>
      <c r="H1441" s="6"/>
      <c r="I1441" s="6" t="s">
        <v>545</v>
      </c>
      <c r="J1441" s="6"/>
      <c r="K1441" s="6"/>
      <c r="L1441" s="6" t="s">
        <v>893</v>
      </c>
      <c r="M1441" s="6"/>
      <c r="N1441" s="6" t="s">
        <v>894</v>
      </c>
      <c r="O1441" s="6" t="str">
        <f>HYPERLINK("https://ceds.ed.gov/cedselementdetails.aspx?termid=6225")</f>
        <v>https://ceds.ed.gov/cedselementdetails.aspx?termid=6225</v>
      </c>
      <c r="P1441" s="6" t="str">
        <f>HYPERLINK("https://ceds.ed.gov/elementComment.aspx?elementName=Assessment Item Response Theory Parameter D5 &amp;elementID=6225", "Click here to submit comment")</f>
        <v>Click here to submit comment</v>
      </c>
    </row>
    <row r="1442" spans="1:16" ht="90">
      <c r="A1442" s="6" t="s">
        <v>6788</v>
      </c>
      <c r="B1442" s="6" t="s">
        <v>6784</v>
      </c>
      <c r="C1442" s="6" t="s">
        <v>6839</v>
      </c>
      <c r="D1442" s="6" t="s">
        <v>895</v>
      </c>
      <c r="E1442" s="6" t="s">
        <v>896</v>
      </c>
      <c r="F1442" s="6" t="s">
        <v>13</v>
      </c>
      <c r="G1442" s="6"/>
      <c r="H1442" s="6"/>
      <c r="I1442" s="6" t="s">
        <v>545</v>
      </c>
      <c r="J1442" s="6"/>
      <c r="K1442" s="6"/>
      <c r="L1442" s="6" t="s">
        <v>897</v>
      </c>
      <c r="M1442" s="6"/>
      <c r="N1442" s="6" t="s">
        <v>898</v>
      </c>
      <c r="O1442" s="6" t="str">
        <f>HYPERLINK("https://ceds.ed.gov/cedselementdetails.aspx?termid=6226")</f>
        <v>https://ceds.ed.gov/cedselementdetails.aspx?termid=6226</v>
      </c>
      <c r="P1442" s="6" t="str">
        <f>HYPERLINK("https://ceds.ed.gov/elementComment.aspx?elementName=Assessment Item Response Theory Parameter D6 &amp;elementID=6226", "Click here to submit comment")</f>
        <v>Click here to submit comment</v>
      </c>
    </row>
    <row r="1443" spans="1:16" ht="165">
      <c r="A1443" s="6" t="s">
        <v>6788</v>
      </c>
      <c r="B1443" s="6" t="s">
        <v>6784</v>
      </c>
      <c r="C1443" s="6" t="s">
        <v>6839</v>
      </c>
      <c r="D1443" s="6" t="s">
        <v>851</v>
      </c>
      <c r="E1443" s="6" t="s">
        <v>852</v>
      </c>
      <c r="F1443" s="6" t="s">
        <v>13</v>
      </c>
      <c r="G1443" s="6"/>
      <c r="H1443" s="6"/>
      <c r="I1443" s="6" t="s">
        <v>545</v>
      </c>
      <c r="J1443" s="6"/>
      <c r="K1443" s="6"/>
      <c r="L1443" s="6" t="s">
        <v>853</v>
      </c>
      <c r="M1443" s="6"/>
      <c r="N1443" s="6" t="s">
        <v>854</v>
      </c>
      <c r="O1443" s="6" t="str">
        <f>HYPERLINK("https://ceds.ed.gov/cedselementdetails.aspx?termid=6230")</f>
        <v>https://ceds.ed.gov/cedselementdetails.aspx?termid=6230</v>
      </c>
      <c r="P1443" s="6" t="str">
        <f>HYPERLINK("https://ceds.ed.gov/elementComment.aspx?elementName=Assessment Item Response Theory DIF Value &amp;elementID=6230", "Click here to submit comment")</f>
        <v>Click here to submit comment</v>
      </c>
    </row>
    <row r="1444" spans="1:16" ht="45">
      <c r="A1444" s="6" t="s">
        <v>6788</v>
      </c>
      <c r="B1444" s="6" t="s">
        <v>6784</v>
      </c>
      <c r="C1444" s="6" t="s">
        <v>6839</v>
      </c>
      <c r="D1444" s="6" t="s">
        <v>859</v>
      </c>
      <c r="E1444" s="6" t="s">
        <v>860</v>
      </c>
      <c r="F1444" s="6" t="s">
        <v>13</v>
      </c>
      <c r="G1444" s="6"/>
      <c r="H1444" s="6"/>
      <c r="I1444" s="6" t="s">
        <v>545</v>
      </c>
      <c r="J1444" s="6"/>
      <c r="K1444" s="6"/>
      <c r="L1444" s="6" t="s">
        <v>861</v>
      </c>
      <c r="M1444" s="6"/>
      <c r="N1444" s="6" t="s">
        <v>862</v>
      </c>
      <c r="O1444" s="6" t="str">
        <f>HYPERLINK("https://ceds.ed.gov/cedselementdetails.aspx?termid=6231")</f>
        <v>https://ceds.ed.gov/cedselementdetails.aspx?termid=6231</v>
      </c>
      <c r="P1444" s="6" t="str">
        <f>HYPERLINK("https://ceds.ed.gov/elementComment.aspx?elementName=Assessment Item Response Theory Kappa Value &amp;elementID=6231", "Click here to submit comment")</f>
        <v>Click here to submit comment</v>
      </c>
    </row>
    <row r="1445" spans="1:16" ht="135">
      <c r="A1445" s="6" t="s">
        <v>6788</v>
      </c>
      <c r="B1445" s="6" t="s">
        <v>6784</v>
      </c>
      <c r="C1445" s="6" t="s">
        <v>6839</v>
      </c>
      <c r="D1445" s="6" t="s">
        <v>855</v>
      </c>
      <c r="E1445" s="6" t="s">
        <v>856</v>
      </c>
      <c r="F1445" s="7" t="s">
        <v>6386</v>
      </c>
      <c r="G1445" s="6"/>
      <c r="H1445" s="6"/>
      <c r="I1445" s="6"/>
      <c r="J1445" s="6"/>
      <c r="K1445" s="6"/>
      <c r="L1445" s="6" t="s">
        <v>857</v>
      </c>
      <c r="M1445" s="6"/>
      <c r="N1445" s="6" t="s">
        <v>858</v>
      </c>
      <c r="O1445" s="6" t="str">
        <f>HYPERLINK("https://ceds.ed.gov/cedselementdetails.aspx?termid=6232")</f>
        <v>https://ceds.ed.gov/cedselementdetails.aspx?termid=6232</v>
      </c>
      <c r="P1445" s="6" t="str">
        <f>HYPERLINK("https://ceds.ed.gov/elementComment.aspx?elementName=Assessment Item Response Theory Kappa Algorithm &amp;elementID=6232", "Click here to submit comment")</f>
        <v>Click here to submit comment</v>
      </c>
    </row>
    <row r="1446" spans="1:16" ht="90">
      <c r="A1446" s="6" t="s">
        <v>6788</v>
      </c>
      <c r="B1446" s="6" t="s">
        <v>6784</v>
      </c>
      <c r="C1446" s="6" t="s">
        <v>6840</v>
      </c>
      <c r="D1446" s="6" t="s">
        <v>650</v>
      </c>
      <c r="E1446" s="6" t="s">
        <v>651</v>
      </c>
      <c r="F1446" s="6" t="s">
        <v>13</v>
      </c>
      <c r="G1446" s="6"/>
      <c r="H1446" s="6"/>
      <c r="I1446" s="6" t="s">
        <v>319</v>
      </c>
      <c r="J1446" s="6"/>
      <c r="K1446" s="6"/>
      <c r="L1446" s="6" t="s">
        <v>652</v>
      </c>
      <c r="M1446" s="6"/>
      <c r="N1446" s="6" t="s">
        <v>653</v>
      </c>
      <c r="O1446" s="6" t="str">
        <f>HYPERLINK("https://ceds.ed.gov/cedselementdetails.aspx?termid=6079")</f>
        <v>https://ceds.ed.gov/cedselementdetails.aspx?termid=6079</v>
      </c>
      <c r="P1446" s="6" t="str">
        <f>HYPERLINK("https://ceds.ed.gov/elementComment.aspx?elementName=Assessment Item Body Custom Interaction XML &amp;elementID=6079", "Click here to submit comment")</f>
        <v>Click here to submit comment</v>
      </c>
    </row>
    <row r="1447" spans="1:16" ht="409.5">
      <c r="A1447" s="6" t="s">
        <v>6788</v>
      </c>
      <c r="B1447" s="6" t="s">
        <v>6784</v>
      </c>
      <c r="C1447" s="6" t="s">
        <v>6841</v>
      </c>
      <c r="D1447" s="6" t="s">
        <v>730</v>
      </c>
      <c r="E1447" s="6" t="s">
        <v>731</v>
      </c>
      <c r="F1447" s="7" t="s">
        <v>6383</v>
      </c>
      <c r="G1447" s="6" t="s">
        <v>6018</v>
      </c>
      <c r="H1447" s="6"/>
      <c r="I1447" s="6"/>
      <c r="J1447" s="6"/>
      <c r="K1447" s="6"/>
      <c r="L1447" s="6" t="s">
        <v>732</v>
      </c>
      <c r="M1447" s="6"/>
      <c r="N1447" s="6" t="s">
        <v>733</v>
      </c>
      <c r="O1447" s="6" t="str">
        <f>HYPERLINK("https://ceds.ed.gov/cedselementdetails.aspx?termid=5384")</f>
        <v>https://ceds.ed.gov/cedselementdetails.aspx?termid=5384</v>
      </c>
      <c r="P1447" s="6" t="str">
        <f>HYPERLINK("https://ceds.ed.gov/elementComment.aspx?elementName=Assessment Item Characteristic Type &amp;elementID=5384", "Click here to submit comment")</f>
        <v>Click here to submit comment</v>
      </c>
    </row>
    <row r="1448" spans="1:16" ht="45">
      <c r="A1448" s="6" t="s">
        <v>6788</v>
      </c>
      <c r="B1448" s="6" t="s">
        <v>6784</v>
      </c>
      <c r="C1448" s="6" t="s">
        <v>6841</v>
      </c>
      <c r="D1448" s="6" t="s">
        <v>734</v>
      </c>
      <c r="E1448" s="6" t="s">
        <v>735</v>
      </c>
      <c r="F1448" s="6" t="s">
        <v>13</v>
      </c>
      <c r="G1448" s="6"/>
      <c r="H1448" s="6"/>
      <c r="I1448" s="6" t="s">
        <v>100</v>
      </c>
      <c r="J1448" s="6"/>
      <c r="K1448" s="6"/>
      <c r="L1448" s="6" t="s">
        <v>736</v>
      </c>
      <c r="M1448" s="6"/>
      <c r="N1448" s="6" t="s">
        <v>737</v>
      </c>
      <c r="O1448" s="6" t="str">
        <f>HYPERLINK("https://ceds.ed.gov/cedselementdetails.aspx?termid=5685")</f>
        <v>https://ceds.ed.gov/cedselementdetails.aspx?termid=5685</v>
      </c>
      <c r="P1448" s="6" t="str">
        <f>HYPERLINK("https://ceds.ed.gov/elementComment.aspx?elementName=Assessment Item Characteristic Value &amp;elementID=5685", "Click here to submit comment")</f>
        <v>Click here to submit comment</v>
      </c>
    </row>
    <row r="1449" spans="1:16" ht="45">
      <c r="A1449" s="6" t="s">
        <v>6788</v>
      </c>
      <c r="B1449" s="6" t="s">
        <v>6784</v>
      </c>
      <c r="C1449" s="6" t="s">
        <v>6842</v>
      </c>
      <c r="D1449" s="6" t="s">
        <v>594</v>
      </c>
      <c r="E1449" s="6" t="s">
        <v>595</v>
      </c>
      <c r="F1449" s="6" t="s">
        <v>5963</v>
      </c>
      <c r="G1449" s="6"/>
      <c r="H1449" s="6"/>
      <c r="I1449" s="6"/>
      <c r="J1449" s="6"/>
      <c r="K1449" s="6"/>
      <c r="L1449" s="6" t="s">
        <v>596</v>
      </c>
      <c r="M1449" s="6"/>
      <c r="N1449" s="6" t="s">
        <v>597</v>
      </c>
      <c r="O1449" s="6" t="str">
        <f>HYPERLINK("https://ceds.ed.gov/cedselementdetails.aspx?termid=6111")</f>
        <v>https://ceds.ed.gov/cedselementdetails.aspx?termid=6111</v>
      </c>
      <c r="P1449" s="6" t="str">
        <f>HYPERLINK("https://ceds.ed.gov/elementComment.aspx?elementName=Assessment Item Adaptive Indicator &amp;elementID=6111", "Click here to submit comment")</f>
        <v>Click here to submit comment</v>
      </c>
    </row>
    <row r="1450" spans="1:16" ht="195">
      <c r="A1450" s="6" t="s">
        <v>6788</v>
      </c>
      <c r="B1450" s="6" t="s">
        <v>6784</v>
      </c>
      <c r="C1450" s="6" t="s">
        <v>6842</v>
      </c>
      <c r="D1450" s="6" t="s">
        <v>602</v>
      </c>
      <c r="E1450" s="6" t="s">
        <v>603</v>
      </c>
      <c r="F1450" s="6" t="s">
        <v>13</v>
      </c>
      <c r="G1450" s="6"/>
      <c r="H1450" s="6"/>
      <c r="I1450" s="6" t="s">
        <v>319</v>
      </c>
      <c r="J1450" s="6"/>
      <c r="K1450" s="6"/>
      <c r="L1450" s="6" t="s">
        <v>604</v>
      </c>
      <c r="M1450" s="6"/>
      <c r="N1450" s="6" t="s">
        <v>605</v>
      </c>
      <c r="O1450" s="6" t="str">
        <f>HYPERLINK("https://ceds.ed.gov/cedselementdetails.aspx?termid=6110")</f>
        <v>https://ceds.ed.gov/cedselementdetails.aspx?termid=6110</v>
      </c>
      <c r="P1450" s="6" t="str">
        <f>HYPERLINK("https://ceds.ed.gov/elementComment.aspx?elementName=Assessment Item APIP Item Body XML &amp;elementID=6110", "Click here to submit comment")</f>
        <v>Click here to submit comment</v>
      </c>
    </row>
    <row r="1451" spans="1:16" ht="150">
      <c r="A1451" s="6" t="s">
        <v>6788</v>
      </c>
      <c r="B1451" s="6" t="s">
        <v>6784</v>
      </c>
      <c r="C1451" s="6" t="s">
        <v>6842</v>
      </c>
      <c r="D1451" s="6" t="s">
        <v>606</v>
      </c>
      <c r="E1451" s="6" t="s">
        <v>607</v>
      </c>
      <c r="F1451" s="6" t="s">
        <v>13</v>
      </c>
      <c r="G1451" s="6"/>
      <c r="H1451" s="6"/>
      <c r="I1451" s="6" t="s">
        <v>319</v>
      </c>
      <c r="J1451" s="6"/>
      <c r="K1451" s="6"/>
      <c r="L1451" s="6" t="s">
        <v>608</v>
      </c>
      <c r="M1451" s="6"/>
      <c r="N1451" s="6" t="s">
        <v>609</v>
      </c>
      <c r="O1451" s="6" t="str">
        <f>HYPERLINK("https://ceds.ed.gov/cedselementdetails.aspx?termid=6109")</f>
        <v>https://ceds.ed.gov/cedselementdetails.aspx?termid=6109</v>
      </c>
      <c r="P1451" s="6" t="str">
        <f>HYPERLINK("https://ceds.ed.gov/elementComment.aspx?elementName=Assessment Item APIP Modal Feedback XML &amp;elementID=6109", "Click here to submit comment")</f>
        <v>Click here to submit comment</v>
      </c>
    </row>
    <row r="1452" spans="1:16" ht="105">
      <c r="A1452" s="6" t="s">
        <v>6788</v>
      </c>
      <c r="B1452" s="6" t="s">
        <v>6784</v>
      </c>
      <c r="C1452" s="6" t="s">
        <v>6842</v>
      </c>
      <c r="D1452" s="6" t="s">
        <v>610</v>
      </c>
      <c r="E1452" s="6" t="s">
        <v>611</v>
      </c>
      <c r="F1452" s="6" t="s">
        <v>13</v>
      </c>
      <c r="G1452" s="6"/>
      <c r="H1452" s="6"/>
      <c r="I1452" s="6" t="s">
        <v>319</v>
      </c>
      <c r="J1452" s="6"/>
      <c r="K1452" s="6"/>
      <c r="L1452" s="6" t="s">
        <v>612</v>
      </c>
      <c r="M1452" s="6"/>
      <c r="N1452" s="6" t="s">
        <v>613</v>
      </c>
      <c r="O1452" s="6" t="str">
        <f>HYPERLINK("https://ceds.ed.gov/cedselementdetails.aspx?termid=6106")</f>
        <v>https://ceds.ed.gov/cedselementdetails.aspx?termid=6106</v>
      </c>
      <c r="P1452" s="6" t="str">
        <f>HYPERLINK("https://ceds.ed.gov/elementComment.aspx?elementName=Assessment Item APIP Outcome Declaration XML &amp;elementID=6106", "Click here to submit comment")</f>
        <v>Click here to submit comment</v>
      </c>
    </row>
    <row r="1453" spans="1:16" ht="90">
      <c r="A1453" s="6" t="s">
        <v>6788</v>
      </c>
      <c r="B1453" s="6" t="s">
        <v>6784</v>
      </c>
      <c r="C1453" s="6" t="s">
        <v>6842</v>
      </c>
      <c r="D1453" s="6" t="s">
        <v>614</v>
      </c>
      <c r="E1453" s="6" t="s">
        <v>615</v>
      </c>
      <c r="F1453" s="6" t="s">
        <v>13</v>
      </c>
      <c r="G1453" s="6"/>
      <c r="H1453" s="6"/>
      <c r="I1453" s="6" t="s">
        <v>319</v>
      </c>
      <c r="J1453" s="6"/>
      <c r="K1453" s="6"/>
      <c r="L1453" s="6" t="s">
        <v>616</v>
      </c>
      <c r="M1453" s="6"/>
      <c r="N1453" s="6" t="s">
        <v>617</v>
      </c>
      <c r="O1453" s="6" t="str">
        <f>HYPERLINK("https://ceds.ed.gov/cedselementdetails.aspx?termid=6105")</f>
        <v>https://ceds.ed.gov/cedselementdetails.aspx?termid=6105</v>
      </c>
      <c r="P1453" s="6" t="str">
        <f>HYPERLINK("https://ceds.ed.gov/elementComment.aspx?elementName=Assessment Item APIP Response Declaration XML &amp;elementID=6105", "Click here to submit comment")</f>
        <v>Click here to submit comment</v>
      </c>
    </row>
    <row r="1454" spans="1:16" ht="180">
      <c r="A1454" s="6" t="s">
        <v>6788</v>
      </c>
      <c r="B1454" s="6" t="s">
        <v>6784</v>
      </c>
      <c r="C1454" s="6" t="s">
        <v>6842</v>
      </c>
      <c r="D1454" s="6" t="s">
        <v>618</v>
      </c>
      <c r="E1454" s="6" t="s">
        <v>619</v>
      </c>
      <c r="F1454" s="6" t="s">
        <v>13</v>
      </c>
      <c r="G1454" s="6"/>
      <c r="H1454" s="6"/>
      <c r="I1454" s="6" t="s">
        <v>319</v>
      </c>
      <c r="J1454" s="6"/>
      <c r="K1454" s="6"/>
      <c r="L1454" s="6" t="s">
        <v>620</v>
      </c>
      <c r="M1454" s="6"/>
      <c r="N1454" s="6" t="s">
        <v>621</v>
      </c>
      <c r="O1454" s="6" t="str">
        <f>HYPERLINK("https://ceds.ed.gov/cedselementdetails.aspx?termid=6103")</f>
        <v>https://ceds.ed.gov/cedselementdetails.aspx?termid=6103</v>
      </c>
      <c r="P1454" s="6" t="str">
        <f>HYPERLINK("https://ceds.ed.gov/elementComment.aspx?elementName=Assessment Item APIP Response Processing Template URL &amp;elementID=6103", "Click here to submit comment")</f>
        <v>Click here to submit comment</v>
      </c>
    </row>
    <row r="1455" spans="1:16" ht="180">
      <c r="A1455" s="6" t="s">
        <v>6788</v>
      </c>
      <c r="B1455" s="6" t="s">
        <v>6784</v>
      </c>
      <c r="C1455" s="6" t="s">
        <v>6842</v>
      </c>
      <c r="D1455" s="6" t="s">
        <v>622</v>
      </c>
      <c r="E1455" s="6" t="s">
        <v>623</v>
      </c>
      <c r="F1455" s="6" t="s">
        <v>13</v>
      </c>
      <c r="G1455" s="6"/>
      <c r="H1455" s="6"/>
      <c r="I1455" s="6" t="s">
        <v>319</v>
      </c>
      <c r="J1455" s="6"/>
      <c r="K1455" s="6"/>
      <c r="L1455" s="6" t="s">
        <v>624</v>
      </c>
      <c r="M1455" s="6"/>
      <c r="N1455" s="6" t="s">
        <v>625</v>
      </c>
      <c r="O1455" s="6" t="str">
        <f>HYPERLINK("https://ceds.ed.gov/cedselementdetails.aspx?termid=6104")</f>
        <v>https://ceds.ed.gov/cedselementdetails.aspx?termid=6104</v>
      </c>
      <c r="P1455" s="6" t="str">
        <f>HYPERLINK("https://ceds.ed.gov/elementComment.aspx?elementName=Assessment Item APIP Response Processing XML &amp;elementID=6104", "Click here to submit comment")</f>
        <v>Click here to submit comment</v>
      </c>
    </row>
    <row r="1456" spans="1:16" ht="180">
      <c r="A1456" s="6" t="s">
        <v>6788</v>
      </c>
      <c r="B1456" s="6" t="s">
        <v>6784</v>
      </c>
      <c r="C1456" s="6" t="s">
        <v>6842</v>
      </c>
      <c r="D1456" s="6" t="s">
        <v>626</v>
      </c>
      <c r="E1456" s="6" t="s">
        <v>627</v>
      </c>
      <c r="F1456" s="6" t="s">
        <v>13</v>
      </c>
      <c r="G1456" s="6"/>
      <c r="H1456" s="6"/>
      <c r="I1456" s="6" t="s">
        <v>319</v>
      </c>
      <c r="J1456" s="6"/>
      <c r="K1456" s="6"/>
      <c r="L1456" s="6" t="s">
        <v>628</v>
      </c>
      <c r="M1456" s="6"/>
      <c r="N1456" s="6" t="s">
        <v>629</v>
      </c>
      <c r="O1456" s="6" t="str">
        <f>HYPERLINK("https://ceds.ed.gov/cedselementdetails.aspx?termid=6107")</f>
        <v>https://ceds.ed.gov/cedselementdetails.aspx?termid=6107</v>
      </c>
      <c r="P1456" s="6" t="str">
        <f>HYPERLINK("https://ceds.ed.gov/elementComment.aspx?elementName=Assessment Item APIP Template Declaration XML &amp;elementID=6107", "Click here to submit comment")</f>
        <v>Click here to submit comment</v>
      </c>
    </row>
    <row r="1457" spans="1:16" ht="165">
      <c r="A1457" s="6" t="s">
        <v>6788</v>
      </c>
      <c r="B1457" s="6" t="s">
        <v>6784</v>
      </c>
      <c r="C1457" s="6" t="s">
        <v>6842</v>
      </c>
      <c r="D1457" s="6" t="s">
        <v>630</v>
      </c>
      <c r="E1457" s="6" t="s">
        <v>631</v>
      </c>
      <c r="F1457" s="6" t="s">
        <v>13</v>
      </c>
      <c r="G1457" s="6"/>
      <c r="H1457" s="6"/>
      <c r="I1457" s="6" t="s">
        <v>319</v>
      </c>
      <c r="J1457" s="6"/>
      <c r="K1457" s="6"/>
      <c r="L1457" s="6" t="s">
        <v>632</v>
      </c>
      <c r="M1457" s="6"/>
      <c r="N1457" s="6" t="s">
        <v>633</v>
      </c>
      <c r="O1457" s="6" t="str">
        <f>HYPERLINK("https://ceds.ed.gov/cedselementdetails.aspx?termid=6108")</f>
        <v>https://ceds.ed.gov/cedselementdetails.aspx?termid=6108</v>
      </c>
      <c r="P1457" s="6" t="str">
        <f>HYPERLINK("https://ceds.ed.gov/elementComment.aspx?elementName=Assessment Item APIP Template Processing XML &amp;elementID=6108", "Click here to submit comment")</f>
        <v>Click here to submit comment</v>
      </c>
    </row>
    <row r="1458" spans="1:16" ht="60">
      <c r="A1458" s="6" t="s">
        <v>6788</v>
      </c>
      <c r="B1458" s="6" t="s">
        <v>6784</v>
      </c>
      <c r="C1458" s="6" t="s">
        <v>6842</v>
      </c>
      <c r="D1458" s="6" t="s">
        <v>912</v>
      </c>
      <c r="E1458" s="6" t="s">
        <v>913</v>
      </c>
      <c r="F1458" s="6" t="s">
        <v>13</v>
      </c>
      <c r="G1458" s="6"/>
      <c r="H1458" s="6" t="s">
        <v>54</v>
      </c>
      <c r="I1458" s="6" t="s">
        <v>319</v>
      </c>
      <c r="J1458" s="6"/>
      <c r="K1458" s="6" t="s">
        <v>914</v>
      </c>
      <c r="L1458" s="6" t="s">
        <v>915</v>
      </c>
      <c r="M1458" s="6"/>
      <c r="N1458" s="6" t="s">
        <v>916</v>
      </c>
      <c r="O1458" s="6" t="str">
        <f>HYPERLINK("https://ceds.ed.gov/cedselementdetails.aspx?termid=6250")</f>
        <v>https://ceds.ed.gov/cedselementdetails.aspx?termid=6250</v>
      </c>
      <c r="P1458" s="6" t="str">
        <f>HYPERLINK("https://ceds.ed.gov/elementComment.aspx?elementName=Assessment Item Result XML &amp;elementID=6250", "Click here to submit comment")</f>
        <v>Click here to submit comment</v>
      </c>
    </row>
    <row r="1459" spans="1:16" ht="90">
      <c r="A1459" s="6" t="s">
        <v>6788</v>
      </c>
      <c r="B1459" s="6" t="s">
        <v>6784</v>
      </c>
      <c r="C1459" s="6" t="s">
        <v>6843</v>
      </c>
      <c r="D1459" s="6" t="s">
        <v>642</v>
      </c>
      <c r="E1459" s="6" t="s">
        <v>643</v>
      </c>
      <c r="F1459" s="6" t="s">
        <v>13</v>
      </c>
      <c r="G1459" s="6"/>
      <c r="H1459" s="6"/>
      <c r="I1459" s="6" t="s">
        <v>319</v>
      </c>
      <c r="J1459" s="6"/>
      <c r="K1459" s="6"/>
      <c r="L1459" s="6" t="s">
        <v>644</v>
      </c>
      <c r="M1459" s="6"/>
      <c r="N1459" s="6" t="s">
        <v>645</v>
      </c>
      <c r="O1459" s="6" t="str">
        <f>HYPERLINK("https://ceds.ed.gov/cedselementdetails.aspx?termid=6100")</f>
        <v>https://ceds.ed.gov/cedselementdetails.aspx?termid=6100</v>
      </c>
      <c r="P1459" s="6" t="str">
        <f>HYPERLINK("https://ceds.ed.gov/elementComment.aspx?elementName=Assessment Item Body Associate Interaction XML &amp;elementID=6100", "Click here to submit comment")</f>
        <v>Click here to submit comment</v>
      </c>
    </row>
    <row r="1460" spans="1:16" ht="120">
      <c r="A1460" s="6" t="s">
        <v>6788</v>
      </c>
      <c r="B1460" s="6" t="s">
        <v>6784</v>
      </c>
      <c r="C1460" s="6" t="s">
        <v>6843</v>
      </c>
      <c r="D1460" s="6" t="s">
        <v>646</v>
      </c>
      <c r="E1460" s="6" t="s">
        <v>647</v>
      </c>
      <c r="F1460" s="6" t="s">
        <v>13</v>
      </c>
      <c r="G1460" s="6"/>
      <c r="H1460" s="6"/>
      <c r="I1460" s="6" t="s">
        <v>319</v>
      </c>
      <c r="J1460" s="6"/>
      <c r="K1460" s="6"/>
      <c r="L1460" s="6" t="s">
        <v>648</v>
      </c>
      <c r="M1460" s="6"/>
      <c r="N1460" s="6" t="s">
        <v>649</v>
      </c>
      <c r="O1460" s="6" t="str">
        <f>HYPERLINK("https://ceds.ed.gov/cedselementdetails.aspx?termid=6090")</f>
        <v>https://ceds.ed.gov/cedselementdetails.aspx?termid=6090</v>
      </c>
      <c r="P1460" s="6" t="str">
        <f>HYPERLINK("https://ceds.ed.gov/elementComment.aspx?elementName=Assessment Item Body Choice Interaction XML &amp;elementID=6090", "Click here to submit comment")</f>
        <v>Click here to submit comment</v>
      </c>
    </row>
    <row r="1461" spans="1:16" ht="150">
      <c r="A1461" s="6" t="s">
        <v>6788</v>
      </c>
      <c r="B1461" s="6" t="s">
        <v>6784</v>
      </c>
      <c r="C1461" s="6" t="s">
        <v>6843</v>
      </c>
      <c r="D1461" s="6" t="s">
        <v>654</v>
      </c>
      <c r="E1461" s="6" t="s">
        <v>655</v>
      </c>
      <c r="F1461" s="6" t="s">
        <v>13</v>
      </c>
      <c r="G1461" s="6"/>
      <c r="H1461" s="6"/>
      <c r="I1461" s="6" t="s">
        <v>319</v>
      </c>
      <c r="J1461" s="6"/>
      <c r="K1461" s="6"/>
      <c r="L1461" s="6" t="s">
        <v>656</v>
      </c>
      <c r="M1461" s="6"/>
      <c r="N1461" s="6" t="s">
        <v>657</v>
      </c>
      <c r="O1461" s="6" t="str">
        <f>HYPERLINK("https://ceds.ed.gov/cedselementdetails.aspx?termid=6080")</f>
        <v>https://ceds.ed.gov/cedselementdetails.aspx?termid=6080</v>
      </c>
      <c r="P1461" s="6" t="str">
        <f>HYPERLINK("https://ceds.ed.gov/elementComment.aspx?elementName=Assessment Item Body Drawing Interaction XML &amp;elementID=6080", "Click here to submit comment")</f>
        <v>Click here to submit comment</v>
      </c>
    </row>
    <row r="1462" spans="1:16" ht="195">
      <c r="A1462" s="6" t="s">
        <v>6788</v>
      </c>
      <c r="B1462" s="6" t="s">
        <v>6784</v>
      </c>
      <c r="C1462" s="6" t="s">
        <v>6843</v>
      </c>
      <c r="D1462" s="6" t="s">
        <v>658</v>
      </c>
      <c r="E1462" s="6" t="s">
        <v>659</v>
      </c>
      <c r="F1462" s="6" t="s">
        <v>13</v>
      </c>
      <c r="G1462" s="6"/>
      <c r="H1462" s="6"/>
      <c r="I1462" s="6" t="s">
        <v>319</v>
      </c>
      <c r="J1462" s="6"/>
      <c r="K1462" s="6"/>
      <c r="L1462" s="6" t="s">
        <v>660</v>
      </c>
      <c r="M1462" s="6"/>
      <c r="N1462" s="6" t="s">
        <v>661</v>
      </c>
      <c r="O1462" s="6" t="str">
        <f>HYPERLINK("https://ceds.ed.gov/cedselementdetails.aspx?termid=6098")</f>
        <v>https://ceds.ed.gov/cedselementdetails.aspx?termid=6098</v>
      </c>
      <c r="P1462" s="6" t="str">
        <f>HYPERLINK("https://ceds.ed.gov/elementComment.aspx?elementName=Assessment Item Body End Attempt Interaction XML &amp;elementID=6098", "Click here to submit comment")</f>
        <v>Click here to submit comment</v>
      </c>
    </row>
    <row r="1463" spans="1:16" ht="75">
      <c r="A1463" s="6" t="s">
        <v>6788</v>
      </c>
      <c r="B1463" s="6" t="s">
        <v>6784</v>
      </c>
      <c r="C1463" s="6" t="s">
        <v>6843</v>
      </c>
      <c r="D1463" s="6" t="s">
        <v>662</v>
      </c>
      <c r="E1463" s="6" t="s">
        <v>663</v>
      </c>
      <c r="F1463" s="6" t="s">
        <v>13</v>
      </c>
      <c r="G1463" s="6"/>
      <c r="H1463" s="6"/>
      <c r="I1463" s="6" t="s">
        <v>319</v>
      </c>
      <c r="J1463" s="6"/>
      <c r="K1463" s="6"/>
      <c r="L1463" s="6" t="s">
        <v>664</v>
      </c>
      <c r="M1463" s="6"/>
      <c r="N1463" s="6" t="s">
        <v>665</v>
      </c>
      <c r="O1463" s="6" t="str">
        <f>HYPERLINK("https://ceds.ed.gov/cedselementdetails.aspx?termid=6097")</f>
        <v>https://ceds.ed.gov/cedselementdetails.aspx?termid=6097</v>
      </c>
      <c r="P1463" s="6" t="str">
        <f>HYPERLINK("https://ceds.ed.gov/elementComment.aspx?elementName=Assessment Item Body Extended Text Interaction XML &amp;elementID=6097", "Click here to submit comment")</f>
        <v>Click here to submit comment</v>
      </c>
    </row>
    <row r="1464" spans="1:16" ht="120">
      <c r="A1464" s="6" t="s">
        <v>6788</v>
      </c>
      <c r="B1464" s="6" t="s">
        <v>6784</v>
      </c>
      <c r="C1464" s="6" t="s">
        <v>6843</v>
      </c>
      <c r="D1464" s="6" t="s">
        <v>666</v>
      </c>
      <c r="E1464" s="6" t="s">
        <v>667</v>
      </c>
      <c r="F1464" s="6" t="s">
        <v>13</v>
      </c>
      <c r="G1464" s="6"/>
      <c r="H1464" s="6"/>
      <c r="I1464" s="6" t="s">
        <v>319</v>
      </c>
      <c r="J1464" s="6"/>
      <c r="K1464" s="6"/>
      <c r="L1464" s="6" t="s">
        <v>668</v>
      </c>
      <c r="M1464" s="6"/>
      <c r="N1464" s="6" t="s">
        <v>669</v>
      </c>
      <c r="O1464" s="6" t="str">
        <f>HYPERLINK("https://ceds.ed.gov/cedselementdetails.aspx?termid=6081")</f>
        <v>https://ceds.ed.gov/cedselementdetails.aspx?termid=6081</v>
      </c>
      <c r="P1464" s="6" t="str">
        <f>HYPERLINK("https://ceds.ed.gov/elementComment.aspx?elementName=Assessment Item Body Gap Match Interaction XML &amp;elementID=6081", "Click here to submit comment")</f>
        <v>Click here to submit comment</v>
      </c>
    </row>
    <row r="1465" spans="1:16" ht="409.5">
      <c r="A1465" s="6" t="s">
        <v>6788</v>
      </c>
      <c r="B1465" s="6" t="s">
        <v>6784</v>
      </c>
      <c r="C1465" s="6" t="s">
        <v>6843</v>
      </c>
      <c r="D1465" s="6" t="s">
        <v>670</v>
      </c>
      <c r="E1465" s="6" t="s">
        <v>671</v>
      </c>
      <c r="F1465" s="6" t="s">
        <v>13</v>
      </c>
      <c r="G1465" s="6"/>
      <c r="H1465" s="6"/>
      <c r="I1465" s="6" t="s">
        <v>319</v>
      </c>
      <c r="J1465" s="6"/>
      <c r="K1465" s="6"/>
      <c r="L1465" s="6" t="s">
        <v>672</v>
      </c>
      <c r="M1465" s="6"/>
      <c r="N1465" s="6" t="s">
        <v>673</v>
      </c>
      <c r="O1465" s="6" t="str">
        <f>HYPERLINK("https://ceds.ed.gov/cedselementdetails.aspx?termid=6083")</f>
        <v>https://ceds.ed.gov/cedselementdetails.aspx?termid=6083</v>
      </c>
      <c r="P1465" s="6" t="str">
        <f>HYPERLINK("https://ceds.ed.gov/elementComment.aspx?elementName=Assessment Item Body Graphic Gap Match Interaction XML &amp;elementID=6083", "Click here to submit comment")</f>
        <v>Click here to submit comment</v>
      </c>
    </row>
    <row r="1466" spans="1:16" ht="240">
      <c r="A1466" s="6" t="s">
        <v>6788</v>
      </c>
      <c r="B1466" s="6" t="s">
        <v>6784</v>
      </c>
      <c r="C1466" s="6" t="s">
        <v>6843</v>
      </c>
      <c r="D1466" s="6" t="s">
        <v>674</v>
      </c>
      <c r="E1466" s="6" t="s">
        <v>675</v>
      </c>
      <c r="F1466" s="6" t="s">
        <v>13</v>
      </c>
      <c r="G1466" s="6"/>
      <c r="H1466" s="6"/>
      <c r="I1466" s="6" t="s">
        <v>319</v>
      </c>
      <c r="J1466" s="6"/>
      <c r="K1466" s="6"/>
      <c r="L1466" s="6" t="s">
        <v>676</v>
      </c>
      <c r="M1466" s="6"/>
      <c r="N1466" s="6" t="s">
        <v>677</v>
      </c>
      <c r="O1466" s="6" t="str">
        <f>HYPERLINK("https://ceds.ed.gov/cedselementdetails.aspx?termid=6085")</f>
        <v>https://ceds.ed.gov/cedselementdetails.aspx?termid=6085</v>
      </c>
      <c r="P1466" s="6" t="str">
        <f>HYPERLINK("https://ceds.ed.gov/elementComment.aspx?elementName=Assessment Item Body Graphic Order Interaction XML &amp;elementID=6085", "Click here to submit comment")</f>
        <v>Click here to submit comment</v>
      </c>
    </row>
    <row r="1467" spans="1:16" ht="225">
      <c r="A1467" s="6" t="s">
        <v>6788</v>
      </c>
      <c r="B1467" s="6" t="s">
        <v>6784</v>
      </c>
      <c r="C1467" s="6" t="s">
        <v>6843</v>
      </c>
      <c r="D1467" s="6" t="s">
        <v>678</v>
      </c>
      <c r="E1467" s="6" t="s">
        <v>679</v>
      </c>
      <c r="F1467" s="6" t="s">
        <v>13</v>
      </c>
      <c r="G1467" s="6"/>
      <c r="H1467" s="6"/>
      <c r="I1467" s="6" t="s">
        <v>319</v>
      </c>
      <c r="J1467" s="6"/>
      <c r="K1467" s="6"/>
      <c r="L1467" s="6" t="s">
        <v>680</v>
      </c>
      <c r="M1467" s="6"/>
      <c r="N1467" s="6" t="s">
        <v>681</v>
      </c>
      <c r="O1467" s="6" t="str">
        <f>HYPERLINK("https://ceds.ed.gov/cedselementdetails.aspx?termid=6084")</f>
        <v>https://ceds.ed.gov/cedselementdetails.aspx?termid=6084</v>
      </c>
      <c r="P1467" s="6" t="str">
        <f>HYPERLINK("https://ceds.ed.gov/elementComment.aspx?elementName=Assessment Item Body Hot Spot Interaction XML &amp;elementID=6084", "Click here to submit comment")</f>
        <v>Click here to submit comment</v>
      </c>
    </row>
    <row r="1468" spans="1:16" ht="225">
      <c r="A1468" s="6" t="s">
        <v>6788</v>
      </c>
      <c r="B1468" s="6" t="s">
        <v>6784</v>
      </c>
      <c r="C1468" s="6" t="s">
        <v>6843</v>
      </c>
      <c r="D1468" s="6" t="s">
        <v>682</v>
      </c>
      <c r="E1468" s="6" t="s">
        <v>683</v>
      </c>
      <c r="F1468" s="6" t="s">
        <v>13</v>
      </c>
      <c r="G1468" s="6"/>
      <c r="H1468" s="6"/>
      <c r="I1468" s="6" t="s">
        <v>319</v>
      </c>
      <c r="J1468" s="6"/>
      <c r="K1468" s="6"/>
      <c r="L1468" s="6" t="s">
        <v>684</v>
      </c>
      <c r="M1468" s="6"/>
      <c r="N1468" s="6" t="s">
        <v>685</v>
      </c>
      <c r="O1468" s="6" t="str">
        <f>HYPERLINK("https://ceds.ed.gov/cedselementdetails.aspx?termid=6093")</f>
        <v>https://ceds.ed.gov/cedselementdetails.aspx?termid=6093</v>
      </c>
      <c r="P1468" s="6" t="str">
        <f>HYPERLINK("https://ceds.ed.gov/elementComment.aspx?elementName=Assessment Item Body Hottext Interaction XML &amp;elementID=6093", "Click here to submit comment")</f>
        <v>Click here to submit comment</v>
      </c>
    </row>
    <row r="1469" spans="1:16" ht="135">
      <c r="A1469" s="6" t="s">
        <v>6788</v>
      </c>
      <c r="B1469" s="6" t="s">
        <v>6784</v>
      </c>
      <c r="C1469" s="6" t="s">
        <v>6843</v>
      </c>
      <c r="D1469" s="6" t="s">
        <v>686</v>
      </c>
      <c r="E1469" s="6" t="s">
        <v>687</v>
      </c>
      <c r="F1469" s="6" t="s">
        <v>13</v>
      </c>
      <c r="G1469" s="6"/>
      <c r="H1469" s="6"/>
      <c r="I1469" s="6" t="s">
        <v>319</v>
      </c>
      <c r="J1469" s="6"/>
      <c r="K1469" s="6"/>
      <c r="L1469" s="6" t="s">
        <v>688</v>
      </c>
      <c r="M1469" s="6"/>
      <c r="N1469" s="6" t="s">
        <v>689</v>
      </c>
      <c r="O1469" s="6" t="str">
        <f>HYPERLINK("https://ceds.ed.gov/cedselementdetails.aspx?termid=6091")</f>
        <v>https://ceds.ed.gov/cedselementdetails.aspx?termid=6091</v>
      </c>
      <c r="P1469" s="6" t="str">
        <f>HYPERLINK("https://ceds.ed.gov/elementComment.aspx?elementName=Assessment Item Body Inline Choice Interaction XML &amp;elementID=6091", "Click here to submit comment")</f>
        <v>Click here to submit comment</v>
      </c>
    </row>
    <row r="1470" spans="1:16" ht="165">
      <c r="A1470" s="6" t="s">
        <v>6788</v>
      </c>
      <c r="B1470" s="6" t="s">
        <v>6784</v>
      </c>
      <c r="C1470" s="6" t="s">
        <v>6843</v>
      </c>
      <c r="D1470" s="6" t="s">
        <v>690</v>
      </c>
      <c r="E1470" s="6" t="s">
        <v>691</v>
      </c>
      <c r="F1470" s="6" t="s">
        <v>13</v>
      </c>
      <c r="G1470" s="6"/>
      <c r="H1470" s="6"/>
      <c r="I1470" s="6" t="s">
        <v>319</v>
      </c>
      <c r="J1470" s="6"/>
      <c r="K1470" s="6"/>
      <c r="L1470" s="6" t="s">
        <v>692</v>
      </c>
      <c r="M1470" s="6"/>
      <c r="N1470" s="6" t="s">
        <v>693</v>
      </c>
      <c r="O1470" s="6" t="str">
        <f>HYPERLINK("https://ceds.ed.gov/cedselementdetails.aspx?termid=6082")</f>
        <v>https://ceds.ed.gov/cedselementdetails.aspx?termid=6082</v>
      </c>
      <c r="P1470" s="6" t="str">
        <f>HYPERLINK("https://ceds.ed.gov/elementComment.aspx?elementName=Assessment Item Body Match Interaction XML &amp;elementID=6082", "Click here to submit comment")</f>
        <v>Click here to submit comment</v>
      </c>
    </row>
    <row r="1471" spans="1:16" ht="165">
      <c r="A1471" s="6" t="s">
        <v>6788</v>
      </c>
      <c r="B1471" s="6" t="s">
        <v>6784</v>
      </c>
      <c r="C1471" s="6" t="s">
        <v>6843</v>
      </c>
      <c r="D1471" s="6" t="s">
        <v>694</v>
      </c>
      <c r="E1471" s="6" t="s">
        <v>695</v>
      </c>
      <c r="F1471" s="6" t="s">
        <v>13</v>
      </c>
      <c r="G1471" s="6"/>
      <c r="H1471" s="6"/>
      <c r="I1471" s="6" t="s">
        <v>319</v>
      </c>
      <c r="J1471" s="6"/>
      <c r="K1471" s="6"/>
      <c r="L1471" s="6" t="s">
        <v>696</v>
      </c>
      <c r="M1471" s="6"/>
      <c r="N1471" s="6" t="s">
        <v>697</v>
      </c>
      <c r="O1471" s="6" t="str">
        <f>HYPERLINK("https://ceds.ed.gov/cedselementdetails.aspx?termid=6092")</f>
        <v>https://ceds.ed.gov/cedselementdetails.aspx?termid=6092</v>
      </c>
      <c r="P1471" s="6" t="str">
        <f>HYPERLINK("https://ceds.ed.gov/elementComment.aspx?elementName=Assessment Item Body Media Interaction XML &amp;elementID=6092", "Click here to submit comment")</f>
        <v>Click here to submit comment</v>
      </c>
    </row>
    <row r="1472" spans="1:16" ht="195">
      <c r="A1472" s="6" t="s">
        <v>6788</v>
      </c>
      <c r="B1472" s="6" t="s">
        <v>6784</v>
      </c>
      <c r="C1472" s="6" t="s">
        <v>6843</v>
      </c>
      <c r="D1472" s="6" t="s">
        <v>698</v>
      </c>
      <c r="E1472" s="6" t="s">
        <v>699</v>
      </c>
      <c r="F1472" s="6" t="s">
        <v>13</v>
      </c>
      <c r="G1472" s="6"/>
      <c r="H1472" s="6"/>
      <c r="I1472" s="6" t="s">
        <v>319</v>
      </c>
      <c r="J1472" s="6"/>
      <c r="K1472" s="6"/>
      <c r="L1472" s="6" t="s">
        <v>700</v>
      </c>
      <c r="M1472" s="6"/>
      <c r="N1472" s="6" t="s">
        <v>701</v>
      </c>
      <c r="O1472" s="6" t="str">
        <f>HYPERLINK("https://ceds.ed.gov/cedselementdetails.aspx?termid=6094")</f>
        <v>https://ceds.ed.gov/cedselementdetails.aspx?termid=6094</v>
      </c>
      <c r="P1472" s="6" t="str">
        <f>HYPERLINK("https://ceds.ed.gov/elementComment.aspx?elementName=Assessment Item Body Order Interaction XML &amp;elementID=6094", "Click here to submit comment")</f>
        <v>Click here to submit comment</v>
      </c>
    </row>
    <row r="1473" spans="1:16" ht="210">
      <c r="A1473" s="6" t="s">
        <v>6788</v>
      </c>
      <c r="B1473" s="6" t="s">
        <v>6784</v>
      </c>
      <c r="C1473" s="6" t="s">
        <v>6843</v>
      </c>
      <c r="D1473" s="6" t="s">
        <v>702</v>
      </c>
      <c r="E1473" s="6" t="s">
        <v>703</v>
      </c>
      <c r="F1473" s="6" t="s">
        <v>13</v>
      </c>
      <c r="G1473" s="6"/>
      <c r="H1473" s="6"/>
      <c r="I1473" s="6" t="s">
        <v>319</v>
      </c>
      <c r="J1473" s="6"/>
      <c r="K1473" s="6"/>
      <c r="L1473" s="6" t="s">
        <v>704</v>
      </c>
      <c r="M1473" s="6"/>
      <c r="N1473" s="6" t="s">
        <v>705</v>
      </c>
      <c r="O1473" s="6" t="str">
        <f>HYPERLINK("https://ceds.ed.gov/cedselementdetails.aspx?termid=6095")</f>
        <v>https://ceds.ed.gov/cedselementdetails.aspx?termid=6095</v>
      </c>
      <c r="P1473" s="6" t="str">
        <f>HYPERLINK("https://ceds.ed.gov/elementComment.aspx?elementName=Assessment Item Body Position Object Interaction XML &amp;elementID=6095", "Click here to submit comment")</f>
        <v>Click here to submit comment</v>
      </c>
    </row>
    <row r="1474" spans="1:16" ht="240">
      <c r="A1474" s="6" t="s">
        <v>6788</v>
      </c>
      <c r="B1474" s="6" t="s">
        <v>6784</v>
      </c>
      <c r="C1474" s="6" t="s">
        <v>6843</v>
      </c>
      <c r="D1474" s="6" t="s">
        <v>706</v>
      </c>
      <c r="E1474" s="6" t="s">
        <v>707</v>
      </c>
      <c r="F1474" s="6" t="s">
        <v>13</v>
      </c>
      <c r="G1474" s="6"/>
      <c r="H1474" s="6"/>
      <c r="I1474" s="6" t="s">
        <v>319</v>
      </c>
      <c r="J1474" s="6"/>
      <c r="K1474" s="6"/>
      <c r="L1474" s="6" t="s">
        <v>708</v>
      </c>
      <c r="M1474" s="6"/>
      <c r="N1474" s="6" t="s">
        <v>709</v>
      </c>
      <c r="O1474" s="6" t="str">
        <f>HYPERLINK("https://ceds.ed.gov/cedselementdetails.aspx?termid=6088")</f>
        <v>https://ceds.ed.gov/cedselementdetails.aspx?termid=6088</v>
      </c>
      <c r="P1474" s="6" t="str">
        <f>HYPERLINK("https://ceds.ed.gov/elementComment.aspx?elementName=Assessment Item Body Select Point Interaction &amp;elementID=6088", "Click here to submit comment")</f>
        <v>Click here to submit comment</v>
      </c>
    </row>
    <row r="1475" spans="1:16" ht="195">
      <c r="A1475" s="6" t="s">
        <v>6788</v>
      </c>
      <c r="B1475" s="6" t="s">
        <v>6784</v>
      </c>
      <c r="C1475" s="6" t="s">
        <v>6843</v>
      </c>
      <c r="D1475" s="6" t="s">
        <v>710</v>
      </c>
      <c r="E1475" s="6" t="s">
        <v>711</v>
      </c>
      <c r="F1475" s="6" t="s">
        <v>13</v>
      </c>
      <c r="G1475" s="6"/>
      <c r="H1475" s="6"/>
      <c r="I1475" s="6" t="s">
        <v>319</v>
      </c>
      <c r="J1475" s="6"/>
      <c r="K1475" s="6"/>
      <c r="L1475" s="6" t="s">
        <v>712</v>
      </c>
      <c r="M1475" s="6"/>
      <c r="N1475" s="6" t="s">
        <v>713</v>
      </c>
      <c r="O1475" s="6" t="str">
        <f>HYPERLINK("https://ceds.ed.gov/cedselementdetails.aspx?termid=6087")</f>
        <v>https://ceds.ed.gov/cedselementdetails.aspx?termid=6087</v>
      </c>
      <c r="P1475" s="6" t="str">
        <f>HYPERLINK("https://ceds.ed.gov/elementComment.aspx?elementName=Assessment Item Body Select Point Interaction XML &amp;elementID=6087", "Click here to submit comment")</f>
        <v>Click here to submit comment</v>
      </c>
    </row>
    <row r="1476" spans="1:16" ht="135">
      <c r="A1476" s="6" t="s">
        <v>6788</v>
      </c>
      <c r="B1476" s="6" t="s">
        <v>6784</v>
      </c>
      <c r="C1476" s="6" t="s">
        <v>6843</v>
      </c>
      <c r="D1476" s="6" t="s">
        <v>714</v>
      </c>
      <c r="E1476" s="6" t="s">
        <v>715</v>
      </c>
      <c r="F1476" s="6" t="s">
        <v>13</v>
      </c>
      <c r="G1476" s="6"/>
      <c r="H1476" s="6"/>
      <c r="I1476" s="6" t="s">
        <v>319</v>
      </c>
      <c r="J1476" s="6"/>
      <c r="K1476" s="6"/>
      <c r="L1476" s="6" t="s">
        <v>716</v>
      </c>
      <c r="M1476" s="6"/>
      <c r="N1476" s="6" t="s">
        <v>717</v>
      </c>
      <c r="O1476" s="6" t="str">
        <f>HYPERLINK("https://ceds.ed.gov/cedselementdetails.aspx?termid=6089")</f>
        <v>https://ceds.ed.gov/cedselementdetails.aspx?termid=6089</v>
      </c>
      <c r="P1476" s="6" t="str">
        <f>HYPERLINK("https://ceds.ed.gov/elementComment.aspx?elementName=Assessment Item Body Slider Interaction XML &amp;elementID=6089", "Click here to submit comment")</f>
        <v>Click here to submit comment</v>
      </c>
    </row>
    <row r="1477" spans="1:16" ht="135">
      <c r="A1477" s="6" t="s">
        <v>6788</v>
      </c>
      <c r="B1477" s="6" t="s">
        <v>6784</v>
      </c>
      <c r="C1477" s="6" t="s">
        <v>6843</v>
      </c>
      <c r="D1477" s="6" t="s">
        <v>722</v>
      </c>
      <c r="E1477" s="6" t="s">
        <v>723</v>
      </c>
      <c r="F1477" s="6" t="s">
        <v>13</v>
      </c>
      <c r="G1477" s="6"/>
      <c r="H1477" s="6"/>
      <c r="I1477" s="6" t="s">
        <v>319</v>
      </c>
      <c r="J1477" s="6"/>
      <c r="K1477" s="6"/>
      <c r="L1477" s="6" t="s">
        <v>724</v>
      </c>
      <c r="M1477" s="6"/>
      <c r="N1477" s="6" t="s">
        <v>725</v>
      </c>
      <c r="O1477" s="6" t="str">
        <f>HYPERLINK("https://ceds.ed.gov/cedselementdetails.aspx?termid=6096")</f>
        <v>https://ceds.ed.gov/cedselementdetails.aspx?termid=6096</v>
      </c>
      <c r="P1477" s="6" t="str">
        <f>HYPERLINK("https://ceds.ed.gov/elementComment.aspx?elementName=Assessment Item Body Text Entry Interaction XML &amp;elementID=6096", "Click here to submit comment")</f>
        <v>Click here to submit comment</v>
      </c>
    </row>
    <row r="1478" spans="1:16" ht="105">
      <c r="A1478" s="6" t="s">
        <v>6788</v>
      </c>
      <c r="B1478" s="6" t="s">
        <v>6784</v>
      </c>
      <c r="C1478" s="6" t="s">
        <v>6843</v>
      </c>
      <c r="D1478" s="6" t="s">
        <v>726</v>
      </c>
      <c r="E1478" s="6" t="s">
        <v>727</v>
      </c>
      <c r="F1478" s="6" t="s">
        <v>13</v>
      </c>
      <c r="G1478" s="6"/>
      <c r="H1478" s="6"/>
      <c r="I1478" s="6" t="s">
        <v>319</v>
      </c>
      <c r="J1478" s="6"/>
      <c r="K1478" s="6"/>
      <c r="L1478" s="6" t="s">
        <v>728</v>
      </c>
      <c r="M1478" s="6"/>
      <c r="N1478" s="6" t="s">
        <v>729</v>
      </c>
      <c r="O1478" s="6" t="str">
        <f>HYPERLINK("https://ceds.ed.gov/cedselementdetails.aspx?termid=6099")</f>
        <v>https://ceds.ed.gov/cedselementdetails.aspx?termid=6099</v>
      </c>
      <c r="P1478" s="6" t="str">
        <f>HYPERLINK("https://ceds.ed.gov/elementComment.aspx?elementName=Assessment Item Body Upload Interaction XML &amp;elementID=6099", "Click here to submit comment")</f>
        <v>Click here to submit comment</v>
      </c>
    </row>
    <row r="1479" spans="1:16" ht="409.5">
      <c r="A1479" s="6" t="s">
        <v>6788</v>
      </c>
      <c r="B1479" s="6" t="s">
        <v>6784</v>
      </c>
      <c r="C1479" s="6" t="s">
        <v>6843</v>
      </c>
      <c r="D1479" s="6" t="s">
        <v>752</v>
      </c>
      <c r="E1479" s="6" t="s">
        <v>753</v>
      </c>
      <c r="F1479" s="7" t="s">
        <v>6384</v>
      </c>
      <c r="G1479" s="6"/>
      <c r="H1479" s="6"/>
      <c r="I1479" s="6"/>
      <c r="J1479" s="6"/>
      <c r="K1479" s="6"/>
      <c r="L1479" s="6" t="s">
        <v>754</v>
      </c>
      <c r="M1479" s="6"/>
      <c r="N1479" s="6" t="s">
        <v>755</v>
      </c>
      <c r="O1479" s="6" t="str">
        <f>HYPERLINK("https://ceds.ed.gov/cedselementdetails.aspx?termid=6117")</f>
        <v>https://ceds.ed.gov/cedselementdetails.aspx?termid=6117</v>
      </c>
      <c r="P1479" s="6" t="str">
        <f>HYPERLINK("https://ceds.ed.gov/elementComment.aspx?elementName=Assessment Item Interaction Type &amp;elementID=6117", "Click here to submit comment")</f>
        <v>Click here to submit comment</v>
      </c>
    </row>
    <row r="1480" spans="1:16" ht="45">
      <c r="A1480" s="6" t="s">
        <v>6788</v>
      </c>
      <c r="B1480" s="6" t="s">
        <v>6784</v>
      </c>
      <c r="C1480" s="6" t="s">
        <v>6844</v>
      </c>
      <c r="D1480" s="6" t="s">
        <v>457</v>
      </c>
      <c r="E1480" s="6" t="s">
        <v>458</v>
      </c>
      <c r="F1480" s="6" t="s">
        <v>13</v>
      </c>
      <c r="G1480" s="6"/>
      <c r="H1480" s="6"/>
      <c r="I1480" s="6" t="s">
        <v>100</v>
      </c>
      <c r="J1480" s="6"/>
      <c r="K1480" s="6"/>
      <c r="L1480" s="6" t="s">
        <v>459</v>
      </c>
      <c r="M1480" s="6"/>
      <c r="N1480" s="6" t="s">
        <v>460</v>
      </c>
      <c r="O1480" s="6" t="str">
        <f>HYPERLINK("https://ceds.ed.gov/cedselementdetails.aspx?termid=6149")</f>
        <v>https://ceds.ed.gov/cedselementdetails.aspx?termid=6149</v>
      </c>
      <c r="P1480" s="6" t="str">
        <f>HYPERLINK("https://ceds.ed.gov/elementComment.aspx?elementName=Assessment Asset Identifier &amp;elementID=6149", "Click here to submit comment")</f>
        <v>Click here to submit comment</v>
      </c>
    </row>
    <row r="1481" spans="1:16" ht="135">
      <c r="A1481" s="6" t="s">
        <v>6788</v>
      </c>
      <c r="B1481" s="6" t="s">
        <v>6784</v>
      </c>
      <c r="C1481" s="6" t="s">
        <v>6844</v>
      </c>
      <c r="D1481" s="6" t="s">
        <v>461</v>
      </c>
      <c r="E1481" s="6" t="s">
        <v>462</v>
      </c>
      <c r="F1481" s="7" t="s">
        <v>6378</v>
      </c>
      <c r="G1481" s="6"/>
      <c r="H1481" s="6"/>
      <c r="I1481" s="6"/>
      <c r="J1481" s="6"/>
      <c r="K1481" s="6"/>
      <c r="L1481" s="6" t="s">
        <v>463</v>
      </c>
      <c r="M1481" s="6"/>
      <c r="N1481" s="6" t="s">
        <v>464</v>
      </c>
      <c r="O1481" s="6" t="str">
        <f>HYPERLINK("https://ceds.ed.gov/cedselementdetails.aspx?termid=6150")</f>
        <v>https://ceds.ed.gov/cedselementdetails.aspx?termid=6150</v>
      </c>
      <c r="P1481" s="6" t="str">
        <f>HYPERLINK("https://ceds.ed.gov/elementComment.aspx?elementName=Assessment Asset Identifier Type &amp;elementID=6150", "Click here to submit comment")</f>
        <v>Click here to submit comment</v>
      </c>
    </row>
    <row r="1482" spans="1:16" ht="30">
      <c r="A1482" s="6" t="s">
        <v>6788</v>
      </c>
      <c r="B1482" s="6" t="s">
        <v>6784</v>
      </c>
      <c r="C1482" s="6" t="s">
        <v>6844</v>
      </c>
      <c r="D1482" s="6" t="s">
        <v>465</v>
      </c>
      <c r="E1482" s="6" t="s">
        <v>466</v>
      </c>
      <c r="F1482" s="6" t="s">
        <v>13</v>
      </c>
      <c r="G1482" s="6"/>
      <c r="H1482" s="6"/>
      <c r="I1482" s="6" t="s">
        <v>106</v>
      </c>
      <c r="J1482" s="6"/>
      <c r="K1482" s="6"/>
      <c r="L1482" s="6" t="s">
        <v>467</v>
      </c>
      <c r="M1482" s="6"/>
      <c r="N1482" s="6" t="s">
        <v>468</v>
      </c>
      <c r="O1482" s="6" t="str">
        <f>HYPERLINK("https://ceds.ed.gov/cedselementdetails.aspx?termid=6151")</f>
        <v>https://ceds.ed.gov/cedselementdetails.aspx?termid=6151</v>
      </c>
      <c r="P1482" s="6" t="str">
        <f>HYPERLINK("https://ceds.ed.gov/elementComment.aspx?elementName=Assessment Asset Name &amp;elementID=6151", "Click here to submit comment")</f>
        <v>Click here to submit comment</v>
      </c>
    </row>
    <row r="1483" spans="1:16" ht="30">
      <c r="A1483" s="6" t="s">
        <v>6788</v>
      </c>
      <c r="B1483" s="6" t="s">
        <v>6784</v>
      </c>
      <c r="C1483" s="6" t="s">
        <v>6844</v>
      </c>
      <c r="D1483" s="6" t="s">
        <v>469</v>
      </c>
      <c r="E1483" s="6" t="s">
        <v>470</v>
      </c>
      <c r="F1483" s="6" t="s">
        <v>13</v>
      </c>
      <c r="G1483" s="6"/>
      <c r="H1483" s="6"/>
      <c r="I1483" s="6" t="s">
        <v>106</v>
      </c>
      <c r="J1483" s="6"/>
      <c r="K1483" s="6"/>
      <c r="L1483" s="6" t="s">
        <v>471</v>
      </c>
      <c r="M1483" s="6"/>
      <c r="N1483" s="6" t="s">
        <v>472</v>
      </c>
      <c r="O1483" s="6" t="str">
        <f>HYPERLINK("https://ceds.ed.gov/cedselementdetails.aspx?termid=6152")</f>
        <v>https://ceds.ed.gov/cedselementdetails.aspx?termid=6152</v>
      </c>
      <c r="P1483" s="6" t="str">
        <f>HYPERLINK("https://ceds.ed.gov/elementComment.aspx?elementName=Assessment Asset Owner &amp;elementID=6152", "Click here to submit comment")</f>
        <v>Click here to submit comment</v>
      </c>
    </row>
    <row r="1484" spans="1:16" ht="409.5">
      <c r="A1484" s="6" t="s">
        <v>6788</v>
      </c>
      <c r="B1484" s="6" t="s">
        <v>6784</v>
      </c>
      <c r="C1484" s="6" t="s">
        <v>6844</v>
      </c>
      <c r="D1484" s="6" t="s">
        <v>477</v>
      </c>
      <c r="E1484" s="6" t="s">
        <v>478</v>
      </c>
      <c r="F1484" s="7" t="s">
        <v>6379</v>
      </c>
      <c r="G1484" s="6"/>
      <c r="H1484" s="6"/>
      <c r="I1484" s="6"/>
      <c r="J1484" s="6"/>
      <c r="K1484" s="6" t="s">
        <v>479</v>
      </c>
      <c r="L1484" s="6" t="s">
        <v>480</v>
      </c>
      <c r="M1484" s="6"/>
      <c r="N1484" s="6" t="s">
        <v>481</v>
      </c>
      <c r="O1484" s="6" t="str">
        <f>HYPERLINK("https://ceds.ed.gov/cedselementdetails.aspx?termid=6147")</f>
        <v>https://ceds.ed.gov/cedselementdetails.aspx?termid=6147</v>
      </c>
      <c r="P1484" s="6" t="str">
        <f>HYPERLINK("https://ceds.ed.gov/elementComment.aspx?elementName=Assessment Asset Type &amp;elementID=6147", "Click here to submit comment")</f>
        <v>Click here to submit comment</v>
      </c>
    </row>
    <row r="1485" spans="1:16" ht="30">
      <c r="A1485" s="6" t="s">
        <v>6788</v>
      </c>
      <c r="B1485" s="6" t="s">
        <v>6784</v>
      </c>
      <c r="C1485" s="6" t="s">
        <v>6844</v>
      </c>
      <c r="D1485" s="6" t="s">
        <v>473</v>
      </c>
      <c r="E1485" s="6" t="s">
        <v>474</v>
      </c>
      <c r="F1485" s="6" t="s">
        <v>13</v>
      </c>
      <c r="G1485" s="6"/>
      <c r="H1485" s="6"/>
      <c r="I1485" s="6" t="s">
        <v>73</v>
      </c>
      <c r="J1485" s="6"/>
      <c r="K1485" s="6"/>
      <c r="L1485" s="6" t="s">
        <v>475</v>
      </c>
      <c r="M1485" s="6"/>
      <c r="N1485" s="6" t="s">
        <v>476</v>
      </c>
      <c r="O1485" s="6" t="str">
        <f>HYPERLINK("https://ceds.ed.gov/cedselementdetails.aspx?termid=6148")</f>
        <v>https://ceds.ed.gov/cedselementdetails.aspx?termid=6148</v>
      </c>
      <c r="P1485" s="6" t="str">
        <f>HYPERLINK("https://ceds.ed.gov/elementComment.aspx?elementName=Assessment Asset Published Date &amp;elementID=6148", "Click here to submit comment")</f>
        <v>Click here to submit comment</v>
      </c>
    </row>
    <row r="1486" spans="1:16" ht="150">
      <c r="A1486" s="6" t="s">
        <v>6788</v>
      </c>
      <c r="B1486" s="6" t="s">
        <v>6784</v>
      </c>
      <c r="C1486" s="6" t="s">
        <v>6844</v>
      </c>
      <c r="D1486" s="6" t="s">
        <v>482</v>
      </c>
      <c r="E1486" s="6" t="s">
        <v>483</v>
      </c>
      <c r="F1486" s="6" t="s">
        <v>13</v>
      </c>
      <c r="G1486" s="6"/>
      <c r="H1486" s="6"/>
      <c r="I1486" s="6" t="s">
        <v>100</v>
      </c>
      <c r="J1486" s="6"/>
      <c r="K1486" s="6" t="s">
        <v>484</v>
      </c>
      <c r="L1486" s="6" t="s">
        <v>485</v>
      </c>
      <c r="M1486" s="6"/>
      <c r="N1486" s="6" t="s">
        <v>486</v>
      </c>
      <c r="O1486" s="6" t="str">
        <f>HYPERLINK("https://ceds.ed.gov/cedselementdetails.aspx?termid=6146")</f>
        <v>https://ceds.ed.gov/cedselementdetails.aspx?termid=6146</v>
      </c>
      <c r="P1486" s="6" t="str">
        <f>HYPERLINK("https://ceds.ed.gov/elementComment.aspx?elementName=Assessment Asset Version &amp;elementID=6146", "Click here to submit comment")</f>
        <v>Click here to submit comment</v>
      </c>
    </row>
    <row r="1487" spans="1:16" ht="30">
      <c r="A1487" s="6" t="s">
        <v>6788</v>
      </c>
      <c r="B1487" s="6" t="s">
        <v>6784</v>
      </c>
      <c r="C1487" s="6" t="s">
        <v>6844</v>
      </c>
      <c r="D1487" s="6" t="s">
        <v>453</v>
      </c>
      <c r="E1487" s="6" t="s">
        <v>454</v>
      </c>
      <c r="F1487" s="6" t="s">
        <v>13</v>
      </c>
      <c r="G1487" s="6"/>
      <c r="H1487" s="6"/>
      <c r="I1487" s="6" t="s">
        <v>319</v>
      </c>
      <c r="J1487" s="6"/>
      <c r="K1487" s="6"/>
      <c r="L1487" s="6" t="s">
        <v>455</v>
      </c>
      <c r="M1487" s="6"/>
      <c r="N1487" s="6" t="s">
        <v>456</v>
      </c>
      <c r="O1487" s="6" t="str">
        <f>HYPERLINK("https://ceds.ed.gov/cedselementdetails.aspx?termid=6153")</f>
        <v>https://ceds.ed.gov/cedselementdetails.aspx?termid=6153</v>
      </c>
      <c r="P1487" s="6" t="str">
        <f>HYPERLINK("https://ceds.ed.gov/elementComment.aspx?elementName=Assessment Asset Content XML &amp;elementID=6153", "Click here to submit comment")</f>
        <v>Click here to submit comment</v>
      </c>
    </row>
    <row r="1488" spans="1:16" ht="45">
      <c r="A1488" s="6" t="s">
        <v>6788</v>
      </c>
      <c r="B1488" s="6" t="s">
        <v>6784</v>
      </c>
      <c r="C1488" s="6" t="s">
        <v>6844</v>
      </c>
      <c r="D1488" s="6" t="s">
        <v>445</v>
      </c>
      <c r="E1488" s="6" t="s">
        <v>446</v>
      </c>
      <c r="F1488" s="6" t="s">
        <v>13</v>
      </c>
      <c r="G1488" s="6"/>
      <c r="H1488" s="6"/>
      <c r="I1488" s="6" t="s">
        <v>319</v>
      </c>
      <c r="J1488" s="6"/>
      <c r="K1488" s="6"/>
      <c r="L1488" s="6" t="s">
        <v>447</v>
      </c>
      <c r="M1488" s="6"/>
      <c r="N1488" s="6" t="s">
        <v>448</v>
      </c>
      <c r="O1488" s="6" t="str">
        <f>HYPERLINK("https://ceds.ed.gov/cedselementdetails.aspx?termid=6154")</f>
        <v>https://ceds.ed.gov/cedselementdetails.aspx?termid=6154</v>
      </c>
      <c r="P1488" s="6" t="str">
        <f>HYPERLINK("https://ceds.ed.gov/elementComment.aspx?elementName=Assessment Asset Content Mime Type &amp;elementID=6154", "Click here to submit comment")</f>
        <v>Click here to submit comment</v>
      </c>
    </row>
    <row r="1489" spans="1:16" ht="45">
      <c r="A1489" s="6" t="s">
        <v>6788</v>
      </c>
      <c r="B1489" s="6" t="s">
        <v>6784</v>
      </c>
      <c r="C1489" s="6" t="s">
        <v>6844</v>
      </c>
      <c r="D1489" s="6" t="s">
        <v>449</v>
      </c>
      <c r="E1489" s="6" t="s">
        <v>450</v>
      </c>
      <c r="F1489" s="6" t="s">
        <v>13</v>
      </c>
      <c r="G1489" s="6"/>
      <c r="H1489" s="6"/>
      <c r="I1489" s="6" t="s">
        <v>93</v>
      </c>
      <c r="J1489" s="6"/>
      <c r="K1489" s="6"/>
      <c r="L1489" s="6" t="s">
        <v>451</v>
      </c>
      <c r="M1489" s="6"/>
      <c r="N1489" s="6" t="s">
        <v>452</v>
      </c>
      <c r="O1489" s="6" t="str">
        <f>HYPERLINK("https://ceds.ed.gov/cedselementdetails.aspx?termid=6155")</f>
        <v>https://ceds.ed.gov/cedselementdetails.aspx?termid=6155</v>
      </c>
      <c r="P1489" s="6" t="str">
        <f>HYPERLINK("https://ceds.ed.gov/elementComment.aspx?elementName=Assessment Asset Content URL &amp;elementID=6155", "Click here to submit comment")</f>
        <v>Click here to submit comment</v>
      </c>
    </row>
    <row r="1490" spans="1:16" ht="90">
      <c r="A1490" s="6" t="s">
        <v>6788</v>
      </c>
      <c r="B1490" s="6" t="s">
        <v>6784</v>
      </c>
      <c r="C1490" s="6" t="s">
        <v>6844</v>
      </c>
      <c r="D1490" s="6" t="s">
        <v>3406</v>
      </c>
      <c r="E1490" s="6" t="s">
        <v>3407</v>
      </c>
      <c r="F1490" s="5" t="s">
        <v>939</v>
      </c>
      <c r="G1490" s="6" t="s">
        <v>6214</v>
      </c>
      <c r="H1490" s="6" t="s">
        <v>66</v>
      </c>
      <c r="I1490" s="6"/>
      <c r="J1490" s="6" t="s">
        <v>2645</v>
      </c>
      <c r="K1490" s="6" t="s">
        <v>3408</v>
      </c>
      <c r="L1490" s="6" t="s">
        <v>3409</v>
      </c>
      <c r="M1490" s="6"/>
      <c r="N1490" s="6" t="s">
        <v>3410</v>
      </c>
      <c r="O1490" s="6" t="str">
        <f>HYPERLINK("https://ceds.ed.gov/cedselementdetails.aspx?termid=5317")</f>
        <v>https://ceds.ed.gov/cedselementdetails.aspx?termid=5317</v>
      </c>
      <c r="P1490" s="6" t="str">
        <f>HYPERLINK("https://ceds.ed.gov/elementComment.aspx?elementName=Language Code &amp;elementID=5317", "Click here to submit comment")</f>
        <v>Click here to submit comment</v>
      </c>
    </row>
    <row r="1491" spans="1:16" ht="45">
      <c r="A1491" s="6" t="s">
        <v>6788</v>
      </c>
      <c r="B1491" s="6" t="s">
        <v>6784</v>
      </c>
      <c r="C1491" s="6" t="s">
        <v>6845</v>
      </c>
      <c r="D1491" s="6" t="s">
        <v>1302</v>
      </c>
      <c r="E1491" s="6" t="s">
        <v>1303</v>
      </c>
      <c r="F1491" s="6" t="s">
        <v>13</v>
      </c>
      <c r="G1491" s="6" t="s">
        <v>6064</v>
      </c>
      <c r="H1491" s="6"/>
      <c r="I1491" s="6" t="s">
        <v>100</v>
      </c>
      <c r="J1491" s="6"/>
      <c r="K1491" s="6"/>
      <c r="L1491" s="6" t="s">
        <v>1304</v>
      </c>
      <c r="M1491" s="6"/>
      <c r="N1491" s="6" t="s">
        <v>1305</v>
      </c>
      <c r="O1491" s="6" t="str">
        <f>HYPERLINK("https://ceds.ed.gov/cedselementdetails.aspx?termid=5366")</f>
        <v>https://ceds.ed.gov/cedselementdetails.aspx?termid=5366</v>
      </c>
      <c r="P1491" s="6" t="str">
        <f>HYPERLINK("https://ceds.ed.gov/elementComment.aspx?elementName=Assessment Subtest Identifier &amp;elementID=5366", "Click here to submit comment")</f>
        <v>Click here to submit comment</v>
      </c>
    </row>
    <row r="1492" spans="1:16" ht="75">
      <c r="A1492" s="6" t="s">
        <v>6788</v>
      </c>
      <c r="B1492" s="6" t="s">
        <v>6784</v>
      </c>
      <c r="C1492" s="6" t="s">
        <v>6845</v>
      </c>
      <c r="D1492" s="6" t="s">
        <v>1306</v>
      </c>
      <c r="E1492" s="6" t="s">
        <v>1307</v>
      </c>
      <c r="F1492" s="6" t="s">
        <v>6065</v>
      </c>
      <c r="G1492" s="6"/>
      <c r="H1492" s="6"/>
      <c r="I1492" s="6"/>
      <c r="J1492" s="6"/>
      <c r="K1492" s="6"/>
      <c r="L1492" s="6" t="s">
        <v>1308</v>
      </c>
      <c r="M1492" s="6"/>
      <c r="N1492" s="6" t="s">
        <v>1309</v>
      </c>
      <c r="O1492" s="6" t="str">
        <f>HYPERLINK("https://ceds.ed.gov/cedselementdetails.aspx?termid=6016")</f>
        <v>https://ceds.ed.gov/cedselementdetails.aspx?termid=6016</v>
      </c>
      <c r="P1492" s="6" t="str">
        <f>HYPERLINK("https://ceds.ed.gov/elementComment.aspx?elementName=Assessment Subtest Identifier Type &amp;elementID=6016", "Click here to submit comment")</f>
        <v>Click here to submit comment</v>
      </c>
    </row>
    <row r="1493" spans="1:16" ht="165">
      <c r="A1493" s="6" t="s">
        <v>6788</v>
      </c>
      <c r="B1493" s="6" t="s">
        <v>6784</v>
      </c>
      <c r="C1493" s="6" t="s">
        <v>6845</v>
      </c>
      <c r="D1493" s="6" t="s">
        <v>1379</v>
      </c>
      <c r="E1493" s="6" t="s">
        <v>1380</v>
      </c>
      <c r="F1493" s="6" t="s">
        <v>13</v>
      </c>
      <c r="G1493" s="6" t="s">
        <v>6073</v>
      </c>
      <c r="H1493" s="6"/>
      <c r="I1493" s="6" t="s">
        <v>106</v>
      </c>
      <c r="J1493" s="6"/>
      <c r="K1493" s="6"/>
      <c r="L1493" s="6" t="s">
        <v>1381</v>
      </c>
      <c r="M1493" s="6"/>
      <c r="N1493" s="6" t="s">
        <v>1382</v>
      </c>
      <c r="O1493" s="6" t="str">
        <f>HYPERLINK("https://ceds.ed.gov/cedselementdetails.aspx?termid=5275")</f>
        <v>https://ceds.ed.gov/cedselementdetails.aspx?termid=5275</v>
      </c>
      <c r="P1493" s="6" t="str">
        <f>HYPERLINK("https://ceds.ed.gov/elementComment.aspx?elementName=Assessment Subtest Title &amp;elementID=5275", "Click here to submit comment")</f>
        <v>Click here to submit comment</v>
      </c>
    </row>
    <row r="1494" spans="1:16" ht="45">
      <c r="A1494" s="6" t="s">
        <v>6788</v>
      </c>
      <c r="B1494" s="6" t="s">
        <v>6784</v>
      </c>
      <c r="C1494" s="6" t="s">
        <v>6845</v>
      </c>
      <c r="D1494" s="6" t="s">
        <v>1294</v>
      </c>
      <c r="E1494" s="6" t="s">
        <v>1295</v>
      </c>
      <c r="F1494" s="6" t="s">
        <v>13</v>
      </c>
      <c r="G1494" s="6" t="s">
        <v>6063</v>
      </c>
      <c r="H1494" s="6"/>
      <c r="I1494" s="6" t="s">
        <v>100</v>
      </c>
      <c r="J1494" s="6"/>
      <c r="K1494" s="6"/>
      <c r="L1494" s="6" t="s">
        <v>1296</v>
      </c>
      <c r="M1494" s="6"/>
      <c r="N1494" s="6" t="s">
        <v>1297</v>
      </c>
      <c r="O1494" s="6" t="str">
        <f>HYPERLINK("https://ceds.ed.gov/cedselementdetails.aspx?termid=5367")</f>
        <v>https://ceds.ed.gov/cedselementdetails.aspx?termid=5367</v>
      </c>
      <c r="P1494" s="6" t="str">
        <f>HYPERLINK("https://ceds.ed.gov/elementComment.aspx?elementName=Assessment Subtest Abbreviation &amp;elementID=5367", "Click here to submit comment")</f>
        <v>Click here to submit comment</v>
      </c>
    </row>
    <row r="1495" spans="1:16" ht="150">
      <c r="A1495" s="6" t="s">
        <v>6788</v>
      </c>
      <c r="B1495" s="6" t="s">
        <v>6784</v>
      </c>
      <c r="C1495" s="6" t="s">
        <v>6845</v>
      </c>
      <c r="D1495" s="6" t="s">
        <v>1298</v>
      </c>
      <c r="E1495" s="6" t="s">
        <v>1299</v>
      </c>
      <c r="F1495" s="6" t="s">
        <v>13</v>
      </c>
      <c r="G1495" s="6" t="s">
        <v>6006</v>
      </c>
      <c r="H1495" s="6"/>
      <c r="I1495" s="6" t="s">
        <v>106</v>
      </c>
      <c r="J1495" s="6"/>
      <c r="K1495" s="6"/>
      <c r="L1495" s="6" t="s">
        <v>1300</v>
      </c>
      <c r="M1495" s="6"/>
      <c r="N1495" s="6" t="s">
        <v>1301</v>
      </c>
      <c r="O1495" s="6" t="str">
        <f>HYPERLINK("https://ceds.ed.gov/cedselementdetails.aspx?termid=5274")</f>
        <v>https://ceds.ed.gov/cedselementdetails.aspx?termid=5274</v>
      </c>
      <c r="P1495" s="6" t="str">
        <f>HYPERLINK("https://ceds.ed.gov/elementComment.aspx?elementName=Assessment Subtest Description &amp;elementID=5274", "Click here to submit comment")</f>
        <v>Click here to submit comment</v>
      </c>
    </row>
    <row r="1496" spans="1:16" ht="45">
      <c r="A1496" s="6" t="s">
        <v>6788</v>
      </c>
      <c r="B1496" s="6" t="s">
        <v>6784</v>
      </c>
      <c r="C1496" s="6" t="s">
        <v>6845</v>
      </c>
      <c r="D1496" s="6" t="s">
        <v>1383</v>
      </c>
      <c r="E1496" s="6" t="s">
        <v>1384</v>
      </c>
      <c r="F1496" s="6" t="s">
        <v>13</v>
      </c>
      <c r="G1496" s="6" t="s">
        <v>6064</v>
      </c>
      <c r="H1496" s="6"/>
      <c r="I1496" s="6" t="s">
        <v>100</v>
      </c>
      <c r="J1496" s="6"/>
      <c r="K1496" s="6"/>
      <c r="L1496" s="6" t="s">
        <v>1385</v>
      </c>
      <c r="M1496" s="6"/>
      <c r="N1496" s="6" t="s">
        <v>1386</v>
      </c>
      <c r="O1496" s="6" t="str">
        <f>HYPERLINK("https://ceds.ed.gov/cedselementdetails.aspx?termid=5379")</f>
        <v>https://ceds.ed.gov/cedselementdetails.aspx?termid=5379</v>
      </c>
      <c r="P1496" s="6" t="str">
        <f>HYPERLINK("https://ceds.ed.gov/elementComment.aspx?elementName=Assessment Subtest Version &amp;elementID=5379", "Click here to submit comment")</f>
        <v>Click here to submit comment</v>
      </c>
    </row>
    <row r="1497" spans="1:16" ht="45">
      <c r="A1497" s="6" t="s">
        <v>6788</v>
      </c>
      <c r="B1497" s="6" t="s">
        <v>6784</v>
      </c>
      <c r="C1497" s="6" t="s">
        <v>6845</v>
      </c>
      <c r="D1497" s="6" t="s">
        <v>1323</v>
      </c>
      <c r="E1497" s="6" t="s">
        <v>1324</v>
      </c>
      <c r="F1497" s="6" t="s">
        <v>13</v>
      </c>
      <c r="G1497" s="6"/>
      <c r="H1497" s="6"/>
      <c r="I1497" s="6" t="s">
        <v>73</v>
      </c>
      <c r="J1497" s="6"/>
      <c r="K1497" s="6"/>
      <c r="L1497" s="6" t="s">
        <v>1325</v>
      </c>
      <c r="M1497" s="6"/>
      <c r="N1497" s="6" t="s">
        <v>1326</v>
      </c>
      <c r="O1497" s="6" t="str">
        <f>HYPERLINK("https://ceds.ed.gov/cedselementdetails.aspx?termid=6075")</f>
        <v>https://ceds.ed.gov/cedselementdetails.aspx?termid=6075</v>
      </c>
      <c r="P1497" s="6" t="str">
        <f>HYPERLINK("https://ceds.ed.gov/elementComment.aspx?elementName=Assessment Subtest Published Date &amp;elementID=6075", "Click here to submit comment")</f>
        <v>Click here to submit comment</v>
      </c>
    </row>
    <row r="1498" spans="1:16" ht="45">
      <c r="A1498" s="6" t="s">
        <v>6788</v>
      </c>
      <c r="B1498" s="6" t="s">
        <v>6784</v>
      </c>
      <c r="C1498" s="6" t="s">
        <v>6845</v>
      </c>
      <c r="D1498" s="6" t="s">
        <v>1314</v>
      </c>
      <c r="E1498" s="6" t="s">
        <v>1315</v>
      </c>
      <c r="F1498" s="6" t="s">
        <v>13</v>
      </c>
      <c r="G1498" s="6" t="s">
        <v>5992</v>
      </c>
      <c r="H1498" s="6"/>
      <c r="I1498" s="6" t="s">
        <v>100</v>
      </c>
      <c r="J1498" s="6"/>
      <c r="K1498" s="6"/>
      <c r="L1498" s="6" t="s">
        <v>1316</v>
      </c>
      <c r="M1498" s="6"/>
      <c r="N1498" s="6" t="s">
        <v>1317</v>
      </c>
      <c r="O1498" s="6" t="str">
        <f>HYPERLINK("https://ceds.ed.gov/cedselementdetails.aspx?termid=5387")</f>
        <v>https://ceds.ed.gov/cedselementdetails.aspx?termid=5387</v>
      </c>
      <c r="P1498" s="6" t="str">
        <f>HYPERLINK("https://ceds.ed.gov/elementComment.aspx?elementName=Assessment Subtest Minimum Value &amp;elementID=5387", "Click here to submit comment")</f>
        <v>Click here to submit comment</v>
      </c>
    </row>
    <row r="1499" spans="1:16" ht="45">
      <c r="A1499" s="6" t="s">
        <v>6788</v>
      </c>
      <c r="B1499" s="6" t="s">
        <v>6784</v>
      </c>
      <c r="C1499" s="6" t="s">
        <v>6845</v>
      </c>
      <c r="D1499" s="6" t="s">
        <v>1310</v>
      </c>
      <c r="E1499" s="6" t="s">
        <v>1311</v>
      </c>
      <c r="F1499" s="6" t="s">
        <v>13</v>
      </c>
      <c r="G1499" s="6" t="s">
        <v>5992</v>
      </c>
      <c r="H1499" s="6"/>
      <c r="I1499" s="6" t="s">
        <v>100</v>
      </c>
      <c r="J1499" s="6"/>
      <c r="K1499" s="6"/>
      <c r="L1499" s="6" t="s">
        <v>1312</v>
      </c>
      <c r="M1499" s="6"/>
      <c r="N1499" s="6" t="s">
        <v>1313</v>
      </c>
      <c r="O1499" s="6" t="str">
        <f>HYPERLINK("https://ceds.ed.gov/cedselementdetails.aspx?termid=5388")</f>
        <v>https://ceds.ed.gov/cedselementdetails.aspx?termid=5388</v>
      </c>
      <c r="P1499" s="6" t="str">
        <f>HYPERLINK("https://ceds.ed.gov/elementComment.aspx?elementName=Assessment Subtest Maximum Value &amp;elementID=5388", "Click here to submit comment")</f>
        <v>Click here to submit comment</v>
      </c>
    </row>
    <row r="1500" spans="1:16" ht="45">
      <c r="A1500" s="6" t="s">
        <v>6788</v>
      </c>
      <c r="B1500" s="6" t="s">
        <v>6784</v>
      </c>
      <c r="C1500" s="6" t="s">
        <v>6845</v>
      </c>
      <c r="D1500" s="6" t="s">
        <v>1318</v>
      </c>
      <c r="E1500" s="6" t="s">
        <v>1319</v>
      </c>
      <c r="F1500" s="6" t="s">
        <v>13</v>
      </c>
      <c r="G1500" s="6" t="s">
        <v>6018</v>
      </c>
      <c r="H1500" s="6"/>
      <c r="I1500" s="6" t="s">
        <v>100</v>
      </c>
      <c r="J1500" s="6"/>
      <c r="K1500" s="6" t="s">
        <v>1320</v>
      </c>
      <c r="L1500" s="6" t="s">
        <v>1321</v>
      </c>
      <c r="M1500" s="6"/>
      <c r="N1500" s="6" t="s">
        <v>1322</v>
      </c>
      <c r="O1500" s="6" t="str">
        <f>HYPERLINK("https://ceds.ed.gov/cedselementdetails.aspx?termid=5389")</f>
        <v>https://ceds.ed.gov/cedselementdetails.aspx?termid=5389</v>
      </c>
      <c r="P1500" s="6" t="str">
        <f>HYPERLINK("https://ceds.ed.gov/elementComment.aspx?elementName=Assessment Subtest Optimal Value &amp;elementID=5389", "Click here to submit comment")</f>
        <v>Click here to submit comment</v>
      </c>
    </row>
    <row r="1501" spans="1:16" ht="405">
      <c r="A1501" s="6" t="s">
        <v>6788</v>
      </c>
      <c r="B1501" s="6" t="s">
        <v>6784</v>
      </c>
      <c r="C1501" s="6" t="s">
        <v>6845</v>
      </c>
      <c r="D1501" s="6" t="s">
        <v>395</v>
      </c>
      <c r="E1501" s="6" t="s">
        <v>396</v>
      </c>
      <c r="F1501" s="7" t="s">
        <v>6375</v>
      </c>
      <c r="G1501" s="6" t="s">
        <v>5990</v>
      </c>
      <c r="H1501" s="6"/>
      <c r="I1501" s="6"/>
      <c r="J1501" s="6"/>
      <c r="K1501" s="6"/>
      <c r="L1501" s="6" t="s">
        <v>397</v>
      </c>
      <c r="M1501" s="6"/>
      <c r="N1501" s="6" t="s">
        <v>398</v>
      </c>
      <c r="O1501" s="6" t="str">
        <f>HYPERLINK("https://ceds.ed.gov/cedselementdetails.aspx?termid=5021")</f>
        <v>https://ceds.ed.gov/cedselementdetails.aspx?termid=5021</v>
      </c>
      <c r="P1501" s="6" t="str">
        <f>HYPERLINK("https://ceds.ed.gov/elementComment.aspx?elementName=Assessment Academic Subject &amp;elementID=5021", "Click here to submit comment")</f>
        <v>Click here to submit comment</v>
      </c>
    </row>
    <row r="1502" spans="1:16" ht="409.5">
      <c r="A1502" s="6" t="s">
        <v>6788</v>
      </c>
      <c r="B1502" s="6" t="s">
        <v>6784</v>
      </c>
      <c r="C1502" s="6" t="s">
        <v>6845</v>
      </c>
      <c r="D1502" s="6" t="s">
        <v>1156</v>
      </c>
      <c r="E1502" s="6" t="s">
        <v>1157</v>
      </c>
      <c r="F1502" s="7" t="s">
        <v>6399</v>
      </c>
      <c r="G1502" s="6" t="s">
        <v>6000</v>
      </c>
      <c r="H1502" s="6"/>
      <c r="I1502" s="6"/>
      <c r="J1502" s="6"/>
      <c r="K1502" s="6" t="s">
        <v>1158</v>
      </c>
      <c r="L1502" s="6" t="s">
        <v>1159</v>
      </c>
      <c r="M1502" s="6"/>
      <c r="N1502" s="6" t="s">
        <v>1160</v>
      </c>
      <c r="O1502" s="6" t="str">
        <f>HYPERLINK("https://ceds.ed.gov/cedselementdetails.aspx?termid=5026")</f>
        <v>https://ceds.ed.gov/cedselementdetails.aspx?termid=5026</v>
      </c>
      <c r="P1502" s="6" t="str">
        <f>HYPERLINK("https://ceds.ed.gov/elementComment.aspx?elementName=Assessment Purpose &amp;elementID=5026", "Click here to submit comment")</f>
        <v>Click here to submit comment</v>
      </c>
    </row>
    <row r="1503" spans="1:16" ht="409.5">
      <c r="A1503" s="6" t="s">
        <v>6788</v>
      </c>
      <c r="B1503" s="6" t="s">
        <v>6784</v>
      </c>
      <c r="C1503" s="6" t="s">
        <v>6845</v>
      </c>
      <c r="D1503" s="6" t="s">
        <v>1375</v>
      </c>
      <c r="E1503" s="6" t="s">
        <v>1376</v>
      </c>
      <c r="F1503" s="7" t="s">
        <v>6398</v>
      </c>
      <c r="G1503" s="6" t="s">
        <v>6064</v>
      </c>
      <c r="H1503" s="6"/>
      <c r="I1503" s="6"/>
      <c r="J1503" s="6"/>
      <c r="K1503" s="6"/>
      <c r="L1503" s="6" t="s">
        <v>1377</v>
      </c>
      <c r="M1503" s="6"/>
      <c r="N1503" s="6" t="s">
        <v>1378</v>
      </c>
      <c r="O1503" s="6" t="str">
        <f>HYPERLINK("https://ceds.ed.gov/cedselementdetails.aspx?termid=5368")</f>
        <v>https://ceds.ed.gov/cedselementdetails.aspx?termid=5368</v>
      </c>
      <c r="P1503" s="6" t="str">
        <f>HYPERLINK("https://ceds.ed.gov/elementComment.aspx?elementName=Assessment Subtest Score Metric Type &amp;elementID=5368", "Click here to submit comment")</f>
        <v>Click here to submit comment</v>
      </c>
    </row>
    <row r="1504" spans="1:16" ht="225">
      <c r="A1504" s="6" t="s">
        <v>6788</v>
      </c>
      <c r="B1504" s="6" t="s">
        <v>6784</v>
      </c>
      <c r="C1504" s="6" t="s">
        <v>6845</v>
      </c>
      <c r="D1504" s="6" t="s">
        <v>487</v>
      </c>
      <c r="E1504" s="6" t="s">
        <v>488</v>
      </c>
      <c r="F1504" s="7" t="s">
        <v>6380</v>
      </c>
      <c r="G1504" s="6" t="s">
        <v>6000</v>
      </c>
      <c r="H1504" s="6"/>
      <c r="I1504" s="6"/>
      <c r="J1504" s="6"/>
      <c r="K1504" s="6"/>
      <c r="L1504" s="6" t="s">
        <v>489</v>
      </c>
      <c r="M1504" s="6"/>
      <c r="N1504" s="6" t="s">
        <v>490</v>
      </c>
      <c r="O1504" s="6" t="str">
        <f>HYPERLINK("https://ceds.ed.gov/cedselementdetails.aspx?termid=5598")</f>
        <v>https://ceds.ed.gov/cedselementdetails.aspx?termid=5598</v>
      </c>
      <c r="P1504" s="6" t="str">
        <f>HYPERLINK("https://ceds.ed.gov/elementComment.aspx?elementName=Assessment Content Standard Type &amp;elementID=5598", "Click here to submit comment")</f>
        <v>Click here to submit comment</v>
      </c>
    </row>
    <row r="1505" spans="1:16" ht="45">
      <c r="A1505" s="6" t="s">
        <v>6788</v>
      </c>
      <c r="B1505" s="6" t="s">
        <v>6784</v>
      </c>
      <c r="C1505" s="6" t="s">
        <v>6845</v>
      </c>
      <c r="D1505" s="6" t="s">
        <v>1371</v>
      </c>
      <c r="E1505" s="6" t="s">
        <v>1372</v>
      </c>
      <c r="F1505" s="6" t="s">
        <v>13</v>
      </c>
      <c r="G1505" s="6"/>
      <c r="H1505" s="6"/>
      <c r="I1505" s="6" t="s">
        <v>319</v>
      </c>
      <c r="J1505" s="6"/>
      <c r="K1505" s="6"/>
      <c r="L1505" s="6" t="s">
        <v>1373</v>
      </c>
      <c r="M1505" s="6"/>
      <c r="N1505" s="6" t="s">
        <v>1374</v>
      </c>
      <c r="O1505" s="6" t="str">
        <f>HYPERLINK("https://ceds.ed.gov/cedselementdetails.aspx?termid=5695")</f>
        <v>https://ceds.ed.gov/cedselementdetails.aspx?termid=5695</v>
      </c>
      <c r="P1505" s="6" t="str">
        <f>HYPERLINK("https://ceds.ed.gov/elementComment.aspx?elementName=Assessment Subtest Rules &amp;elementID=5695", "Click here to submit comment")</f>
        <v>Click here to submit comment</v>
      </c>
    </row>
    <row r="1506" spans="1:16" ht="60">
      <c r="A1506" s="6" t="s">
        <v>6788</v>
      </c>
      <c r="B1506" s="6" t="s">
        <v>6784</v>
      </c>
      <c r="C1506" s="6" t="s">
        <v>6845</v>
      </c>
      <c r="D1506" s="6" t="s">
        <v>573</v>
      </c>
      <c r="E1506" s="6" t="s">
        <v>574</v>
      </c>
      <c r="F1506" s="6" t="s">
        <v>13</v>
      </c>
      <c r="G1506" s="6"/>
      <c r="H1506" s="6"/>
      <c r="I1506" s="6" t="s">
        <v>575</v>
      </c>
      <c r="J1506" s="6"/>
      <c r="K1506" s="6"/>
      <c r="L1506" s="6" t="s">
        <v>576</v>
      </c>
      <c r="M1506" s="6"/>
      <c r="N1506" s="6" t="s">
        <v>577</v>
      </c>
      <c r="O1506" s="6" t="str">
        <f>HYPERLINK("https://ceds.ed.gov/cedselementdetails.aspx?termid=6180")</f>
        <v>https://ceds.ed.gov/cedselementdetails.aspx?termid=6180</v>
      </c>
      <c r="P1506" s="6" t="str">
        <f>HYPERLINK("https://ceds.ed.gov/elementComment.aspx?elementName=Assessment Form Subtest Tier &amp;elementID=6180", "Click here to submit comment")</f>
        <v>Click here to submit comment</v>
      </c>
    </row>
    <row r="1507" spans="1:16" ht="60">
      <c r="A1507" s="6" t="s">
        <v>6788</v>
      </c>
      <c r="B1507" s="6" t="s">
        <v>6784</v>
      </c>
      <c r="C1507" s="6" t="s">
        <v>6845</v>
      </c>
      <c r="D1507" s="6" t="s">
        <v>556</v>
      </c>
      <c r="E1507" s="6" t="s">
        <v>557</v>
      </c>
      <c r="F1507" s="6" t="s">
        <v>5963</v>
      </c>
      <c r="G1507" s="6"/>
      <c r="H1507" s="6" t="s">
        <v>66</v>
      </c>
      <c r="I1507" s="6"/>
      <c r="J1507" s="6" t="s">
        <v>558</v>
      </c>
      <c r="K1507" s="6"/>
      <c r="L1507" s="6" t="s">
        <v>559</v>
      </c>
      <c r="M1507" s="6"/>
      <c r="N1507" s="6" t="s">
        <v>560</v>
      </c>
      <c r="O1507" s="6" t="str">
        <f>HYPERLINK("https://ceds.ed.gov/cedselementdetails.aspx?termid=6181")</f>
        <v>https://ceds.ed.gov/cedselementdetails.aspx?termid=6181</v>
      </c>
      <c r="P1507" s="6" t="str">
        <f>HYPERLINK("https://ceds.ed.gov/elementComment.aspx?elementName=Assessment Form Subtest Container Only &amp;elementID=6181", "Click here to submit comment")</f>
        <v>Click here to submit comment</v>
      </c>
    </row>
    <row r="1508" spans="1:16" ht="90">
      <c r="A1508" s="6" t="s">
        <v>6788</v>
      </c>
      <c r="B1508" s="6" t="s">
        <v>6784</v>
      </c>
      <c r="C1508" s="6" t="s">
        <v>6846</v>
      </c>
      <c r="D1508" s="6" t="s">
        <v>1362</v>
      </c>
      <c r="E1508" s="6" t="s">
        <v>1363</v>
      </c>
      <c r="F1508" s="7" t="s">
        <v>6404</v>
      </c>
      <c r="G1508" s="6" t="s">
        <v>6069</v>
      </c>
      <c r="H1508" s="6"/>
      <c r="I1508" s="6"/>
      <c r="J1508" s="6"/>
      <c r="K1508" s="6"/>
      <c r="L1508" s="6" t="s">
        <v>1364</v>
      </c>
      <c r="M1508" s="6"/>
      <c r="N1508" s="6" t="s">
        <v>1365</v>
      </c>
      <c r="O1508" s="6" t="str">
        <f>HYPERLINK("https://ceds.ed.gov/cedselementdetails.aspx?termid=5564")</f>
        <v>https://ceds.ed.gov/cedselementdetails.aspx?termid=5564</v>
      </c>
      <c r="P1508" s="6" t="str">
        <f>HYPERLINK("https://ceds.ed.gov/elementComment.aspx?elementName=Assessment Subtest Result Pretest Outcome &amp;elementID=5564", "Click here to submit comment")</f>
        <v>Click here to submit comment</v>
      </c>
    </row>
    <row r="1509" spans="1:16" ht="195">
      <c r="A1509" s="6" t="s">
        <v>6788</v>
      </c>
      <c r="B1509" s="6" t="s">
        <v>6784</v>
      </c>
      <c r="C1509" s="6" t="s">
        <v>6846</v>
      </c>
      <c r="D1509" s="6" t="s">
        <v>1366</v>
      </c>
      <c r="E1509" s="6" t="s">
        <v>1367</v>
      </c>
      <c r="F1509" s="6" t="s">
        <v>13</v>
      </c>
      <c r="G1509" s="6" t="s">
        <v>6071</v>
      </c>
      <c r="H1509" s="6"/>
      <c r="I1509" s="6" t="s">
        <v>1368</v>
      </c>
      <c r="J1509" s="6"/>
      <c r="K1509" s="6"/>
      <c r="L1509" s="6" t="s">
        <v>1369</v>
      </c>
      <c r="M1509" s="6"/>
      <c r="N1509" s="6" t="s">
        <v>1370</v>
      </c>
      <c r="O1509" s="6" t="str">
        <f>HYPERLINK("https://ceds.ed.gov/cedselementdetails.aspx?termid=5245")</f>
        <v>https://ceds.ed.gov/cedselementdetails.aspx?termid=5245</v>
      </c>
      <c r="P1509" s="6" t="str">
        <f>HYPERLINK("https://ceds.ed.gov/elementComment.aspx?elementName=Assessment Subtest Result Score Value &amp;elementID=5245", "Click here to submit comment")</f>
        <v>Click here to submit comment</v>
      </c>
    </row>
    <row r="1510" spans="1:16" ht="409.5">
      <c r="A1510" s="6" t="s">
        <v>6788</v>
      </c>
      <c r="B1510" s="6" t="s">
        <v>6784</v>
      </c>
      <c r="C1510" s="6" t="s">
        <v>6846</v>
      </c>
      <c r="D1510" s="6" t="s">
        <v>1375</v>
      </c>
      <c r="E1510" s="6" t="s">
        <v>1376</v>
      </c>
      <c r="F1510" s="7" t="s">
        <v>6398</v>
      </c>
      <c r="G1510" s="6" t="s">
        <v>6064</v>
      </c>
      <c r="H1510" s="6"/>
      <c r="I1510" s="6"/>
      <c r="J1510" s="6"/>
      <c r="K1510" s="6"/>
      <c r="L1510" s="6" t="s">
        <v>1377</v>
      </c>
      <c r="M1510" s="6"/>
      <c r="N1510" s="6" t="s">
        <v>1378</v>
      </c>
      <c r="O1510" s="6" t="str">
        <f>HYPERLINK("https://ceds.ed.gov/cedselementdetails.aspx?termid=5368")</f>
        <v>https://ceds.ed.gov/cedselementdetails.aspx?termid=5368</v>
      </c>
      <c r="P1510" s="6" t="str">
        <f>HYPERLINK("https://ceds.ed.gov/elementComment.aspx?elementName=Assessment Subtest Score Metric Type &amp;elementID=5368", "Click here to submit comment")</f>
        <v>Click here to submit comment</v>
      </c>
    </row>
    <row r="1511" spans="1:16" ht="75">
      <c r="A1511" s="6" t="s">
        <v>6788</v>
      </c>
      <c r="B1511" s="6" t="s">
        <v>6784</v>
      </c>
      <c r="C1511" s="6" t="s">
        <v>6846</v>
      </c>
      <c r="D1511" s="6" t="s">
        <v>1336</v>
      </c>
      <c r="E1511" s="6" t="s">
        <v>1337</v>
      </c>
      <c r="F1511" s="6" t="s">
        <v>13</v>
      </c>
      <c r="G1511" s="6" t="s">
        <v>493</v>
      </c>
      <c r="H1511" s="6"/>
      <c r="I1511" s="6" t="s">
        <v>93</v>
      </c>
      <c r="J1511" s="6"/>
      <c r="K1511" s="6"/>
      <c r="L1511" s="6" t="s">
        <v>1338</v>
      </c>
      <c r="M1511" s="6"/>
      <c r="N1511" s="6" t="s">
        <v>1339</v>
      </c>
      <c r="O1511" s="6" t="str">
        <f>HYPERLINK("https://ceds.ed.gov/cedselementdetails.aspx?termid=5890")</f>
        <v>https://ceds.ed.gov/cedselementdetails.aspx?termid=5890</v>
      </c>
      <c r="P1511" s="6" t="str">
        <f>HYPERLINK("https://ceds.ed.gov/elementComment.aspx?elementName=Assessment Subtest Result Descriptive Feedback &amp;elementID=5890", "Click here to submit comment")</f>
        <v>Click here to submit comment</v>
      </c>
    </row>
    <row r="1512" spans="1:16" ht="135">
      <c r="A1512" s="6" t="s">
        <v>6788</v>
      </c>
      <c r="B1512" s="6" t="s">
        <v>6784</v>
      </c>
      <c r="C1512" s="6" t="s">
        <v>6846</v>
      </c>
      <c r="D1512" s="6" t="s">
        <v>1331</v>
      </c>
      <c r="E1512" s="6" t="s">
        <v>1332</v>
      </c>
      <c r="F1512" s="6" t="s">
        <v>13</v>
      </c>
      <c r="G1512" s="6"/>
      <c r="H1512" s="6"/>
      <c r="I1512" s="6" t="s">
        <v>73</v>
      </c>
      <c r="J1512" s="6"/>
      <c r="K1512" s="6" t="s">
        <v>1333</v>
      </c>
      <c r="L1512" s="6" t="s">
        <v>1334</v>
      </c>
      <c r="M1512" s="6"/>
      <c r="N1512" s="6" t="s">
        <v>1335</v>
      </c>
      <c r="O1512" s="6" t="str">
        <f>HYPERLINK("https://ceds.ed.gov/cedselementdetails.aspx?termid=5971")</f>
        <v>https://ceds.ed.gov/cedselementdetails.aspx?termid=5971</v>
      </c>
      <c r="P1512" s="6" t="str">
        <f>HYPERLINK("https://ceds.ed.gov/elementComment.aspx?elementName=Assessment Subtest Result Date Updated &amp;elementID=5971", "Click here to submit comment")</f>
        <v>Click here to submit comment</v>
      </c>
    </row>
    <row r="1513" spans="1:16" ht="45">
      <c r="A1513" s="6" t="s">
        <v>6788</v>
      </c>
      <c r="B1513" s="6" t="s">
        <v>6784</v>
      </c>
      <c r="C1513" s="6" t="s">
        <v>6846</v>
      </c>
      <c r="D1513" s="6" t="s">
        <v>1327</v>
      </c>
      <c r="E1513" s="6" t="s">
        <v>1328</v>
      </c>
      <c r="F1513" s="6" t="s">
        <v>13</v>
      </c>
      <c r="G1513" s="6"/>
      <c r="H1513" s="6"/>
      <c r="I1513" s="6" t="s">
        <v>73</v>
      </c>
      <c r="J1513" s="6"/>
      <c r="K1513" s="6"/>
      <c r="L1513" s="6" t="s">
        <v>1329</v>
      </c>
      <c r="M1513" s="6"/>
      <c r="N1513" s="6" t="s">
        <v>1330</v>
      </c>
      <c r="O1513" s="6" t="str">
        <f>HYPERLINK("https://ceds.ed.gov/cedselementdetails.aspx?termid=5972")</f>
        <v>https://ceds.ed.gov/cedselementdetails.aspx?termid=5972</v>
      </c>
      <c r="P1513" s="6" t="str">
        <f>HYPERLINK("https://ceds.ed.gov/elementComment.aspx?elementName=Assessment Subtest Result Date Created &amp;elementID=5972", "Click here to submit comment")</f>
        <v>Click here to submit comment</v>
      </c>
    </row>
    <row r="1514" spans="1:16" ht="75">
      <c r="A1514" s="6" t="s">
        <v>6788</v>
      </c>
      <c r="B1514" s="6" t="s">
        <v>6784</v>
      </c>
      <c r="C1514" s="6" t="s">
        <v>6846</v>
      </c>
      <c r="D1514" s="6" t="s">
        <v>1358</v>
      </c>
      <c r="E1514" s="6" t="s">
        <v>1359</v>
      </c>
      <c r="F1514" s="6" t="s">
        <v>5963</v>
      </c>
      <c r="G1514" s="6"/>
      <c r="H1514" s="6"/>
      <c r="I1514" s="6"/>
      <c r="J1514" s="6"/>
      <c r="K1514" s="6"/>
      <c r="L1514" s="6" t="s">
        <v>1360</v>
      </c>
      <c r="M1514" s="6"/>
      <c r="N1514" s="6" t="s">
        <v>1361</v>
      </c>
      <c r="O1514" s="6" t="str">
        <f>HYPERLINK("https://ceds.ed.gov/cedselementdetails.aspx?termid=6010")</f>
        <v>https://ceds.ed.gov/cedselementdetails.aspx?termid=6010</v>
      </c>
      <c r="P1514" s="6" t="str">
        <f>HYPERLINK("https://ceds.ed.gov/elementComment.aspx?elementName=Assessment Subtest Result Preliminary Indicator &amp;elementID=6010", "Click here to submit comment")</f>
        <v>Click here to submit comment</v>
      </c>
    </row>
    <row r="1515" spans="1:16" ht="60">
      <c r="A1515" s="6" t="s">
        <v>6788</v>
      </c>
      <c r="B1515" s="6" t="s">
        <v>6784</v>
      </c>
      <c r="C1515" s="6" t="s">
        <v>6846</v>
      </c>
      <c r="D1515" s="6" t="s">
        <v>2180</v>
      </c>
      <c r="E1515" s="6" t="s">
        <v>2181</v>
      </c>
      <c r="F1515" s="6" t="s">
        <v>13</v>
      </c>
      <c r="G1515" s="6"/>
      <c r="H1515" s="6"/>
      <c r="I1515" s="6" t="s">
        <v>93</v>
      </c>
      <c r="J1515" s="6"/>
      <c r="K1515" s="6"/>
      <c r="L1515" s="6" t="s">
        <v>2182</v>
      </c>
      <c r="M1515" s="6"/>
      <c r="N1515" s="6" t="s">
        <v>2183</v>
      </c>
      <c r="O1515" s="6" t="str">
        <f>HYPERLINK("https://ceds.ed.gov/cedselementdetails.aspx?termid=6011")</f>
        <v>https://ceds.ed.gov/cedselementdetails.aspx?termid=6011</v>
      </c>
      <c r="P1515" s="6" t="str">
        <f>HYPERLINK("https://ceds.ed.gov/elementComment.aspx?elementName=Diagnostic Statement Source &amp;elementID=6011", "Click here to submit comment")</f>
        <v>Click here to submit comment</v>
      </c>
    </row>
    <row r="1516" spans="1:16" ht="120">
      <c r="A1516" s="6" t="s">
        <v>6788</v>
      </c>
      <c r="B1516" s="6" t="s">
        <v>6784</v>
      </c>
      <c r="C1516" s="6" t="s">
        <v>6846</v>
      </c>
      <c r="D1516" s="6" t="s">
        <v>1354</v>
      </c>
      <c r="E1516" s="6" t="s">
        <v>1355</v>
      </c>
      <c r="F1516" s="6" t="s">
        <v>13</v>
      </c>
      <c r="G1516" s="6"/>
      <c r="H1516" s="6"/>
      <c r="I1516" s="6" t="s">
        <v>1173</v>
      </c>
      <c r="J1516" s="6"/>
      <c r="K1516" s="6"/>
      <c r="L1516" s="6" t="s">
        <v>1356</v>
      </c>
      <c r="M1516" s="6"/>
      <c r="N1516" s="6" t="s">
        <v>1357</v>
      </c>
      <c r="O1516" s="6" t="str">
        <f>HYPERLINK("https://ceds.ed.gov/cedselementdetails.aspx?termid=6012")</f>
        <v>https://ceds.ed.gov/cedselementdetails.aspx?termid=6012</v>
      </c>
      <c r="P1516" s="6" t="str">
        <f>HYPERLINK("https://ceds.ed.gov/elementComment.aspx?elementName=Assessment Subtest Result Number of Responses &amp;elementID=6012", "Click here to submit comment")</f>
        <v>Click here to submit comment</v>
      </c>
    </row>
    <row r="1517" spans="1:16" ht="120">
      <c r="A1517" s="6" t="s">
        <v>6788</v>
      </c>
      <c r="B1517" s="6" t="s">
        <v>6784</v>
      </c>
      <c r="C1517" s="6" t="s">
        <v>6846</v>
      </c>
      <c r="D1517" s="6" t="s">
        <v>1340</v>
      </c>
      <c r="E1517" s="6" t="s">
        <v>1341</v>
      </c>
      <c r="F1517" s="6" t="s">
        <v>13</v>
      </c>
      <c r="G1517" s="6"/>
      <c r="H1517" s="6"/>
      <c r="I1517" s="6" t="s">
        <v>106</v>
      </c>
      <c r="J1517" s="6"/>
      <c r="K1517" s="6"/>
      <c r="L1517" s="6" t="s">
        <v>1342</v>
      </c>
      <c r="M1517" s="6"/>
      <c r="N1517" s="6" t="s">
        <v>1343</v>
      </c>
      <c r="O1517" s="6" t="str">
        <f>HYPERLINK("https://ceds.ed.gov/cedselementdetails.aspx?termid=6076")</f>
        <v>https://ceds.ed.gov/cedselementdetails.aspx?termid=6076</v>
      </c>
      <c r="P1517" s="6" t="str">
        <f>HYPERLINK("https://ceds.ed.gov/elementComment.aspx?elementName=Assessment Subtest Result Descriptive Feedback Source &amp;elementID=6076", "Click here to submit comment")</f>
        <v>Click here to submit comment</v>
      </c>
    </row>
    <row r="1518" spans="1:16" ht="120">
      <c r="A1518" s="6" t="s">
        <v>6788</v>
      </c>
      <c r="B1518" s="6" t="s">
        <v>6784</v>
      </c>
      <c r="C1518" s="6" t="s">
        <v>6846</v>
      </c>
      <c r="D1518" s="6" t="s">
        <v>1344</v>
      </c>
      <c r="E1518" s="6" t="s">
        <v>1345</v>
      </c>
      <c r="F1518" s="6" t="s">
        <v>13</v>
      </c>
      <c r="G1518" s="6"/>
      <c r="H1518" s="6"/>
      <c r="I1518" s="6" t="s">
        <v>319</v>
      </c>
      <c r="J1518" s="6"/>
      <c r="K1518" s="6"/>
      <c r="L1518" s="6" t="s">
        <v>1346</v>
      </c>
      <c r="M1518" s="6"/>
      <c r="N1518" s="6" t="s">
        <v>1347</v>
      </c>
      <c r="O1518" s="6" t="str">
        <f>HYPERLINK("https://ceds.ed.gov/cedselementdetails.aspx?termid=6185")</f>
        <v>https://ceds.ed.gov/cedselementdetails.aspx?termid=6185</v>
      </c>
      <c r="P1518" s="6" t="str">
        <f>HYPERLINK("https://ceds.ed.gov/elementComment.aspx?elementName=Assessment Subtest Result Diagnostic Statement &amp;elementID=6185", "Click here to submit comment")</f>
        <v>Click here to submit comment</v>
      </c>
    </row>
    <row r="1519" spans="1:16" ht="90">
      <c r="A1519" s="6" t="s">
        <v>6788</v>
      </c>
      <c r="B1519" s="6" t="s">
        <v>6784</v>
      </c>
      <c r="C1519" s="6" t="s">
        <v>6846</v>
      </c>
      <c r="D1519" s="6" t="s">
        <v>1348</v>
      </c>
      <c r="E1519" s="6" t="s">
        <v>1349</v>
      </c>
      <c r="F1519" s="6" t="s">
        <v>5963</v>
      </c>
      <c r="G1519" s="6" t="s">
        <v>218</v>
      </c>
      <c r="H1519" s="6"/>
      <c r="I1519" s="6"/>
      <c r="J1519" s="6"/>
      <c r="K1519" s="6"/>
      <c r="L1519" s="6" t="s">
        <v>1351</v>
      </c>
      <c r="M1519" s="6" t="s">
        <v>1352</v>
      </c>
      <c r="N1519" s="6" t="s">
        <v>1353</v>
      </c>
      <c r="O1519" s="6" t="str">
        <f>HYPERLINK("https://ceds.ed.gov/cedselementdetails.aspx?termid=5568")</f>
        <v>https://ceds.ed.gov/cedselementdetails.aspx?termid=5568</v>
      </c>
      <c r="P1519" s="6" t="str">
        <f>HYPERLINK("https://ceds.ed.gov/elementComment.aspx?elementName=Assessment Subtest Result Included in Adequate Yearly Progress Calculation &amp;elementID=5568", "Click here to submit comment")</f>
        <v>Click here to submit comment</v>
      </c>
    </row>
    <row r="1520" spans="1:16" ht="60">
      <c r="A1520" s="6" t="s">
        <v>6788</v>
      </c>
      <c r="B1520" s="6" t="s">
        <v>6784</v>
      </c>
      <c r="C1520" s="6" t="s">
        <v>6846</v>
      </c>
      <c r="D1520" s="6" t="s">
        <v>3322</v>
      </c>
      <c r="E1520" s="6" t="s">
        <v>3323</v>
      </c>
      <c r="F1520" s="6" t="s">
        <v>13</v>
      </c>
      <c r="G1520" s="6" t="s">
        <v>6018</v>
      </c>
      <c r="H1520" s="6"/>
      <c r="I1520" s="6" t="s">
        <v>745</v>
      </c>
      <c r="J1520" s="6"/>
      <c r="K1520" s="6"/>
      <c r="L1520" s="6" t="s">
        <v>3324</v>
      </c>
      <c r="M1520" s="6"/>
      <c r="N1520" s="6" t="s">
        <v>3325</v>
      </c>
      <c r="O1520" s="6" t="str">
        <f>HYPERLINK("https://ceds.ed.gov/cedselementdetails.aspx?termid=5369")</f>
        <v>https://ceds.ed.gov/cedselementdetails.aspx?termid=5369</v>
      </c>
      <c r="P1520" s="6" t="str">
        <f>HYPERLINK("https://ceds.ed.gov/elementComment.aspx?elementName=Instructional Recommendation &amp;elementID=5369", "Click here to submit comment")</f>
        <v>Click here to submit comment</v>
      </c>
    </row>
    <row r="1521" spans="1:16" ht="75">
      <c r="A1521" s="6" t="s">
        <v>6788</v>
      </c>
      <c r="B1521" s="6" t="s">
        <v>6784</v>
      </c>
      <c r="C1521" s="6" t="s">
        <v>6847</v>
      </c>
      <c r="D1521" s="6" t="s">
        <v>1182</v>
      </c>
      <c r="E1521" s="6" t="s">
        <v>1183</v>
      </c>
      <c r="F1521" s="7" t="s">
        <v>6401</v>
      </c>
      <c r="G1521" s="6" t="s">
        <v>6051</v>
      </c>
      <c r="H1521" s="6"/>
      <c r="I1521" s="6"/>
      <c r="J1521" s="6"/>
      <c r="K1521" s="6"/>
      <c r="L1521" s="6" t="s">
        <v>1184</v>
      </c>
      <c r="M1521" s="6"/>
      <c r="N1521" s="6" t="s">
        <v>1185</v>
      </c>
      <c r="O1521" s="6" t="str">
        <f>HYPERLINK("https://ceds.ed.gov/cedselementdetails.aspx?termid=5025")</f>
        <v>https://ceds.ed.gov/cedselementdetails.aspx?termid=5025</v>
      </c>
      <c r="P1521" s="6" t="str">
        <f>HYPERLINK("https://ceds.ed.gov/elementComment.aspx?elementName=Assessment Registration Participation Indicator &amp;elementID=5025", "Click here to submit comment")</f>
        <v>Click here to submit comment</v>
      </c>
    </row>
    <row r="1522" spans="1:16" ht="375">
      <c r="A1522" s="6" t="s">
        <v>6788</v>
      </c>
      <c r="B1522" s="6" t="s">
        <v>6784</v>
      </c>
      <c r="C1522" s="6" t="s">
        <v>6847</v>
      </c>
      <c r="D1522" s="6" t="s">
        <v>2847</v>
      </c>
      <c r="E1522" s="6" t="s">
        <v>2848</v>
      </c>
      <c r="F1522" s="7" t="s">
        <v>6520</v>
      </c>
      <c r="G1522" s="6" t="s">
        <v>6182</v>
      </c>
      <c r="H1522" s="6"/>
      <c r="I1522" s="6"/>
      <c r="J1522" s="6"/>
      <c r="K1522" s="6"/>
      <c r="L1522" s="6" t="s">
        <v>2849</v>
      </c>
      <c r="M1522" s="6"/>
      <c r="N1522" s="6" t="s">
        <v>2850</v>
      </c>
      <c r="O1522" s="6" t="str">
        <f>HYPERLINK("https://ceds.ed.gov/cedselementdetails.aspx?termid=5126")</f>
        <v>https://ceds.ed.gov/cedselementdetails.aspx?termid=5126</v>
      </c>
      <c r="P1522" s="6" t="str">
        <f>HYPERLINK("https://ceds.ed.gov/elementComment.aspx?elementName=Grade Level When Assessed &amp;elementID=5126", "Click here to submit comment")</f>
        <v>Click here to submit comment</v>
      </c>
    </row>
    <row r="1523" spans="1:16" ht="285">
      <c r="A1523" s="6" t="s">
        <v>6788</v>
      </c>
      <c r="B1523" s="6" t="s">
        <v>6784</v>
      </c>
      <c r="C1523" s="6" t="s">
        <v>6847</v>
      </c>
      <c r="D1523" s="6" t="s">
        <v>399</v>
      </c>
      <c r="E1523" s="6" t="s">
        <v>400</v>
      </c>
      <c r="F1523" s="7" t="s">
        <v>6376</v>
      </c>
      <c r="G1523" s="6" t="s">
        <v>5992</v>
      </c>
      <c r="H1523" s="6" t="s">
        <v>3</v>
      </c>
      <c r="I1523" s="6"/>
      <c r="J1523" s="6"/>
      <c r="K1523" s="6"/>
      <c r="L1523" s="6" t="s">
        <v>401</v>
      </c>
      <c r="M1523" s="6"/>
      <c r="N1523" s="6" t="s">
        <v>402</v>
      </c>
      <c r="O1523" s="6" t="str">
        <f>HYPERLINK("https://ceds.ed.gov/cedselementdetails.aspx?termid=5374")</f>
        <v>https://ceds.ed.gov/cedselementdetails.aspx?termid=5374</v>
      </c>
      <c r="P1523" s="6" t="str">
        <f>HYPERLINK("https://ceds.ed.gov/elementComment.aspx?elementName=Assessment Accommodation Category &amp;elementID=5374", "Click here to submit comment")</f>
        <v>Click here to submit comment</v>
      </c>
    </row>
    <row r="1524" spans="1:16" ht="120">
      <c r="A1524" s="6" t="s">
        <v>6788</v>
      </c>
      <c r="B1524" s="6" t="s">
        <v>6784</v>
      </c>
      <c r="C1524" s="6" t="s">
        <v>6847</v>
      </c>
      <c r="D1524" s="6" t="s">
        <v>4022</v>
      </c>
      <c r="E1524" s="6" t="s">
        <v>4023</v>
      </c>
      <c r="F1524" s="6" t="s">
        <v>13</v>
      </c>
      <c r="G1524" s="6" t="s">
        <v>6252</v>
      </c>
      <c r="H1524" s="6"/>
      <c r="I1524" s="6" t="s">
        <v>100</v>
      </c>
      <c r="J1524" s="6"/>
      <c r="K1524" s="6"/>
      <c r="L1524" s="6" t="s">
        <v>4024</v>
      </c>
      <c r="M1524" s="6" t="s">
        <v>4025</v>
      </c>
      <c r="N1524" s="6" t="s">
        <v>4026</v>
      </c>
      <c r="O1524" s="6" t="str">
        <f>HYPERLINK("https://ceds.ed.gov/cedselementdetails.aspx?termid=5153")</f>
        <v>https://ceds.ed.gov/cedselementdetails.aspx?termid=5153</v>
      </c>
      <c r="P1524" s="6" t="str">
        <f>HYPERLINK("https://ceds.ed.gov/elementComment.aspx?elementName=Local Education Agency Identifier &amp;elementID=5153", "Click here to submit comment")</f>
        <v>Click here to submit comment</v>
      </c>
    </row>
    <row r="1525" spans="1:16" ht="165">
      <c r="A1525" s="6" t="s">
        <v>6788</v>
      </c>
      <c r="B1525" s="6" t="s">
        <v>6784</v>
      </c>
      <c r="C1525" s="6" t="s">
        <v>6847</v>
      </c>
      <c r="D1525" s="6" t="s">
        <v>5224</v>
      </c>
      <c r="E1525" s="6" t="s">
        <v>269</v>
      </c>
      <c r="F1525" s="6" t="s">
        <v>13</v>
      </c>
      <c r="G1525" s="6" t="s">
        <v>6308</v>
      </c>
      <c r="H1525" s="6"/>
      <c r="I1525" s="6" t="s">
        <v>100</v>
      </c>
      <c r="J1525" s="6"/>
      <c r="K1525" s="6"/>
      <c r="L1525" s="6" t="s">
        <v>5225</v>
      </c>
      <c r="M1525" s="6"/>
      <c r="N1525" s="6" t="s">
        <v>5226</v>
      </c>
      <c r="O1525" s="6" t="str">
        <f>HYPERLINK("https://ceds.ed.gov/cedselementdetails.aspx?termid=5155")</f>
        <v>https://ceds.ed.gov/cedselementdetails.aspx?termid=5155</v>
      </c>
      <c r="P1525" s="6" t="str">
        <f>HYPERLINK("https://ceds.ed.gov/elementComment.aspx?elementName=School Identifier &amp;elementID=5155", "Click here to submit comment")</f>
        <v>Click here to submit comment</v>
      </c>
    </row>
    <row r="1526" spans="1:16" ht="285">
      <c r="A1526" s="6" t="s">
        <v>6788</v>
      </c>
      <c r="B1526" s="6" t="s">
        <v>6784</v>
      </c>
      <c r="C1526" s="6" t="s">
        <v>6847</v>
      </c>
      <c r="D1526" s="6" t="s">
        <v>4017</v>
      </c>
      <c r="E1526" s="6" t="s">
        <v>4018</v>
      </c>
      <c r="F1526" s="7" t="s">
        <v>6577</v>
      </c>
      <c r="G1526" s="6" t="s">
        <v>6252</v>
      </c>
      <c r="H1526" s="6"/>
      <c r="I1526" s="6"/>
      <c r="J1526" s="6"/>
      <c r="K1526" s="6"/>
      <c r="L1526" s="6" t="s">
        <v>4019</v>
      </c>
      <c r="M1526" s="6" t="s">
        <v>4020</v>
      </c>
      <c r="N1526" s="6" t="s">
        <v>4021</v>
      </c>
      <c r="O1526" s="6" t="str">
        <f>HYPERLINK("https://ceds.ed.gov/cedselementdetails.aspx?termid=5159")</f>
        <v>https://ceds.ed.gov/cedselementdetails.aspx?termid=5159</v>
      </c>
      <c r="P1526" s="6" t="str">
        <f>HYPERLINK("https://ceds.ed.gov/elementComment.aspx?elementName=Local Education Agency Identification System &amp;elementID=5159", "Click here to submit comment")</f>
        <v>Click here to submit comment</v>
      </c>
    </row>
    <row r="1527" spans="1:16" ht="360">
      <c r="A1527" s="6" t="s">
        <v>6788</v>
      </c>
      <c r="B1527" s="6" t="s">
        <v>6784</v>
      </c>
      <c r="C1527" s="6" t="s">
        <v>6847</v>
      </c>
      <c r="D1527" s="6" t="s">
        <v>5221</v>
      </c>
      <c r="E1527" s="6" t="s">
        <v>265</v>
      </c>
      <c r="F1527" s="7" t="s">
        <v>6645</v>
      </c>
      <c r="G1527" s="6" t="s">
        <v>6308</v>
      </c>
      <c r="H1527" s="6"/>
      <c r="I1527" s="6"/>
      <c r="J1527" s="6"/>
      <c r="K1527" s="6"/>
      <c r="L1527" s="6" t="s">
        <v>5222</v>
      </c>
      <c r="M1527" s="6"/>
      <c r="N1527" s="6" t="s">
        <v>5223</v>
      </c>
      <c r="O1527" s="6" t="str">
        <f>HYPERLINK("https://ceds.ed.gov/cedselementdetails.aspx?termid=5161")</f>
        <v>https://ceds.ed.gov/cedselementdetails.aspx?termid=5161</v>
      </c>
      <c r="P1527" s="6" t="str">
        <f>HYPERLINK("https://ceds.ed.gov/elementComment.aspx?elementName=School Identification System &amp;elementID=5161", "Click here to submit comment")</f>
        <v>Click here to submit comment</v>
      </c>
    </row>
    <row r="1528" spans="1:16" ht="315">
      <c r="A1528" s="6" t="s">
        <v>6788</v>
      </c>
      <c r="B1528" s="6" t="s">
        <v>6784</v>
      </c>
      <c r="C1528" s="6" t="s">
        <v>6847</v>
      </c>
      <c r="D1528" s="6" t="s">
        <v>1186</v>
      </c>
      <c r="E1528" s="6" t="s">
        <v>1187</v>
      </c>
      <c r="F1528" s="7" t="s">
        <v>6402</v>
      </c>
      <c r="G1528" s="6" t="s">
        <v>6052</v>
      </c>
      <c r="H1528" s="6"/>
      <c r="I1528" s="6"/>
      <c r="J1528" s="6"/>
      <c r="K1528" s="6" t="s">
        <v>1188</v>
      </c>
      <c r="L1528" s="6" t="s">
        <v>1189</v>
      </c>
      <c r="M1528" s="6"/>
      <c r="N1528" s="6" t="s">
        <v>1190</v>
      </c>
      <c r="O1528" s="6" t="str">
        <f>HYPERLINK("https://ceds.ed.gov/cedselementdetails.aspx?termid=5531")</f>
        <v>https://ceds.ed.gov/cedselementdetails.aspx?termid=5531</v>
      </c>
      <c r="P1528" s="6" t="str">
        <f>HYPERLINK("https://ceds.ed.gov/elementComment.aspx?elementName=Assessment Registration Reason Not Completing &amp;elementID=5531", "Click here to submit comment")</f>
        <v>Click here to submit comment</v>
      </c>
    </row>
    <row r="1529" spans="1:16" ht="45">
      <c r="A1529" s="6" t="s">
        <v>6788</v>
      </c>
      <c r="B1529" s="6" t="s">
        <v>6784</v>
      </c>
      <c r="C1529" s="6" t="s">
        <v>6847</v>
      </c>
      <c r="D1529" s="6" t="s">
        <v>1161</v>
      </c>
      <c r="E1529" s="6" t="s">
        <v>1162</v>
      </c>
      <c r="F1529" s="6" t="s">
        <v>13</v>
      </c>
      <c r="G1529" s="6"/>
      <c r="H1529" s="6"/>
      <c r="I1529" s="6" t="s">
        <v>100</v>
      </c>
      <c r="J1529" s="6"/>
      <c r="K1529" s="6" t="s">
        <v>1163</v>
      </c>
      <c r="L1529" s="6" t="s">
        <v>1164</v>
      </c>
      <c r="M1529" s="6"/>
      <c r="N1529" s="6" t="s">
        <v>1165</v>
      </c>
      <c r="O1529" s="6" t="str">
        <f>HYPERLINK("https://ceds.ed.gov/cedselementdetails.aspx?termid=5889")</f>
        <v>https://ceds.ed.gov/cedselementdetails.aspx?termid=5889</v>
      </c>
      <c r="P1529" s="6" t="str">
        <f>HYPERLINK("https://ceds.ed.gov/elementComment.aspx?elementName=Assessment Registration Assignor Identifier &amp;elementID=5889", "Click here to submit comment")</f>
        <v>Click here to submit comment</v>
      </c>
    </row>
    <row r="1530" spans="1:16" ht="45">
      <c r="A1530" s="6" t="s">
        <v>6788</v>
      </c>
      <c r="B1530" s="6" t="s">
        <v>6784</v>
      </c>
      <c r="C1530" s="6" t="s">
        <v>6847</v>
      </c>
      <c r="D1530" s="6" t="s">
        <v>1171</v>
      </c>
      <c r="E1530" s="6" t="s">
        <v>1172</v>
      </c>
      <c r="F1530" s="6" t="s">
        <v>13</v>
      </c>
      <c r="G1530" s="6"/>
      <c r="H1530" s="6"/>
      <c r="I1530" s="6" t="s">
        <v>1173</v>
      </c>
      <c r="J1530" s="6"/>
      <c r="K1530" s="6"/>
      <c r="L1530" s="6" t="s">
        <v>1174</v>
      </c>
      <c r="M1530" s="6"/>
      <c r="N1530" s="6" t="s">
        <v>1175</v>
      </c>
      <c r="O1530" s="6" t="str">
        <f>HYPERLINK("https://ceds.ed.gov/cedselementdetails.aspx?termid=6017")</f>
        <v>https://ceds.ed.gov/cedselementdetails.aspx?termid=6017</v>
      </c>
      <c r="P1530" s="6" t="str">
        <f>HYPERLINK("https://ceds.ed.gov/elementComment.aspx?elementName=Assessment Registration Days of Instruction &amp;elementID=6017", "Click here to submit comment")</f>
        <v>Click here to submit comment</v>
      </c>
    </row>
    <row r="1531" spans="1:16" ht="75">
      <c r="A1531" s="6" t="s">
        <v>6788</v>
      </c>
      <c r="B1531" s="6" t="s">
        <v>6784</v>
      </c>
      <c r="C1531" s="6" t="s">
        <v>6847</v>
      </c>
      <c r="D1531" s="6" t="s">
        <v>1191</v>
      </c>
      <c r="E1531" s="6" t="s">
        <v>1192</v>
      </c>
      <c r="F1531" s="6" t="s">
        <v>5963</v>
      </c>
      <c r="G1531" s="6"/>
      <c r="H1531" s="6"/>
      <c r="I1531" s="6"/>
      <c r="J1531" s="6"/>
      <c r="K1531" s="6"/>
      <c r="L1531" s="6" t="s">
        <v>1193</v>
      </c>
      <c r="M1531" s="6"/>
      <c r="N1531" s="6" t="s">
        <v>1194</v>
      </c>
      <c r="O1531" s="6" t="str">
        <f>HYPERLINK("https://ceds.ed.gov/cedselementdetails.aspx?termid=6018")</f>
        <v>https://ceds.ed.gov/cedselementdetails.aspx?termid=6018</v>
      </c>
      <c r="P1531" s="6" t="str">
        <f>HYPERLINK("https://ceds.ed.gov/elementComment.aspx?elementName=Assessment Registration Retest Indicator &amp;elementID=6018", "Click here to submit comment")</f>
        <v>Click here to submit comment</v>
      </c>
    </row>
    <row r="1532" spans="1:16" ht="45">
      <c r="A1532" s="6" t="s">
        <v>6788</v>
      </c>
      <c r="B1532" s="6" t="s">
        <v>6784</v>
      </c>
      <c r="C1532" s="6" t="s">
        <v>6847</v>
      </c>
      <c r="D1532" s="6" t="s">
        <v>1166</v>
      </c>
      <c r="E1532" s="6" t="s">
        <v>1167</v>
      </c>
      <c r="F1532" s="6" t="s">
        <v>13</v>
      </c>
      <c r="G1532" s="6"/>
      <c r="H1532" s="6"/>
      <c r="I1532" s="6" t="s">
        <v>1168</v>
      </c>
      <c r="J1532" s="6"/>
      <c r="K1532" s="6"/>
      <c r="L1532" s="6" t="s">
        <v>1169</v>
      </c>
      <c r="M1532" s="6"/>
      <c r="N1532" s="6" t="s">
        <v>1170</v>
      </c>
      <c r="O1532" s="6" t="str">
        <f>HYPERLINK("https://ceds.ed.gov/cedselementdetails.aspx?termid=6019")</f>
        <v>https://ceds.ed.gov/cedselementdetails.aspx?termid=6019</v>
      </c>
      <c r="P1532" s="6" t="str">
        <f>HYPERLINK("https://ceds.ed.gov/elementComment.aspx?elementName=Assessment Registration Creation Date &amp;elementID=6019", "Click here to submit comment")</f>
        <v>Click here to submit comment</v>
      </c>
    </row>
    <row r="1533" spans="1:16" ht="75">
      <c r="A1533" s="6" t="s">
        <v>6788</v>
      </c>
      <c r="B1533" s="6" t="s">
        <v>6784</v>
      </c>
      <c r="C1533" s="6" t="s">
        <v>6847</v>
      </c>
      <c r="D1533" s="6" t="s">
        <v>1204</v>
      </c>
      <c r="E1533" s="6" t="s">
        <v>1205</v>
      </c>
      <c r="F1533" s="6" t="s">
        <v>13</v>
      </c>
      <c r="G1533" s="6"/>
      <c r="H1533" s="6"/>
      <c r="I1533" s="6" t="s">
        <v>93</v>
      </c>
      <c r="J1533" s="6"/>
      <c r="K1533" s="6" t="s">
        <v>1206</v>
      </c>
      <c r="L1533" s="6" t="s">
        <v>1207</v>
      </c>
      <c r="M1533" s="6"/>
      <c r="N1533" s="6" t="s">
        <v>1208</v>
      </c>
      <c r="O1533" s="6" t="str">
        <f>HYPERLINK("https://ceds.ed.gov/cedselementdetails.aspx?termid=6061")</f>
        <v>https://ceds.ed.gov/cedselementdetails.aspx?termid=6061</v>
      </c>
      <c r="P1533" s="6" t="str">
        <f>HYPERLINK("https://ceds.ed.gov/elementComment.aspx?elementName=Assessment Registration Testing Indicator &amp;elementID=6061", "Click here to submit comment")</f>
        <v>Click here to submit comment</v>
      </c>
    </row>
    <row r="1534" spans="1:16" ht="135">
      <c r="A1534" s="6" t="s">
        <v>6788</v>
      </c>
      <c r="B1534" s="6" t="s">
        <v>6784</v>
      </c>
      <c r="C1534" s="6" t="s">
        <v>6847</v>
      </c>
      <c r="D1534" s="6" t="s">
        <v>1195</v>
      </c>
      <c r="E1534" s="6" t="s">
        <v>1196</v>
      </c>
      <c r="F1534" s="6" t="s">
        <v>13</v>
      </c>
      <c r="G1534" s="6"/>
      <c r="H1534" s="6"/>
      <c r="I1534" s="6" t="s">
        <v>73</v>
      </c>
      <c r="J1534" s="6"/>
      <c r="K1534" s="6"/>
      <c r="L1534" s="6" t="s">
        <v>1197</v>
      </c>
      <c r="M1534" s="6"/>
      <c r="N1534" s="6" t="s">
        <v>1198</v>
      </c>
      <c r="O1534" s="6" t="str">
        <f>HYPERLINK("https://ceds.ed.gov/cedselementdetails.aspx?termid=6062")</f>
        <v>https://ceds.ed.gov/cedselementdetails.aspx?termid=6062</v>
      </c>
      <c r="P1534" s="6" t="str">
        <f>HYPERLINK("https://ceds.ed.gov/elementComment.aspx?elementName=Assessment Registration Score Publish Date &amp;elementID=6062", "Click here to submit comment")</f>
        <v>Click here to submit comment</v>
      </c>
    </row>
    <row r="1535" spans="1:16" ht="409.5">
      <c r="A1535" s="6" t="s">
        <v>6788</v>
      </c>
      <c r="B1535" s="6" t="s">
        <v>6784</v>
      </c>
      <c r="C1535" s="6" t="s">
        <v>6847</v>
      </c>
      <c r="D1535" s="6" t="s">
        <v>1176</v>
      </c>
      <c r="E1535" s="6" t="s">
        <v>1177</v>
      </c>
      <c r="F1535" s="7" t="s">
        <v>6400</v>
      </c>
      <c r="G1535" s="6"/>
      <c r="H1535" s="6" t="s">
        <v>66</v>
      </c>
      <c r="I1535" s="6"/>
      <c r="J1535" s="6" t="s">
        <v>1178</v>
      </c>
      <c r="K1535" s="6" t="s">
        <v>1179</v>
      </c>
      <c r="L1535" s="6" t="s">
        <v>1180</v>
      </c>
      <c r="M1535" s="6"/>
      <c r="N1535" s="6" t="s">
        <v>1181</v>
      </c>
      <c r="O1535" s="6" t="str">
        <f>HYPERLINK("https://ceds.ed.gov/cedselementdetails.aspx?termid=6063")</f>
        <v>https://ceds.ed.gov/cedselementdetails.aspx?termid=6063</v>
      </c>
      <c r="P1535" s="6" t="str">
        <f>HYPERLINK("https://ceds.ed.gov/elementComment.aspx?elementName=Assessment Registration Grade Level To Be Assessed &amp;elementID=6063", "Click here to submit comment")</f>
        <v>Click here to submit comment</v>
      </c>
    </row>
    <row r="1536" spans="1:16" ht="45">
      <c r="A1536" s="6" t="s">
        <v>6788</v>
      </c>
      <c r="B1536" s="6" t="s">
        <v>6784</v>
      </c>
      <c r="C1536" s="6" t="s">
        <v>6847</v>
      </c>
      <c r="D1536" s="6" t="s">
        <v>403</v>
      </c>
      <c r="E1536" s="6" t="s">
        <v>404</v>
      </c>
      <c r="F1536" s="6" t="s">
        <v>13</v>
      </c>
      <c r="G1536" s="6"/>
      <c r="H1536" s="6"/>
      <c r="I1536" s="6" t="s">
        <v>100</v>
      </c>
      <c r="J1536" s="6"/>
      <c r="K1536" s="6"/>
      <c r="L1536" s="6" t="s">
        <v>405</v>
      </c>
      <c r="M1536" s="6"/>
      <c r="N1536" s="6" t="s">
        <v>406</v>
      </c>
      <c r="O1536" s="6" t="str">
        <f>HYPERLINK("https://ceds.ed.gov/cedselementdetails.aspx?termid=6116")</f>
        <v>https://ceds.ed.gov/cedselementdetails.aspx?termid=6116</v>
      </c>
      <c r="P1536" s="6" t="str">
        <f>HYPERLINK("https://ceds.ed.gov/elementComment.aspx?elementName=Assessment Accommodation Other Description &amp;elementID=6116", "Click here to submit comment")</f>
        <v>Click here to submit comment</v>
      </c>
    </row>
    <row r="1537" spans="1:16" ht="75">
      <c r="A1537" s="6" t="s">
        <v>6788</v>
      </c>
      <c r="B1537" s="6" t="s">
        <v>6784</v>
      </c>
      <c r="C1537" s="6" t="s">
        <v>6847</v>
      </c>
      <c r="D1537" s="6" t="s">
        <v>1199</v>
      </c>
      <c r="E1537" s="6" t="s">
        <v>1200</v>
      </c>
      <c r="F1537" s="6" t="s">
        <v>13</v>
      </c>
      <c r="G1537" s="6"/>
      <c r="H1537" s="6"/>
      <c r="I1537" s="6" t="s">
        <v>100</v>
      </c>
      <c r="J1537" s="6"/>
      <c r="K1537" s="6" t="s">
        <v>1201</v>
      </c>
      <c r="L1537" s="6" t="s">
        <v>1202</v>
      </c>
      <c r="M1537" s="6"/>
      <c r="N1537" s="6" t="s">
        <v>1203</v>
      </c>
      <c r="O1537" s="6" t="str">
        <f>HYPERLINK("https://ceds.ed.gov/cedselementdetails.aspx?termid=6119")</f>
        <v>https://ceds.ed.gov/cedselementdetails.aspx?termid=6119</v>
      </c>
      <c r="P1537" s="6" t="str">
        <f>HYPERLINK("https://ceds.ed.gov/elementComment.aspx?elementName=Assessment Registration Test Attempt Identifier &amp;elementID=6119", "Click here to submit comment")</f>
        <v>Click here to submit comment</v>
      </c>
    </row>
    <row r="1538" spans="1:16" ht="165">
      <c r="A1538" s="6" t="s">
        <v>6788</v>
      </c>
      <c r="B1538" s="6" t="s">
        <v>6784</v>
      </c>
      <c r="C1538" s="6" t="s">
        <v>6847</v>
      </c>
      <c r="D1538" s="6" t="s">
        <v>4975</v>
      </c>
      <c r="E1538" s="6" t="s">
        <v>4976</v>
      </c>
      <c r="F1538" s="7" t="s">
        <v>6636</v>
      </c>
      <c r="G1538" s="6"/>
      <c r="H1538" s="6"/>
      <c r="I1538" s="6"/>
      <c r="J1538" s="6"/>
      <c r="K1538" s="6"/>
      <c r="L1538" s="6" t="s">
        <v>4977</v>
      </c>
      <c r="M1538" s="6"/>
      <c r="N1538" s="6" t="s">
        <v>4978</v>
      </c>
      <c r="O1538" s="6" t="str">
        <f>HYPERLINK("https://ceds.ed.gov/cedselementdetails.aspx?termid=5228")</f>
        <v>https://ceds.ed.gov/cedselementdetails.aspx?termid=5228</v>
      </c>
      <c r="P1538" s="6" t="str">
        <f>HYPERLINK("https://ceds.ed.gov/elementComment.aspx?elementName=Reason Not Tested &amp;elementID=5228", "Click here to submit comment")</f>
        <v>Click here to submit comment</v>
      </c>
    </row>
    <row r="1539" spans="1:16" ht="240">
      <c r="A1539" s="6" t="s">
        <v>6788</v>
      </c>
      <c r="B1539" s="6" t="s">
        <v>6784</v>
      </c>
      <c r="C1539" s="6" t="s">
        <v>6786</v>
      </c>
      <c r="D1539" s="6" t="s">
        <v>586</v>
      </c>
      <c r="E1539" s="6" t="s">
        <v>587</v>
      </c>
      <c r="F1539" s="7" t="s">
        <v>6382</v>
      </c>
      <c r="G1539" s="6" t="s">
        <v>6013</v>
      </c>
      <c r="H1539" s="6"/>
      <c r="I1539" s="6"/>
      <c r="J1539" s="6"/>
      <c r="K1539" s="6"/>
      <c r="L1539" s="6" t="s">
        <v>588</v>
      </c>
      <c r="M1539" s="6"/>
      <c r="N1539" s="6" t="s">
        <v>589</v>
      </c>
      <c r="O1539" s="6" t="str">
        <f>HYPERLINK("https://ceds.ed.gov/cedselementdetails.aspx?termid=5158")</f>
        <v>https://ceds.ed.gov/cedselementdetails.aspx?termid=5158</v>
      </c>
      <c r="P1539" s="6" t="str">
        <f>HYPERLINK("https://ceds.ed.gov/elementComment.aspx?elementName=Assessment Identification System &amp;elementID=5158", "Click here to submit comment")</f>
        <v>Click here to submit comment</v>
      </c>
    </row>
    <row r="1540" spans="1:16" ht="45">
      <c r="A1540" s="6" t="s">
        <v>6788</v>
      </c>
      <c r="B1540" s="6" t="s">
        <v>6784</v>
      </c>
      <c r="C1540" s="6" t="s">
        <v>6786</v>
      </c>
      <c r="D1540" s="6" t="s">
        <v>429</v>
      </c>
      <c r="E1540" s="6" t="s">
        <v>430</v>
      </c>
      <c r="F1540" s="6" t="s">
        <v>13</v>
      </c>
      <c r="G1540" s="6"/>
      <c r="H1540" s="6"/>
      <c r="I1540" s="6" t="s">
        <v>100</v>
      </c>
      <c r="J1540" s="6"/>
      <c r="K1540" s="6"/>
      <c r="L1540" s="6" t="s">
        <v>431</v>
      </c>
      <c r="M1540" s="6"/>
      <c r="N1540" s="6" t="s">
        <v>432</v>
      </c>
      <c r="O1540" s="6" t="str">
        <f>HYPERLINK("https://ceds.ed.gov/cedselementdetails.aspx?termid=5978")</f>
        <v>https://ceds.ed.gov/cedselementdetails.aspx?termid=5978</v>
      </c>
      <c r="P1540" s="6" t="str">
        <f>HYPERLINK("https://ceds.ed.gov/elementComment.aspx?elementName=Assessment Administration Name &amp;elementID=5978", "Click here to submit comment")</f>
        <v>Click here to submit comment</v>
      </c>
    </row>
    <row r="1541" spans="1:16" ht="60">
      <c r="A1541" s="6" t="s">
        <v>6788</v>
      </c>
      <c r="B1541" s="6" t="s">
        <v>6784</v>
      </c>
      <c r="C1541" s="6" t="s">
        <v>6786</v>
      </c>
      <c r="D1541" s="6" t="s">
        <v>433</v>
      </c>
      <c r="E1541" s="6" t="s">
        <v>434</v>
      </c>
      <c r="F1541" s="6" t="s">
        <v>13</v>
      </c>
      <c r="G1541" s="6"/>
      <c r="H1541" s="6"/>
      <c r="I1541" s="6" t="s">
        <v>106</v>
      </c>
      <c r="J1541" s="6"/>
      <c r="K1541" s="6"/>
      <c r="L1541" s="6" t="s">
        <v>435</v>
      </c>
      <c r="M1541" s="6"/>
      <c r="N1541" s="6" t="s">
        <v>436</v>
      </c>
      <c r="O1541" s="6" t="str">
        <f>HYPERLINK("https://ceds.ed.gov/cedselementdetails.aspx?termid=5967")</f>
        <v>https://ceds.ed.gov/cedselementdetails.aspx?termid=5967</v>
      </c>
      <c r="P1541" s="6" t="str">
        <f>HYPERLINK("https://ceds.ed.gov/elementComment.aspx?elementName=Assessment Administration Organization Name &amp;elementID=5967", "Click here to submit comment")</f>
        <v>Click here to submit comment</v>
      </c>
    </row>
    <row r="1542" spans="1:16" ht="45">
      <c r="A1542" s="6" t="s">
        <v>6788</v>
      </c>
      <c r="B1542" s="6" t="s">
        <v>6784</v>
      </c>
      <c r="C1542" s="6" t="s">
        <v>6786</v>
      </c>
      <c r="D1542" s="6" t="s">
        <v>416</v>
      </c>
      <c r="E1542" s="6" t="s">
        <v>417</v>
      </c>
      <c r="F1542" s="6" t="s">
        <v>13</v>
      </c>
      <c r="G1542" s="6"/>
      <c r="H1542" s="6"/>
      <c r="I1542" s="6" t="s">
        <v>100</v>
      </c>
      <c r="J1542" s="6"/>
      <c r="K1542" s="6"/>
      <c r="L1542" s="6" t="s">
        <v>418</v>
      </c>
      <c r="M1542" s="6"/>
      <c r="N1542" s="6" t="s">
        <v>419</v>
      </c>
      <c r="O1542" s="6" t="str">
        <f>HYPERLINK("https://ceds.ed.gov/cedselementdetails.aspx?termid=5962")</f>
        <v>https://ceds.ed.gov/cedselementdetails.aspx?termid=5962</v>
      </c>
      <c r="P1542" s="6" t="str">
        <f>HYPERLINK("https://ceds.ed.gov/elementComment.aspx?elementName=Assessment Administration Code &amp;elementID=5962", "Click here to submit comment")</f>
        <v>Click here to submit comment</v>
      </c>
    </row>
    <row r="1543" spans="1:16" ht="45">
      <c r="A1543" s="6" t="s">
        <v>6788</v>
      </c>
      <c r="B1543" s="6" t="s">
        <v>6784</v>
      </c>
      <c r="C1543" s="6" t="s">
        <v>6786</v>
      </c>
      <c r="D1543" s="6" t="s">
        <v>437</v>
      </c>
      <c r="E1543" s="6" t="s">
        <v>438</v>
      </c>
      <c r="F1543" s="6" t="s">
        <v>13</v>
      </c>
      <c r="G1543" s="6"/>
      <c r="H1543" s="6"/>
      <c r="I1543" s="6" t="s">
        <v>73</v>
      </c>
      <c r="J1543" s="6"/>
      <c r="K1543" s="6"/>
      <c r="L1543" s="6" t="s">
        <v>439</v>
      </c>
      <c r="M1543" s="6"/>
      <c r="N1543" s="6" t="s">
        <v>440</v>
      </c>
      <c r="O1543" s="6" t="str">
        <f>HYPERLINK("https://ceds.ed.gov/cedselementdetails.aspx?termid=5963")</f>
        <v>https://ceds.ed.gov/cedselementdetails.aspx?termid=5963</v>
      </c>
      <c r="P1543" s="6" t="str">
        <f>HYPERLINK("https://ceds.ed.gov/elementComment.aspx?elementName=Assessment Administration Start Date &amp;elementID=5963", "Click here to submit comment")</f>
        <v>Click here to submit comment</v>
      </c>
    </row>
    <row r="1544" spans="1:16" ht="45">
      <c r="A1544" s="6" t="s">
        <v>6788</v>
      </c>
      <c r="B1544" s="6" t="s">
        <v>6784</v>
      </c>
      <c r="C1544" s="6" t="s">
        <v>6786</v>
      </c>
      <c r="D1544" s="6" t="s">
        <v>441</v>
      </c>
      <c r="E1544" s="6" t="s">
        <v>442</v>
      </c>
      <c r="F1544" s="6" t="s">
        <v>13</v>
      </c>
      <c r="G1544" s="6"/>
      <c r="H1544" s="6"/>
      <c r="I1544" s="6" t="s">
        <v>426</v>
      </c>
      <c r="J1544" s="6"/>
      <c r="K1544" s="6"/>
      <c r="L1544" s="6" t="s">
        <v>443</v>
      </c>
      <c r="M1544" s="6"/>
      <c r="N1544" s="6" t="s">
        <v>444</v>
      </c>
      <c r="O1544" s="6" t="str">
        <f>HYPERLINK("https://ceds.ed.gov/cedselementdetails.aspx?termid=5964")</f>
        <v>https://ceds.ed.gov/cedselementdetails.aspx?termid=5964</v>
      </c>
      <c r="P1544" s="6" t="str">
        <f>HYPERLINK("https://ceds.ed.gov/elementComment.aspx?elementName=Assessment Administration Start Time &amp;elementID=5964", "Click here to submit comment")</f>
        <v>Click here to submit comment</v>
      </c>
    </row>
    <row r="1545" spans="1:16" ht="45">
      <c r="A1545" s="6" t="s">
        <v>6788</v>
      </c>
      <c r="B1545" s="6" t="s">
        <v>6784</v>
      </c>
      <c r="C1545" s="6" t="s">
        <v>6786</v>
      </c>
      <c r="D1545" s="6" t="s">
        <v>420</v>
      </c>
      <c r="E1545" s="6" t="s">
        <v>421</v>
      </c>
      <c r="F1545" s="6" t="s">
        <v>13</v>
      </c>
      <c r="G1545" s="6"/>
      <c r="H1545" s="6"/>
      <c r="I1545" s="6" t="s">
        <v>73</v>
      </c>
      <c r="J1545" s="6"/>
      <c r="K1545" s="6"/>
      <c r="L1545" s="6" t="s">
        <v>422</v>
      </c>
      <c r="M1545" s="6"/>
      <c r="N1545" s="6" t="s">
        <v>423</v>
      </c>
      <c r="O1545" s="6" t="str">
        <f>HYPERLINK("https://ceds.ed.gov/cedselementdetails.aspx?termid=5965")</f>
        <v>https://ceds.ed.gov/cedselementdetails.aspx?termid=5965</v>
      </c>
      <c r="P1545" s="6" t="str">
        <f>HYPERLINK("https://ceds.ed.gov/elementComment.aspx?elementName=Assessment Administration Finish Date &amp;elementID=5965", "Click here to submit comment")</f>
        <v>Click here to submit comment</v>
      </c>
    </row>
    <row r="1546" spans="1:16" ht="45">
      <c r="A1546" s="6" t="s">
        <v>6788</v>
      </c>
      <c r="B1546" s="6" t="s">
        <v>6784</v>
      </c>
      <c r="C1546" s="6" t="s">
        <v>6786</v>
      </c>
      <c r="D1546" s="6" t="s">
        <v>424</v>
      </c>
      <c r="E1546" s="6" t="s">
        <v>425</v>
      </c>
      <c r="F1546" s="6" t="s">
        <v>13</v>
      </c>
      <c r="G1546" s="6"/>
      <c r="H1546" s="6"/>
      <c r="I1546" s="6" t="s">
        <v>426</v>
      </c>
      <c r="J1546" s="6"/>
      <c r="K1546" s="6"/>
      <c r="L1546" s="6" t="s">
        <v>427</v>
      </c>
      <c r="M1546" s="6"/>
      <c r="N1546" s="6" t="s">
        <v>428</v>
      </c>
      <c r="O1546" s="6" t="str">
        <f>HYPERLINK("https://ceds.ed.gov/cedselementdetails.aspx?termid=5966")</f>
        <v>https://ceds.ed.gov/cedselementdetails.aspx?termid=5966</v>
      </c>
      <c r="P1546" s="6" t="str">
        <f>HYPERLINK("https://ceds.ed.gov/elementComment.aspx?elementName=Assessment Administration Finish Time &amp;elementID=5966", "Click here to submit comment")</f>
        <v>Click here to submit comment</v>
      </c>
    </row>
    <row r="1547" spans="1:16" ht="45">
      <c r="A1547" s="6" t="s">
        <v>6788</v>
      </c>
      <c r="B1547" s="6" t="s">
        <v>6784</v>
      </c>
      <c r="C1547" s="6" t="s">
        <v>6786</v>
      </c>
      <c r="D1547" s="6" t="s">
        <v>1224</v>
      </c>
      <c r="E1547" s="6" t="s">
        <v>1225</v>
      </c>
      <c r="F1547" s="6" t="s">
        <v>5963</v>
      </c>
      <c r="G1547" s="6" t="s">
        <v>5992</v>
      </c>
      <c r="H1547" s="6" t="s">
        <v>3</v>
      </c>
      <c r="I1547" s="6"/>
      <c r="J1547" s="6"/>
      <c r="K1547" s="6"/>
      <c r="L1547" s="6" t="s">
        <v>1226</v>
      </c>
      <c r="M1547" s="6"/>
      <c r="N1547" s="6" t="s">
        <v>1227</v>
      </c>
      <c r="O1547" s="6" t="str">
        <f>HYPERLINK("https://ceds.ed.gov/cedselementdetails.aspx?termid=5375")</f>
        <v>https://ceds.ed.gov/cedselementdetails.aspx?termid=5375</v>
      </c>
      <c r="P1547" s="6" t="str">
        <f>HYPERLINK("https://ceds.ed.gov/elementComment.aspx?elementName=Assessment Secure Indicator &amp;elementID=5375", "Click here to submit comment")</f>
        <v>Click here to submit comment</v>
      </c>
    </row>
    <row r="1548" spans="1:16" ht="285">
      <c r="A1548" s="6" t="s">
        <v>6788</v>
      </c>
      <c r="B1548" s="6" t="s">
        <v>6784</v>
      </c>
      <c r="C1548" s="6" t="s">
        <v>6786</v>
      </c>
      <c r="D1548" s="6" t="s">
        <v>4017</v>
      </c>
      <c r="E1548" s="6" t="s">
        <v>4018</v>
      </c>
      <c r="F1548" s="7" t="s">
        <v>6577</v>
      </c>
      <c r="G1548" s="6" t="s">
        <v>6252</v>
      </c>
      <c r="H1548" s="6"/>
      <c r="I1548" s="6"/>
      <c r="J1548" s="6"/>
      <c r="K1548" s="6"/>
      <c r="L1548" s="6" t="s">
        <v>4019</v>
      </c>
      <c r="M1548" s="6" t="s">
        <v>4020</v>
      </c>
      <c r="N1548" s="6" t="s">
        <v>4021</v>
      </c>
      <c r="O1548" s="6" t="str">
        <f>HYPERLINK("https://ceds.ed.gov/cedselementdetails.aspx?termid=5159")</f>
        <v>https://ceds.ed.gov/cedselementdetails.aspx?termid=5159</v>
      </c>
      <c r="P1548" s="6" t="str">
        <f>HYPERLINK("https://ceds.ed.gov/elementComment.aspx?elementName=Local Education Agency Identification System &amp;elementID=5159", "Click here to submit comment")</f>
        <v>Click here to submit comment</v>
      </c>
    </row>
    <row r="1549" spans="1:16" ht="120">
      <c r="A1549" s="6" t="s">
        <v>6788</v>
      </c>
      <c r="B1549" s="6" t="s">
        <v>6784</v>
      </c>
      <c r="C1549" s="6" t="s">
        <v>6786</v>
      </c>
      <c r="D1549" s="6" t="s">
        <v>4022</v>
      </c>
      <c r="E1549" s="6" t="s">
        <v>4023</v>
      </c>
      <c r="F1549" s="6" t="s">
        <v>13</v>
      </c>
      <c r="G1549" s="6" t="s">
        <v>6252</v>
      </c>
      <c r="H1549" s="6"/>
      <c r="I1549" s="6" t="s">
        <v>100</v>
      </c>
      <c r="J1549" s="6"/>
      <c r="K1549" s="6"/>
      <c r="L1549" s="6" t="s">
        <v>4024</v>
      </c>
      <c r="M1549" s="6" t="s">
        <v>4025</v>
      </c>
      <c r="N1549" s="6" t="s">
        <v>4026</v>
      </c>
      <c r="O1549" s="6" t="str">
        <f>HYPERLINK("https://ceds.ed.gov/cedselementdetails.aspx?termid=5153")</f>
        <v>https://ceds.ed.gov/cedselementdetails.aspx?termid=5153</v>
      </c>
      <c r="P1549" s="6" t="str">
        <f>HYPERLINK("https://ceds.ed.gov/elementComment.aspx?elementName=Local Education Agency Identifier &amp;elementID=5153", "Click here to submit comment")</f>
        <v>Click here to submit comment</v>
      </c>
    </row>
    <row r="1550" spans="1:16" ht="360">
      <c r="A1550" s="6" t="s">
        <v>6788</v>
      </c>
      <c r="B1550" s="6" t="s">
        <v>6784</v>
      </c>
      <c r="C1550" s="6" t="s">
        <v>6786</v>
      </c>
      <c r="D1550" s="6" t="s">
        <v>5221</v>
      </c>
      <c r="E1550" s="6" t="s">
        <v>265</v>
      </c>
      <c r="F1550" s="7" t="s">
        <v>6645</v>
      </c>
      <c r="G1550" s="6" t="s">
        <v>6308</v>
      </c>
      <c r="H1550" s="6"/>
      <c r="I1550" s="6"/>
      <c r="J1550" s="6"/>
      <c r="K1550" s="6"/>
      <c r="L1550" s="6" t="s">
        <v>5222</v>
      </c>
      <c r="M1550" s="6"/>
      <c r="N1550" s="6" t="s">
        <v>5223</v>
      </c>
      <c r="O1550" s="6" t="str">
        <f>HYPERLINK("https://ceds.ed.gov/cedselementdetails.aspx?termid=5161")</f>
        <v>https://ceds.ed.gov/cedselementdetails.aspx?termid=5161</v>
      </c>
      <c r="P1550" s="6" t="str">
        <f>HYPERLINK("https://ceds.ed.gov/elementComment.aspx?elementName=School Identification System &amp;elementID=5161", "Click here to submit comment")</f>
        <v>Click here to submit comment</v>
      </c>
    </row>
    <row r="1551" spans="1:16" ht="165">
      <c r="A1551" s="6" t="s">
        <v>6788</v>
      </c>
      <c r="B1551" s="6" t="s">
        <v>6784</v>
      </c>
      <c r="C1551" s="6" t="s">
        <v>6786</v>
      </c>
      <c r="D1551" s="6" t="s">
        <v>5224</v>
      </c>
      <c r="E1551" s="6" t="s">
        <v>269</v>
      </c>
      <c r="F1551" s="6" t="s">
        <v>13</v>
      </c>
      <c r="G1551" s="6" t="s">
        <v>6308</v>
      </c>
      <c r="H1551" s="6"/>
      <c r="I1551" s="6" t="s">
        <v>100</v>
      </c>
      <c r="J1551" s="6"/>
      <c r="K1551" s="6"/>
      <c r="L1551" s="6" t="s">
        <v>5225</v>
      </c>
      <c r="M1551" s="6"/>
      <c r="N1551" s="6" t="s">
        <v>5226</v>
      </c>
      <c r="O1551" s="6" t="str">
        <f>HYPERLINK("https://ceds.ed.gov/cedselementdetails.aspx?termid=5155")</f>
        <v>https://ceds.ed.gov/cedselementdetails.aspx?termid=5155</v>
      </c>
      <c r="P1551" s="6" t="str">
        <f>HYPERLINK("https://ceds.ed.gov/elementComment.aspx?elementName=School Identifier &amp;elementID=5155", "Click here to submit comment")</f>
        <v>Click here to submit comment</v>
      </c>
    </row>
    <row r="1552" spans="1:16" ht="75">
      <c r="A1552" s="6" t="s">
        <v>6788</v>
      </c>
      <c r="B1552" s="6" t="s">
        <v>6784</v>
      </c>
      <c r="C1552" s="6" t="s">
        <v>6786</v>
      </c>
      <c r="D1552" s="6" t="s">
        <v>411</v>
      </c>
      <c r="E1552" s="6" t="s">
        <v>412</v>
      </c>
      <c r="F1552" s="6" t="s">
        <v>13</v>
      </c>
      <c r="G1552" s="6"/>
      <c r="H1552" s="6"/>
      <c r="I1552" s="6" t="s">
        <v>106</v>
      </c>
      <c r="J1552" s="6"/>
      <c r="K1552" s="6" t="s">
        <v>413</v>
      </c>
      <c r="L1552" s="6" t="s">
        <v>414</v>
      </c>
      <c r="M1552" s="6"/>
      <c r="N1552" s="6" t="s">
        <v>415</v>
      </c>
      <c r="O1552" s="6" t="str">
        <f>HYPERLINK("https://ceds.ed.gov/cedselementdetails.aspx?termid=5968")</f>
        <v>https://ceds.ed.gov/cedselementdetails.aspx?termid=5968</v>
      </c>
      <c r="P1552" s="6" t="str">
        <f>HYPERLINK("https://ceds.ed.gov/elementComment.aspx?elementName=Assessment Administration Assessment Family &amp;elementID=5968", "Click here to submit comment")</f>
        <v>Click here to submit comment</v>
      </c>
    </row>
    <row r="1553" spans="1:16" ht="45">
      <c r="A1553" s="6" t="s">
        <v>6788</v>
      </c>
      <c r="B1553" s="6" t="s">
        <v>6784</v>
      </c>
      <c r="C1553" s="6" t="s">
        <v>6848</v>
      </c>
      <c r="D1553" s="6" t="s">
        <v>1000</v>
      </c>
      <c r="E1553" s="6" t="s">
        <v>1001</v>
      </c>
      <c r="F1553" s="5" t="s">
        <v>939</v>
      </c>
      <c r="G1553" s="6"/>
      <c r="H1553" s="6"/>
      <c r="I1553" s="6"/>
      <c r="J1553" s="6"/>
      <c r="K1553" s="6"/>
      <c r="L1553" s="6" t="s">
        <v>1002</v>
      </c>
      <c r="M1553" s="6"/>
      <c r="N1553" s="6" t="s">
        <v>1003</v>
      </c>
      <c r="O1553" s="6" t="str">
        <f>HYPERLINK("https://ceds.ed.gov/cedselementdetails.aspx?termid=6025")</f>
        <v>https://ceds.ed.gov/cedselementdetails.aspx?termid=6025</v>
      </c>
      <c r="P1553" s="6" t="str">
        <f>HYPERLINK("https://ceds.ed.gov/elementComment.aspx?elementName=Assessment Need Language Type &amp;elementID=6025", "Click here to submit comment")</f>
        <v>Click here to submit comment</v>
      </c>
    </row>
    <row r="1554" spans="1:16" ht="30">
      <c r="A1554" s="6" t="s">
        <v>6788</v>
      </c>
      <c r="B1554" s="6" t="s">
        <v>6784</v>
      </c>
      <c r="C1554" s="6" t="s">
        <v>6848</v>
      </c>
      <c r="D1554" s="6" t="s">
        <v>1070</v>
      </c>
      <c r="E1554" s="6" t="s">
        <v>1071</v>
      </c>
      <c r="F1554" s="6" t="s">
        <v>13</v>
      </c>
      <c r="G1554" s="6"/>
      <c r="H1554" s="6"/>
      <c r="I1554" s="6" t="s">
        <v>319</v>
      </c>
      <c r="J1554" s="6"/>
      <c r="K1554" s="6"/>
      <c r="L1554" s="6" t="s">
        <v>1072</v>
      </c>
      <c r="M1554" s="6"/>
      <c r="N1554" s="6" t="s">
        <v>1073</v>
      </c>
      <c r="O1554" s="6" t="str">
        <f>HYPERLINK("https://ceds.ed.gov/cedselementdetails.aspx?termid=6101")</f>
        <v>https://ceds.ed.gov/cedselementdetails.aspx?termid=6101</v>
      </c>
      <c r="P1554" s="6" t="str">
        <f>HYPERLINK("https://ceds.ed.gov/elementComment.aspx?elementName=Assessment Need Type &amp;elementID=6101", "Click here to submit comment")</f>
        <v>Click here to submit comment</v>
      </c>
    </row>
    <row r="1555" spans="1:16" ht="60">
      <c r="A1555" s="6" t="s">
        <v>6788</v>
      </c>
      <c r="B1555" s="6" t="s">
        <v>6784</v>
      </c>
      <c r="C1555" s="6" t="s">
        <v>6848</v>
      </c>
      <c r="D1555" s="6" t="s">
        <v>1142</v>
      </c>
      <c r="E1555" s="6" t="s">
        <v>1143</v>
      </c>
      <c r="F1555" s="6" t="s">
        <v>5963</v>
      </c>
      <c r="G1555" s="6"/>
      <c r="H1555" s="6"/>
      <c r="I1555" s="6"/>
      <c r="J1555" s="6"/>
      <c r="K1555" s="6" t="s">
        <v>1144</v>
      </c>
      <c r="L1555" s="6" t="s">
        <v>1145</v>
      </c>
      <c r="M1555" s="6"/>
      <c r="N1555" s="6" t="s">
        <v>1146</v>
      </c>
      <c r="O1555" s="6" t="str">
        <f>HYPERLINK("https://ceds.ed.gov/cedselementdetails.aspx?termid=6008")</f>
        <v>https://ceds.ed.gov/cedselementdetails.aspx?termid=6008</v>
      </c>
      <c r="P1555" s="6" t="str">
        <f>HYPERLINK("https://ceds.ed.gov/elementComment.aspx?elementName=Assessment Personal Needs Profile Activate By Default &amp;elementID=6008", "Click here to submit comment")</f>
        <v>Click here to submit comment</v>
      </c>
    </row>
    <row r="1556" spans="1:16" ht="60">
      <c r="A1556" s="6" t="s">
        <v>6788</v>
      </c>
      <c r="B1556" s="6" t="s">
        <v>6784</v>
      </c>
      <c r="C1556" s="6" t="s">
        <v>6848</v>
      </c>
      <c r="D1556" s="6" t="s">
        <v>1147</v>
      </c>
      <c r="E1556" s="6" t="s">
        <v>1148</v>
      </c>
      <c r="F1556" s="6" t="s">
        <v>5963</v>
      </c>
      <c r="G1556" s="6"/>
      <c r="H1556" s="6"/>
      <c r="I1556" s="6"/>
      <c r="J1556" s="6"/>
      <c r="K1556" s="6" t="s">
        <v>1144</v>
      </c>
      <c r="L1556" s="6" t="s">
        <v>1149</v>
      </c>
      <c r="M1556" s="6"/>
      <c r="N1556" s="6" t="s">
        <v>1150</v>
      </c>
      <c r="O1556" s="6" t="str">
        <f>HYPERLINK("https://ceds.ed.gov/cedselementdetails.aspx?termid=6007")</f>
        <v>https://ceds.ed.gov/cedselementdetails.aspx?termid=6007</v>
      </c>
      <c r="P1556" s="6" t="str">
        <f>HYPERLINK("https://ceds.ed.gov/elementComment.aspx?elementName=Assessment Personal Needs Profile Assigned Support &amp;elementID=6007", "Click here to submit comment")</f>
        <v>Click here to submit comment</v>
      </c>
    </row>
    <row r="1557" spans="1:16" ht="90">
      <c r="A1557" s="6" t="s">
        <v>6788</v>
      </c>
      <c r="B1557" s="6" t="s">
        <v>6784</v>
      </c>
      <c r="C1557" s="6" t="s">
        <v>6849</v>
      </c>
      <c r="D1557" s="6" t="s">
        <v>946</v>
      </c>
      <c r="E1557" s="6" t="s">
        <v>947</v>
      </c>
      <c r="F1557" s="6" t="s">
        <v>6031</v>
      </c>
      <c r="G1557" s="6"/>
      <c r="H1557" s="6"/>
      <c r="I1557" s="6"/>
      <c r="J1557" s="6"/>
      <c r="K1557" s="6"/>
      <c r="L1557" s="6" t="s">
        <v>948</v>
      </c>
      <c r="M1557" s="6"/>
      <c r="N1557" s="6" t="s">
        <v>949</v>
      </c>
      <c r="O1557" s="6" t="str">
        <f>HYPERLINK("https://ceds.ed.gov/cedselementdetails.aspx?termid=6045")</f>
        <v>https://ceds.ed.gov/cedselementdetails.aspx?termid=6045</v>
      </c>
      <c r="P1557" s="6" t="str">
        <f>HYPERLINK("https://ceds.ed.gov/elementComment.aspx?elementName=Assessment Need Alternative Representation Type &amp;elementID=6045", "Click here to submit comment")</f>
        <v>Click here to submit comment</v>
      </c>
    </row>
    <row r="1558" spans="1:16" ht="75">
      <c r="A1558" s="6" t="s">
        <v>6788</v>
      </c>
      <c r="B1558" s="6" t="s">
        <v>6784</v>
      </c>
      <c r="C1558" s="6" t="s">
        <v>6849</v>
      </c>
      <c r="D1558" s="6" t="s">
        <v>972</v>
      </c>
      <c r="E1558" s="6" t="s">
        <v>973</v>
      </c>
      <c r="F1558" s="6" t="s">
        <v>5963</v>
      </c>
      <c r="G1558" s="6"/>
      <c r="H1558" s="6"/>
      <c r="I1558" s="6"/>
      <c r="J1558" s="6"/>
      <c r="K1558" s="6"/>
      <c r="L1558" s="6" t="s">
        <v>974</v>
      </c>
      <c r="M1558" s="6"/>
      <c r="N1558" s="6" t="s">
        <v>975</v>
      </c>
      <c r="O1558" s="6" t="str">
        <f>HYPERLINK("https://ceds.ed.gov/cedselementdetails.aspx?termid=6050")</f>
        <v>https://ceds.ed.gov/cedselementdetails.aspx?termid=6050</v>
      </c>
      <c r="P1558" s="6" t="str">
        <f>HYPERLINK("https://ceds.ed.gov/elementComment.aspx?elementName=Assessment Need Directions Only &amp;elementID=6050", "Click here to submit comment")</f>
        <v>Click here to submit comment</v>
      </c>
    </row>
    <row r="1559" spans="1:16" ht="90">
      <c r="A1559" s="6" t="s">
        <v>6788</v>
      </c>
      <c r="B1559" s="6" t="s">
        <v>6784</v>
      </c>
      <c r="C1559" s="6" t="s">
        <v>6849</v>
      </c>
      <c r="D1559" s="6" t="s">
        <v>980</v>
      </c>
      <c r="E1559" s="6" t="s">
        <v>981</v>
      </c>
      <c r="F1559" s="7" t="s">
        <v>6391</v>
      </c>
      <c r="G1559" s="6"/>
      <c r="H1559" s="6"/>
      <c r="I1559" s="6"/>
      <c r="J1559" s="6"/>
      <c r="K1559" s="6"/>
      <c r="L1559" s="6" t="s">
        <v>982</v>
      </c>
      <c r="M1559" s="6"/>
      <c r="N1559" s="6" t="s">
        <v>983</v>
      </c>
      <c r="O1559" s="6" t="str">
        <f>HYPERLINK("https://ceds.ed.gov/cedselementdetails.aspx?termid=6026")</f>
        <v>https://ceds.ed.gov/cedselementdetails.aspx?termid=6026</v>
      </c>
      <c r="P1559" s="6" t="str">
        <f>HYPERLINK("https://ceds.ed.gov/elementComment.aspx?elementName=Assessment Need Hazard Type &amp;elementID=6026", "Click here to submit comment")</f>
        <v>Click here to submit comment</v>
      </c>
    </row>
    <row r="1560" spans="1:16" ht="60">
      <c r="A1560" s="6" t="s">
        <v>6788</v>
      </c>
      <c r="B1560" s="6" t="s">
        <v>6784</v>
      </c>
      <c r="C1560" s="6" t="s">
        <v>6849</v>
      </c>
      <c r="D1560" s="6" t="s">
        <v>992</v>
      </c>
      <c r="E1560" s="6" t="s">
        <v>993</v>
      </c>
      <c r="F1560" s="5" t="s">
        <v>939</v>
      </c>
      <c r="G1560" s="6"/>
      <c r="H1560" s="6"/>
      <c r="I1560" s="6"/>
      <c r="J1560" s="6"/>
      <c r="K1560" s="6"/>
      <c r="L1560" s="6" t="s">
        <v>994</v>
      </c>
      <c r="M1560" s="6"/>
      <c r="N1560" s="6" t="s">
        <v>995</v>
      </c>
      <c r="O1560" s="6" t="str">
        <f>HYPERLINK("https://ceds.ed.gov/cedselementdetails.aspx?termid=6042")</f>
        <v>https://ceds.ed.gov/cedselementdetails.aspx?termid=6042</v>
      </c>
      <c r="P1560" s="6" t="str">
        <f>HYPERLINK("https://ceds.ed.gov/elementComment.aspx?elementName=Assessment Need Item Translation Display Language Type &amp;elementID=6042", "Click here to submit comment")</f>
        <v>Click here to submit comment</v>
      </c>
    </row>
    <row r="1561" spans="1:16" ht="60">
      <c r="A1561" s="6" t="s">
        <v>6788</v>
      </c>
      <c r="B1561" s="6" t="s">
        <v>6784</v>
      </c>
      <c r="C1561" s="6" t="s">
        <v>6849</v>
      </c>
      <c r="D1561" s="6" t="s">
        <v>996</v>
      </c>
      <c r="E1561" s="6" t="s">
        <v>997</v>
      </c>
      <c r="F1561" s="5" t="s">
        <v>939</v>
      </c>
      <c r="G1561" s="6"/>
      <c r="H1561" s="6"/>
      <c r="I1561" s="6"/>
      <c r="J1561" s="6"/>
      <c r="K1561" s="6"/>
      <c r="L1561" s="6" t="s">
        <v>998</v>
      </c>
      <c r="M1561" s="6"/>
      <c r="N1561" s="6" t="s">
        <v>999</v>
      </c>
      <c r="O1561" s="6" t="str">
        <f>HYPERLINK("https://ceds.ed.gov/cedselementdetails.aspx?termid=6043")</f>
        <v>https://ceds.ed.gov/cedselementdetails.aspx?termid=6043</v>
      </c>
      <c r="P1561" s="6" t="str">
        <f>HYPERLINK("https://ceds.ed.gov/elementComment.aspx?elementName=Assessment Need Keyword Translation Language Type &amp;elementID=6043", "Click here to submit comment")</f>
        <v>Click here to submit comment</v>
      </c>
    </row>
    <row r="1562" spans="1:16" ht="225">
      <c r="A1562" s="6" t="s">
        <v>6788</v>
      </c>
      <c r="B1562" s="6" t="s">
        <v>6784</v>
      </c>
      <c r="C1562" s="6" t="s">
        <v>6849</v>
      </c>
      <c r="D1562" s="6" t="s">
        <v>1057</v>
      </c>
      <c r="E1562" s="6" t="s">
        <v>1058</v>
      </c>
      <c r="F1562" s="7" t="s">
        <v>6395</v>
      </c>
      <c r="G1562" s="6"/>
      <c r="H1562" s="6"/>
      <c r="I1562" s="6"/>
      <c r="J1562" s="6"/>
      <c r="K1562" s="6"/>
      <c r="L1562" s="6" t="s">
        <v>1059</v>
      </c>
      <c r="M1562" s="6"/>
      <c r="N1562" s="6" t="s">
        <v>1060</v>
      </c>
      <c r="O1562" s="6" t="str">
        <f>HYPERLINK("https://ceds.ed.gov/cedselementdetails.aspx?termid=6027")</f>
        <v>https://ceds.ed.gov/cedselementdetails.aspx?termid=6027</v>
      </c>
      <c r="P1562" s="6" t="str">
        <f>HYPERLINK("https://ceds.ed.gov/elementComment.aspx?elementName=Assessment Need Support Tool Type &amp;elementID=6027", "Click here to submit comment")</f>
        <v>Click here to submit comment</v>
      </c>
    </row>
    <row r="1563" spans="1:16" ht="105">
      <c r="A1563" s="6" t="s">
        <v>6788</v>
      </c>
      <c r="B1563" s="6" t="s">
        <v>6784</v>
      </c>
      <c r="C1563" s="6" t="s">
        <v>6849</v>
      </c>
      <c r="D1563" s="6" t="s">
        <v>1078</v>
      </c>
      <c r="E1563" s="6" t="s">
        <v>1079</v>
      </c>
      <c r="F1563" s="7" t="s">
        <v>6397</v>
      </c>
      <c r="G1563" s="6"/>
      <c r="H1563" s="6"/>
      <c r="I1563" s="6"/>
      <c r="J1563" s="6"/>
      <c r="K1563" s="6"/>
      <c r="L1563" s="6" t="s">
        <v>1080</v>
      </c>
      <c r="M1563" s="6"/>
      <c r="N1563" s="6" t="s">
        <v>1081</v>
      </c>
      <c r="O1563" s="6" t="str">
        <f>HYPERLINK("https://ceds.ed.gov/cedselementdetails.aspx?termid=6049")</f>
        <v>https://ceds.ed.gov/cedselementdetails.aspx?termid=6049</v>
      </c>
      <c r="P1563" s="6" t="str">
        <f>HYPERLINK("https://ceds.ed.gov/elementComment.aspx?elementName=Assessment Need User Spoken Preference Type &amp;elementID=6049", "Click here to submit comment")</f>
        <v>Click here to submit comment</v>
      </c>
    </row>
    <row r="1564" spans="1:16" ht="105">
      <c r="A1564" s="6" t="s">
        <v>6788</v>
      </c>
      <c r="B1564" s="6" t="s">
        <v>6784</v>
      </c>
      <c r="C1564" s="6" t="s">
        <v>6850</v>
      </c>
      <c r="D1564" s="6" t="s">
        <v>1065</v>
      </c>
      <c r="E1564" s="6" t="s">
        <v>1066</v>
      </c>
      <c r="F1564" s="6" t="s">
        <v>13</v>
      </c>
      <c r="G1564" s="6"/>
      <c r="H1564" s="6"/>
      <c r="I1564" s="6" t="s">
        <v>1067</v>
      </c>
      <c r="J1564" s="6"/>
      <c r="K1564" s="6"/>
      <c r="L1564" s="6" t="s">
        <v>1068</v>
      </c>
      <c r="M1564" s="6"/>
      <c r="N1564" s="6" t="s">
        <v>1069</v>
      </c>
      <c r="O1564" s="6" t="str">
        <f>HYPERLINK("https://ceds.ed.gov/cedselementdetails.aspx?termid=6055")</f>
        <v>https://ceds.ed.gov/cedselementdetails.aspx?termid=6055</v>
      </c>
      <c r="P1564" s="6" t="str">
        <f>HYPERLINK("https://ceds.ed.gov/elementComment.aspx?elementName=Assessment Need Time Multiplier &amp;elementID=6055", "Click here to submit comment")</f>
        <v>Click here to submit comment</v>
      </c>
    </row>
    <row r="1565" spans="1:16" ht="60">
      <c r="A1565" s="6" t="s">
        <v>6788</v>
      </c>
      <c r="B1565" s="6" t="s">
        <v>6784</v>
      </c>
      <c r="C1565" s="6" t="s">
        <v>6851</v>
      </c>
      <c r="D1565" s="6" t="s">
        <v>955</v>
      </c>
      <c r="E1565" s="6" t="s">
        <v>956</v>
      </c>
      <c r="F1565" s="6" t="s">
        <v>13</v>
      </c>
      <c r="G1565" s="6"/>
      <c r="H1565" s="6"/>
      <c r="I1565" s="6" t="s">
        <v>957</v>
      </c>
      <c r="J1565" s="6"/>
      <c r="K1565" s="6"/>
      <c r="L1565" s="6" t="s">
        <v>958</v>
      </c>
      <c r="M1565" s="6"/>
      <c r="N1565" s="6" t="s">
        <v>959</v>
      </c>
      <c r="O1565" s="6" t="str">
        <f>HYPERLINK("https://ceds.ed.gov/cedselementdetails.aspx?termid=6040")</f>
        <v>https://ceds.ed.gov/cedselementdetails.aspx?termid=6040</v>
      </c>
      <c r="P1565" s="6" t="str">
        <f>HYPERLINK("https://ceds.ed.gov/elementComment.aspx?elementName=Assessment Need Braille Dot Pressure &amp;elementID=6040", "Click here to submit comment")</f>
        <v>Click here to submit comment</v>
      </c>
    </row>
    <row r="1566" spans="1:16" ht="60">
      <c r="A1566" s="6" t="s">
        <v>6788</v>
      </c>
      <c r="B1566" s="6" t="s">
        <v>6784</v>
      </c>
      <c r="C1566" s="6" t="s">
        <v>6851</v>
      </c>
      <c r="D1566" s="6" t="s">
        <v>960</v>
      </c>
      <c r="E1566" s="6" t="s">
        <v>961</v>
      </c>
      <c r="F1566" s="6" t="s">
        <v>6035</v>
      </c>
      <c r="G1566" s="6"/>
      <c r="H1566" s="6"/>
      <c r="I1566" s="6"/>
      <c r="J1566" s="6"/>
      <c r="K1566" s="6"/>
      <c r="L1566" s="6" t="s">
        <v>962</v>
      </c>
      <c r="M1566" s="6"/>
      <c r="N1566" s="6" t="s">
        <v>963</v>
      </c>
      <c r="O1566" s="6" t="str">
        <f>HYPERLINK("https://ceds.ed.gov/cedselementdetails.aspx?termid=6035")</f>
        <v>https://ceds.ed.gov/cedselementdetails.aspx?termid=6035</v>
      </c>
      <c r="P1566" s="6" t="str">
        <f>HYPERLINK("https://ceds.ed.gov/elementComment.aspx?elementName=Assessment Need Braille Grade Type &amp;elementID=6035", "Click here to submit comment")</f>
        <v>Click here to submit comment</v>
      </c>
    </row>
    <row r="1567" spans="1:16" ht="105">
      <c r="A1567" s="6" t="s">
        <v>6788</v>
      </c>
      <c r="B1567" s="6" t="s">
        <v>6784</v>
      </c>
      <c r="C1567" s="6" t="s">
        <v>6851</v>
      </c>
      <c r="D1567" s="6" t="s">
        <v>964</v>
      </c>
      <c r="E1567" s="6" t="s">
        <v>965</v>
      </c>
      <c r="F1567" s="6" t="s">
        <v>6036</v>
      </c>
      <c r="G1567" s="6"/>
      <c r="H1567" s="6"/>
      <c r="I1567" s="6"/>
      <c r="J1567" s="6"/>
      <c r="K1567" s="6"/>
      <c r="L1567" s="6" t="s">
        <v>966</v>
      </c>
      <c r="M1567" s="6"/>
      <c r="N1567" s="6" t="s">
        <v>967</v>
      </c>
      <c r="O1567" s="6" t="str">
        <f>HYPERLINK("https://ceds.ed.gov/cedselementdetails.aspx?termid=6038")</f>
        <v>https://ceds.ed.gov/cedselementdetails.aspx?termid=6038</v>
      </c>
      <c r="P1567" s="6" t="str">
        <f>HYPERLINK("https://ceds.ed.gov/elementComment.aspx?elementName=Assessment Need Braille Mark Type &amp;elementID=6038", "Click here to submit comment")</f>
        <v>Click here to submit comment</v>
      </c>
    </row>
    <row r="1568" spans="1:16" ht="60">
      <c r="A1568" s="6" t="s">
        <v>6788</v>
      </c>
      <c r="B1568" s="6" t="s">
        <v>6784</v>
      </c>
      <c r="C1568" s="6" t="s">
        <v>6851</v>
      </c>
      <c r="D1568" s="6" t="s">
        <v>968</v>
      </c>
      <c r="E1568" s="6" t="s">
        <v>969</v>
      </c>
      <c r="F1568" s="6" t="s">
        <v>6037</v>
      </c>
      <c r="G1568" s="6"/>
      <c r="H1568" s="6"/>
      <c r="I1568" s="6"/>
      <c r="J1568" s="6"/>
      <c r="K1568" s="6"/>
      <c r="L1568" s="6" t="s">
        <v>970</v>
      </c>
      <c r="M1568" s="6"/>
      <c r="N1568" s="6" t="s">
        <v>971</v>
      </c>
      <c r="O1568" s="6" t="str">
        <f>HYPERLINK("https://ceds.ed.gov/cedselementdetails.aspx?termid=6041")</f>
        <v>https://ceds.ed.gov/cedselementdetails.aspx?termid=6041</v>
      </c>
      <c r="P1568" s="6" t="str">
        <f>HYPERLINK("https://ceds.ed.gov/elementComment.aspx?elementName=Assessment Need Braille Status Cell Type &amp;elementID=6041", "Click here to submit comment")</f>
        <v>Click here to submit comment</v>
      </c>
    </row>
    <row r="1569" spans="1:16" ht="60">
      <c r="A1569" s="6" t="s">
        <v>6788</v>
      </c>
      <c r="B1569" s="6" t="s">
        <v>6784</v>
      </c>
      <c r="C1569" s="6" t="s">
        <v>6851</v>
      </c>
      <c r="D1569" s="6" t="s">
        <v>988</v>
      </c>
      <c r="E1569" s="6" t="s">
        <v>989</v>
      </c>
      <c r="F1569" s="6" t="s">
        <v>5963</v>
      </c>
      <c r="G1569" s="6"/>
      <c r="H1569" s="6"/>
      <c r="I1569" s="6"/>
      <c r="J1569" s="6"/>
      <c r="K1569" s="6"/>
      <c r="L1569" s="6" t="s">
        <v>990</v>
      </c>
      <c r="M1569" s="6"/>
      <c r="N1569" s="6" t="s">
        <v>991</v>
      </c>
      <c r="O1569" s="6" t="str">
        <f>HYPERLINK("https://ceds.ed.gov/cedselementdetails.aspx?termid=6033")</f>
        <v>https://ceds.ed.gov/cedselementdetails.aspx?termid=6033</v>
      </c>
      <c r="P1569" s="6" t="str">
        <f>HYPERLINK("https://ceds.ed.gov/elementComment.aspx?elementName=Assessment Need Invert Color Choice &amp;elementID=6033", "Click here to submit comment")</f>
        <v>Click here to submit comment</v>
      </c>
    </row>
    <row r="1570" spans="1:16" ht="60">
      <c r="A1570" s="6" t="s">
        <v>6788</v>
      </c>
      <c r="B1570" s="6" t="s">
        <v>6784</v>
      </c>
      <c r="C1570" s="6" t="s">
        <v>6851</v>
      </c>
      <c r="D1570" s="6" t="s">
        <v>1004</v>
      </c>
      <c r="E1570" s="6" t="s">
        <v>1005</v>
      </c>
      <c r="F1570" s="6" t="s">
        <v>13</v>
      </c>
      <c r="G1570" s="6"/>
      <c r="H1570" s="6"/>
      <c r="I1570" s="6" t="s">
        <v>952</v>
      </c>
      <c r="J1570" s="6"/>
      <c r="K1570" s="6"/>
      <c r="L1570" s="6" t="s">
        <v>1006</v>
      </c>
      <c r="M1570" s="6"/>
      <c r="N1570" s="6" t="s">
        <v>1007</v>
      </c>
      <c r="O1570" s="6" t="str">
        <f>HYPERLINK("https://ceds.ed.gov/cedselementdetails.aspx?termid=6056")</f>
        <v>https://ceds.ed.gov/cedselementdetails.aspx?termid=6056</v>
      </c>
      <c r="P1570" s="6" t="str">
        <f>HYPERLINK("https://ceds.ed.gov/elementComment.aspx?elementName=Assessment Need Line Reader Highlight Color &amp;elementID=6056", "Click here to submit comment")</f>
        <v>Click here to submit comment</v>
      </c>
    </row>
    <row r="1571" spans="1:16" ht="105">
      <c r="A1571" s="6" t="s">
        <v>6788</v>
      </c>
      <c r="B1571" s="6" t="s">
        <v>6784</v>
      </c>
      <c r="C1571" s="6" t="s">
        <v>6851</v>
      </c>
      <c r="D1571" s="6" t="s">
        <v>1008</v>
      </c>
      <c r="E1571" s="6" t="s">
        <v>1009</v>
      </c>
      <c r="F1571" s="7" t="s">
        <v>6392</v>
      </c>
      <c r="G1571" s="6"/>
      <c r="H1571" s="6"/>
      <c r="I1571" s="6"/>
      <c r="J1571" s="6"/>
      <c r="K1571" s="6"/>
      <c r="L1571" s="6" t="s">
        <v>1010</v>
      </c>
      <c r="M1571" s="6"/>
      <c r="N1571" s="6" t="s">
        <v>1011</v>
      </c>
      <c r="O1571" s="6" t="str">
        <f>HYPERLINK("https://ceds.ed.gov/cedselementdetails.aspx?termid=6029")</f>
        <v>https://ceds.ed.gov/cedselementdetails.aspx?termid=6029</v>
      </c>
      <c r="P1571" s="6" t="str">
        <f>HYPERLINK("https://ceds.ed.gov/elementComment.aspx?elementName=Assessment Need Link Indication Type &amp;elementID=6029", "Click here to submit comment")</f>
        <v>Click here to submit comment</v>
      </c>
    </row>
    <row r="1572" spans="1:16" ht="60">
      <c r="A1572" s="6" t="s">
        <v>6788</v>
      </c>
      <c r="B1572" s="6" t="s">
        <v>6784</v>
      </c>
      <c r="C1572" s="6" t="s">
        <v>6851</v>
      </c>
      <c r="D1572" s="6" t="s">
        <v>1012</v>
      </c>
      <c r="E1572" s="6" t="s">
        <v>1013</v>
      </c>
      <c r="F1572" s="6" t="s">
        <v>13</v>
      </c>
      <c r="G1572" s="6"/>
      <c r="H1572" s="6"/>
      <c r="I1572" s="6" t="s">
        <v>957</v>
      </c>
      <c r="J1572" s="6"/>
      <c r="K1572" s="6"/>
      <c r="L1572" s="6" t="s">
        <v>1014</v>
      </c>
      <c r="M1572" s="6"/>
      <c r="N1572" s="6" t="s">
        <v>1015</v>
      </c>
      <c r="O1572" s="6" t="str">
        <f>HYPERLINK("https://ceds.ed.gov/cedselementdetails.aspx?termid=6034")</f>
        <v>https://ceds.ed.gov/cedselementdetails.aspx?termid=6034</v>
      </c>
      <c r="P1572" s="6" t="str">
        <f>HYPERLINK("https://ceds.ed.gov/elementComment.aspx?elementName=Assessment Need Magnification &amp;elementID=6034", "Click here to submit comment")</f>
        <v>Click here to submit comment</v>
      </c>
    </row>
    <row r="1573" spans="1:16" ht="75">
      <c r="A1573" s="6" t="s">
        <v>6788</v>
      </c>
      <c r="B1573" s="6" t="s">
        <v>6784</v>
      </c>
      <c r="C1573" s="6" t="s">
        <v>6851</v>
      </c>
      <c r="D1573" s="6" t="s">
        <v>1016</v>
      </c>
      <c r="E1573" s="6" t="s">
        <v>1017</v>
      </c>
      <c r="F1573" s="7" t="s">
        <v>6393</v>
      </c>
      <c r="G1573" s="6"/>
      <c r="H1573" s="6"/>
      <c r="I1573" s="6"/>
      <c r="J1573" s="6"/>
      <c r="K1573" s="6"/>
      <c r="L1573" s="6" t="s">
        <v>1018</v>
      </c>
      <c r="M1573" s="6"/>
      <c r="N1573" s="6" t="s">
        <v>1019</v>
      </c>
      <c r="O1573" s="6" t="str">
        <f>HYPERLINK("https://ceds.ed.gov/cedselementdetails.aspx?termid=6051")</f>
        <v>https://ceds.ed.gov/cedselementdetails.aspx?termid=6051</v>
      </c>
      <c r="P1573" s="6" t="str">
        <f>HYPERLINK("https://ceds.ed.gov/elementComment.aspx?elementName=Assessment Need Masking Type &amp;elementID=6051", "Click here to submit comment")</f>
        <v>Click here to submit comment</v>
      </c>
    </row>
    <row r="1574" spans="1:16" ht="60">
      <c r="A1574" s="6" t="s">
        <v>6788</v>
      </c>
      <c r="B1574" s="6" t="s">
        <v>6784</v>
      </c>
      <c r="C1574" s="6" t="s">
        <v>6851</v>
      </c>
      <c r="D1574" s="6" t="s">
        <v>1020</v>
      </c>
      <c r="E1574" s="6" t="s">
        <v>1021</v>
      </c>
      <c r="F1574" s="6" t="s">
        <v>13</v>
      </c>
      <c r="G1574" s="6"/>
      <c r="H1574" s="6"/>
      <c r="I1574" s="6" t="s">
        <v>1022</v>
      </c>
      <c r="J1574" s="6"/>
      <c r="K1574" s="6"/>
      <c r="L1574" s="6" t="s">
        <v>1023</v>
      </c>
      <c r="M1574" s="6"/>
      <c r="N1574" s="6" t="s">
        <v>1024</v>
      </c>
      <c r="O1574" s="6" t="str">
        <f>HYPERLINK("https://ceds.ed.gov/cedselementdetails.aspx?termid=6037")</f>
        <v>https://ceds.ed.gov/cedselementdetails.aspx?termid=6037</v>
      </c>
      <c r="P1574" s="6" t="str">
        <f>HYPERLINK("https://ceds.ed.gov/elementComment.aspx?elementName=Assessment Need Number of Braille Cells &amp;elementID=6037", "Click here to submit comment")</f>
        <v>Click here to submit comment</v>
      </c>
    </row>
    <row r="1575" spans="1:16" ht="60">
      <c r="A1575" s="6" t="s">
        <v>6788</v>
      </c>
      <c r="B1575" s="6" t="s">
        <v>6784</v>
      </c>
      <c r="C1575" s="6" t="s">
        <v>6851</v>
      </c>
      <c r="D1575" s="6" t="s">
        <v>1025</v>
      </c>
      <c r="E1575" s="6" t="s">
        <v>1026</v>
      </c>
      <c r="F1575" s="6" t="s">
        <v>6040</v>
      </c>
      <c r="G1575" s="6"/>
      <c r="H1575" s="6"/>
      <c r="I1575" s="6"/>
      <c r="J1575" s="6"/>
      <c r="K1575" s="6"/>
      <c r="L1575" s="6" t="s">
        <v>1027</v>
      </c>
      <c r="M1575" s="6"/>
      <c r="N1575" s="6" t="s">
        <v>1028</v>
      </c>
      <c r="O1575" s="6" t="str">
        <f>HYPERLINK("https://ceds.ed.gov/cedselementdetails.aspx?termid=6036")</f>
        <v>https://ceds.ed.gov/cedselementdetails.aspx?termid=6036</v>
      </c>
      <c r="P1575" s="6" t="str">
        <f>HYPERLINK("https://ceds.ed.gov/elementComment.aspx?elementName=Assessment Need Number of Braille Dots Type &amp;elementID=6036", "Click here to submit comment")</f>
        <v>Click here to submit comment</v>
      </c>
    </row>
    <row r="1576" spans="1:16" ht="60">
      <c r="A1576" s="6" t="s">
        <v>6788</v>
      </c>
      <c r="B1576" s="6" t="s">
        <v>6784</v>
      </c>
      <c r="C1576" s="6" t="s">
        <v>6851</v>
      </c>
      <c r="D1576" s="6" t="s">
        <v>1033</v>
      </c>
      <c r="E1576" s="6" t="s">
        <v>1034</v>
      </c>
      <c r="F1576" s="6" t="s">
        <v>13</v>
      </c>
      <c r="G1576" s="6"/>
      <c r="H1576" s="6"/>
      <c r="I1576" s="6" t="s">
        <v>957</v>
      </c>
      <c r="J1576" s="6"/>
      <c r="K1576" s="6"/>
      <c r="L1576" s="6" t="s">
        <v>1035</v>
      </c>
      <c r="M1576" s="6"/>
      <c r="N1576" s="6" t="s">
        <v>1036</v>
      </c>
      <c r="O1576" s="6" t="str">
        <f>HYPERLINK("https://ceds.ed.gov/cedselementdetails.aspx?termid=6031")</f>
        <v>https://ceds.ed.gov/cedselementdetails.aspx?termid=6031</v>
      </c>
      <c r="P1576" s="6" t="str">
        <f>HYPERLINK("https://ceds.ed.gov/elementComment.aspx?elementName=Assessment Need Pitch &amp;elementID=6031", "Click here to submit comment")</f>
        <v>Click here to submit comment</v>
      </c>
    </row>
    <row r="1577" spans="1:16" ht="60">
      <c r="A1577" s="6" t="s">
        <v>6788</v>
      </c>
      <c r="B1577" s="6" t="s">
        <v>6784</v>
      </c>
      <c r="C1577" s="6" t="s">
        <v>6851</v>
      </c>
      <c r="D1577" s="6" t="s">
        <v>1037</v>
      </c>
      <c r="E1577" s="6" t="s">
        <v>1038</v>
      </c>
      <c r="F1577" s="6" t="s">
        <v>5963</v>
      </c>
      <c r="G1577" s="6"/>
      <c r="H1577" s="6"/>
      <c r="I1577" s="6"/>
      <c r="J1577" s="6"/>
      <c r="K1577" s="6"/>
      <c r="L1577" s="6" t="s">
        <v>1039</v>
      </c>
      <c r="M1577" s="6"/>
      <c r="N1577" s="6" t="s">
        <v>1040</v>
      </c>
      <c r="O1577" s="6" t="str">
        <f>HYPERLINK("https://ceds.ed.gov/cedselementdetails.aspx?termid=6048")</f>
        <v>https://ceds.ed.gov/cedselementdetails.aspx?termid=6048</v>
      </c>
      <c r="P1577" s="6" t="str">
        <f>HYPERLINK("https://ceds.ed.gov/elementComment.aspx?elementName=Assessment Need Read At Start Preference &amp;elementID=6048", "Click here to submit comment")</f>
        <v>Click here to submit comment</v>
      </c>
    </row>
    <row r="1578" spans="1:16" ht="75">
      <c r="A1578" s="6" t="s">
        <v>6788</v>
      </c>
      <c r="B1578" s="6" t="s">
        <v>6784</v>
      </c>
      <c r="C1578" s="6" t="s">
        <v>6851</v>
      </c>
      <c r="D1578" s="6" t="s">
        <v>1041</v>
      </c>
      <c r="E1578" s="6" t="s">
        <v>1042</v>
      </c>
      <c r="F1578" s="7" t="s">
        <v>6394</v>
      </c>
      <c r="G1578" s="6"/>
      <c r="H1578" s="6"/>
      <c r="I1578" s="6"/>
      <c r="J1578" s="6"/>
      <c r="K1578" s="6"/>
      <c r="L1578" s="6" t="s">
        <v>1043</v>
      </c>
      <c r="M1578" s="6"/>
      <c r="N1578" s="6" t="s">
        <v>1044</v>
      </c>
      <c r="O1578" s="6" t="str">
        <f>HYPERLINK("https://ceds.ed.gov/cedselementdetails.aspx?termid=6044")</f>
        <v>https://ceds.ed.gov/cedselementdetails.aspx?termid=6044</v>
      </c>
      <c r="P1578" s="6" t="str">
        <f>HYPERLINK("https://ceds.ed.gov/elementComment.aspx?elementName=Assessment Need Signing Type &amp;elementID=6044", "Click here to submit comment")</f>
        <v>Click here to submit comment</v>
      </c>
    </row>
    <row r="1579" spans="1:16" ht="105">
      <c r="A1579" s="6" t="s">
        <v>6788</v>
      </c>
      <c r="B1579" s="6" t="s">
        <v>6784</v>
      </c>
      <c r="C1579" s="6" t="s">
        <v>6851</v>
      </c>
      <c r="D1579" s="6" t="s">
        <v>1045</v>
      </c>
      <c r="E1579" s="6" t="s">
        <v>1046</v>
      </c>
      <c r="F1579" s="6" t="s">
        <v>13</v>
      </c>
      <c r="G1579" s="6"/>
      <c r="H1579" s="6"/>
      <c r="I1579" s="6" t="s">
        <v>93</v>
      </c>
      <c r="J1579" s="6"/>
      <c r="K1579" s="6"/>
      <c r="L1579" s="6" t="s">
        <v>1047</v>
      </c>
      <c r="M1579" s="6"/>
      <c r="N1579" s="6" t="s">
        <v>1048</v>
      </c>
      <c r="O1579" s="6" t="str">
        <f>HYPERLINK("https://ceds.ed.gov/cedselementdetails.aspx?termid=6053")</f>
        <v>https://ceds.ed.gov/cedselementdetails.aspx?termid=6053</v>
      </c>
      <c r="P1579" s="6" t="str">
        <f>HYPERLINK("https://ceds.ed.gov/elementComment.aspx?elementName=Assessment Need Sound File URL &amp;elementID=6053", "Click here to submit comment")</f>
        <v>Click here to submit comment</v>
      </c>
    </row>
    <row r="1580" spans="1:16" ht="60">
      <c r="A1580" s="6" t="s">
        <v>6788</v>
      </c>
      <c r="B1580" s="6" t="s">
        <v>6784</v>
      </c>
      <c r="C1580" s="6" t="s">
        <v>6851</v>
      </c>
      <c r="D1580" s="6" t="s">
        <v>1049</v>
      </c>
      <c r="E1580" s="6" t="s">
        <v>1050</v>
      </c>
      <c r="F1580" s="6" t="s">
        <v>13</v>
      </c>
      <c r="G1580" s="6"/>
      <c r="H1580" s="6"/>
      <c r="I1580" s="6" t="s">
        <v>1022</v>
      </c>
      <c r="J1580" s="6"/>
      <c r="K1580" s="6"/>
      <c r="L1580" s="6" t="s">
        <v>1051</v>
      </c>
      <c r="M1580" s="6"/>
      <c r="N1580" s="6" t="s">
        <v>1052</v>
      </c>
      <c r="O1580" s="6" t="str">
        <f>HYPERLINK("https://ceds.ed.gov/cedselementdetails.aspx?termid=6030")</f>
        <v>https://ceds.ed.gov/cedselementdetails.aspx?termid=6030</v>
      </c>
      <c r="P1580" s="6" t="str">
        <f>HYPERLINK("https://ceds.ed.gov/elementComment.aspx?elementName=Assessment Need Speech Rate &amp;elementID=6030", "Click here to submit comment")</f>
        <v>Click here to submit comment</v>
      </c>
    </row>
    <row r="1581" spans="1:16" ht="60">
      <c r="A1581" s="6" t="s">
        <v>6788</v>
      </c>
      <c r="B1581" s="6" t="s">
        <v>6784</v>
      </c>
      <c r="C1581" s="6" t="s">
        <v>6851</v>
      </c>
      <c r="D1581" s="6" t="s">
        <v>1053</v>
      </c>
      <c r="E1581" s="6" t="s">
        <v>1054</v>
      </c>
      <c r="F1581" s="6" t="s">
        <v>6041</v>
      </c>
      <c r="G1581" s="6"/>
      <c r="H1581" s="6"/>
      <c r="I1581" s="6"/>
      <c r="J1581" s="6"/>
      <c r="K1581" s="6"/>
      <c r="L1581" s="6" t="s">
        <v>1055</v>
      </c>
      <c r="M1581" s="6"/>
      <c r="N1581" s="6" t="s">
        <v>1056</v>
      </c>
      <c r="O1581" s="6" t="str">
        <f>HYPERLINK("https://ceds.ed.gov/cedselementdetails.aspx?termid=6046")</f>
        <v>https://ceds.ed.gov/cedselementdetails.aspx?termid=6046</v>
      </c>
      <c r="P1581" s="6" t="str">
        <f>HYPERLINK("https://ceds.ed.gov/elementComment.aspx?elementName=Assessment Need Spoken Source Preference Type &amp;elementID=6046", "Click here to submit comment")</f>
        <v>Click here to submit comment</v>
      </c>
    </row>
    <row r="1582" spans="1:16" ht="105">
      <c r="A1582" s="6" t="s">
        <v>6788</v>
      </c>
      <c r="B1582" s="6" t="s">
        <v>6784</v>
      </c>
      <c r="C1582" s="6" t="s">
        <v>6851</v>
      </c>
      <c r="D1582" s="6" t="s">
        <v>1061</v>
      </c>
      <c r="E1582" s="6" t="s">
        <v>1062</v>
      </c>
      <c r="F1582" s="6" t="s">
        <v>13</v>
      </c>
      <c r="G1582" s="6"/>
      <c r="H1582" s="6"/>
      <c r="I1582" s="6" t="s">
        <v>319</v>
      </c>
      <c r="J1582" s="6"/>
      <c r="K1582" s="6"/>
      <c r="L1582" s="6" t="s">
        <v>1063</v>
      </c>
      <c r="M1582" s="6"/>
      <c r="N1582" s="6" t="s">
        <v>1064</v>
      </c>
      <c r="O1582" s="6" t="str">
        <f>HYPERLINK("https://ceds.ed.gov/cedselementdetails.aspx?termid=6052")</f>
        <v>https://ceds.ed.gov/cedselementdetails.aspx?termid=6052</v>
      </c>
      <c r="P1582" s="6" t="str">
        <f>HYPERLINK("https://ceds.ed.gov/elementComment.aspx?elementName=Assessment Need Text Messaging String &amp;elementID=6052", "Click here to submit comment")</f>
        <v>Click here to submit comment</v>
      </c>
    </row>
    <row r="1583" spans="1:16" ht="90">
      <c r="A1583" s="6" t="s">
        <v>6788</v>
      </c>
      <c r="B1583" s="6" t="s">
        <v>6784</v>
      </c>
      <c r="C1583" s="6" t="s">
        <v>6851</v>
      </c>
      <c r="D1583" s="6" t="s">
        <v>1074</v>
      </c>
      <c r="E1583" s="6" t="s">
        <v>1075</v>
      </c>
      <c r="F1583" s="7" t="s">
        <v>6396</v>
      </c>
      <c r="G1583" s="6"/>
      <c r="H1583" s="6"/>
      <c r="I1583" s="6"/>
      <c r="J1583" s="6"/>
      <c r="K1583" s="6"/>
      <c r="L1583" s="6" t="s">
        <v>1076</v>
      </c>
      <c r="M1583" s="6"/>
      <c r="N1583" s="6" t="s">
        <v>1077</v>
      </c>
      <c r="O1583" s="6" t="str">
        <f>HYPERLINK("https://ceds.ed.gov/cedselementdetails.aspx?termid=6028")</f>
        <v>https://ceds.ed.gov/cedselementdetails.aspx?termid=6028</v>
      </c>
      <c r="P1583" s="6" t="str">
        <f>HYPERLINK("https://ceds.ed.gov/elementComment.aspx?elementName=Assessment Need Usage Type &amp;elementID=6028", "Click here to submit comment")</f>
        <v>Click here to submit comment</v>
      </c>
    </row>
    <row r="1584" spans="1:16" ht="60">
      <c r="A1584" s="6" t="s">
        <v>6788</v>
      </c>
      <c r="B1584" s="6" t="s">
        <v>6784</v>
      </c>
      <c r="C1584" s="6" t="s">
        <v>6851</v>
      </c>
      <c r="D1584" s="6" t="s">
        <v>1082</v>
      </c>
      <c r="E1584" s="6" t="s">
        <v>1083</v>
      </c>
      <c r="F1584" s="6" t="s">
        <v>13</v>
      </c>
      <c r="G1584" s="6"/>
      <c r="H1584" s="6"/>
      <c r="I1584" s="6" t="s">
        <v>957</v>
      </c>
      <c r="J1584" s="6"/>
      <c r="K1584" s="6"/>
      <c r="L1584" s="6" t="s">
        <v>1084</v>
      </c>
      <c r="M1584" s="6"/>
      <c r="N1584" s="6" t="s">
        <v>1085</v>
      </c>
      <c r="O1584" s="6" t="str">
        <f>HYPERLINK("https://ceds.ed.gov/cedselementdetails.aspx?termid=6032")</f>
        <v>https://ceds.ed.gov/cedselementdetails.aspx?termid=6032</v>
      </c>
      <c r="P1584" s="6" t="str">
        <f>HYPERLINK("https://ceds.ed.gov/elementComment.aspx?elementName=Assessment Need Volume &amp;elementID=6032", "Click here to submit comment")</f>
        <v>Click here to submit comment</v>
      </c>
    </row>
    <row r="1585" spans="1:16" ht="60">
      <c r="A1585" s="6" t="s">
        <v>6788</v>
      </c>
      <c r="B1585" s="6" t="s">
        <v>6784</v>
      </c>
      <c r="C1585" s="6" t="s">
        <v>6852</v>
      </c>
      <c r="D1585" s="6" t="s">
        <v>950</v>
      </c>
      <c r="E1585" s="6" t="s">
        <v>951</v>
      </c>
      <c r="F1585" s="6" t="s">
        <v>13</v>
      </c>
      <c r="G1585" s="6"/>
      <c r="H1585" s="6"/>
      <c r="I1585" s="6" t="s">
        <v>952</v>
      </c>
      <c r="J1585" s="6"/>
      <c r="K1585" s="6"/>
      <c r="L1585" s="6" t="s">
        <v>953</v>
      </c>
      <c r="M1585" s="6"/>
      <c r="N1585" s="6" t="s">
        <v>954</v>
      </c>
      <c r="O1585" s="6" t="str">
        <f>HYPERLINK("https://ceds.ed.gov/cedselementdetails.aspx?termid=6059")</f>
        <v>https://ceds.ed.gov/cedselementdetails.aspx?termid=6059</v>
      </c>
      <c r="P1585" s="6" t="str">
        <f>HYPERLINK("https://ceds.ed.gov/elementComment.aspx?elementName=Assessment Need Background Color &amp;elementID=6059", "Click here to submit comment")</f>
        <v>Click here to submit comment</v>
      </c>
    </row>
    <row r="1586" spans="1:16" ht="60">
      <c r="A1586" s="6" t="s">
        <v>6788</v>
      </c>
      <c r="B1586" s="6" t="s">
        <v>6784</v>
      </c>
      <c r="C1586" s="6" t="s">
        <v>6852</v>
      </c>
      <c r="D1586" s="6" t="s">
        <v>976</v>
      </c>
      <c r="E1586" s="6" t="s">
        <v>977</v>
      </c>
      <c r="F1586" s="6" t="s">
        <v>13</v>
      </c>
      <c r="G1586" s="6"/>
      <c r="H1586" s="6"/>
      <c r="I1586" s="6" t="s">
        <v>952</v>
      </c>
      <c r="J1586" s="6"/>
      <c r="K1586" s="6"/>
      <c r="L1586" s="6" t="s">
        <v>978</v>
      </c>
      <c r="M1586" s="6"/>
      <c r="N1586" s="6" t="s">
        <v>979</v>
      </c>
      <c r="O1586" s="6" t="str">
        <f>HYPERLINK("https://ceds.ed.gov/cedselementdetails.aspx?termid=6058")</f>
        <v>https://ceds.ed.gov/cedselementdetails.aspx?termid=6058</v>
      </c>
      <c r="P1586" s="6" t="str">
        <f>HYPERLINK("https://ceds.ed.gov/elementComment.aspx?elementName=Assessment Need Foreground Color &amp;elementID=6058", "Click here to submit comment")</f>
        <v>Click here to submit comment</v>
      </c>
    </row>
    <row r="1587" spans="1:16" ht="60">
      <c r="A1587" s="6" t="s">
        <v>6788</v>
      </c>
      <c r="B1587" s="6" t="s">
        <v>6784</v>
      </c>
      <c r="C1587" s="6" t="s">
        <v>6852</v>
      </c>
      <c r="D1587" s="6" t="s">
        <v>984</v>
      </c>
      <c r="E1587" s="6" t="s">
        <v>985</v>
      </c>
      <c r="F1587" s="6" t="s">
        <v>6038</v>
      </c>
      <c r="G1587" s="6"/>
      <c r="H1587" s="6"/>
      <c r="I1587" s="6"/>
      <c r="J1587" s="6"/>
      <c r="K1587" s="6"/>
      <c r="L1587" s="6" t="s">
        <v>986</v>
      </c>
      <c r="M1587" s="6"/>
      <c r="N1587" s="6" t="s">
        <v>987</v>
      </c>
      <c r="O1587" s="6" t="str">
        <f>HYPERLINK("https://ceds.ed.gov/cedselementdetails.aspx?termid=6060")</f>
        <v>https://ceds.ed.gov/cedselementdetails.aspx?termid=6060</v>
      </c>
      <c r="P1587" s="6" t="str">
        <f>HYPERLINK("https://ceds.ed.gov/elementComment.aspx?elementName=Assessment Need Increased Whitespacing Type &amp;elementID=6060", "Click here to submit comment")</f>
        <v>Click here to submit comment</v>
      </c>
    </row>
    <row r="1588" spans="1:16" ht="60">
      <c r="A1588" s="6" t="s">
        <v>6788</v>
      </c>
      <c r="B1588" s="6" t="s">
        <v>6784</v>
      </c>
      <c r="C1588" s="6" t="s">
        <v>6852</v>
      </c>
      <c r="D1588" s="6" t="s">
        <v>1029</v>
      </c>
      <c r="E1588" s="6" t="s">
        <v>1030</v>
      </c>
      <c r="F1588" s="6" t="s">
        <v>13</v>
      </c>
      <c r="G1588" s="6"/>
      <c r="H1588" s="6"/>
      <c r="I1588" s="6" t="s">
        <v>952</v>
      </c>
      <c r="J1588" s="6"/>
      <c r="K1588" s="6"/>
      <c r="L1588" s="6" t="s">
        <v>1031</v>
      </c>
      <c r="M1588" s="6"/>
      <c r="N1588" s="6" t="s">
        <v>1032</v>
      </c>
      <c r="O1588" s="6" t="str">
        <f>HYPERLINK("https://ceds.ed.gov/cedselementdetails.aspx?termid=6057")</f>
        <v>https://ceds.ed.gov/cedselementdetails.aspx?termid=6057</v>
      </c>
      <c r="P1588" s="6" t="str">
        <f>HYPERLINK("https://ceds.ed.gov/elementComment.aspx?elementName=Assessment Need Overlay Color &amp;elementID=6057", "Click here to submit comment")</f>
        <v>Click here to submit comment</v>
      </c>
    </row>
    <row r="1589" spans="1:16" ht="285">
      <c r="A1589" s="6" t="s">
        <v>6788</v>
      </c>
      <c r="B1589" s="6" t="s">
        <v>6784</v>
      </c>
      <c r="C1589" s="6" t="s">
        <v>6853</v>
      </c>
      <c r="D1589" s="6" t="s">
        <v>399</v>
      </c>
      <c r="E1589" s="6" t="s">
        <v>400</v>
      </c>
      <c r="F1589" s="7" t="s">
        <v>6376</v>
      </c>
      <c r="G1589" s="6" t="s">
        <v>5992</v>
      </c>
      <c r="H1589" s="6" t="s">
        <v>3</v>
      </c>
      <c r="I1589" s="6"/>
      <c r="J1589" s="6"/>
      <c r="K1589" s="6"/>
      <c r="L1589" s="6" t="s">
        <v>401</v>
      </c>
      <c r="M1589" s="6"/>
      <c r="N1589" s="6" t="s">
        <v>402</v>
      </c>
      <c r="O1589" s="6" t="str">
        <f>HYPERLINK("https://ceds.ed.gov/cedselementdetails.aspx?termid=5374")</f>
        <v>https://ceds.ed.gov/cedselementdetails.aspx?termid=5374</v>
      </c>
      <c r="P1589" s="6" t="str">
        <f>HYPERLINK("https://ceds.ed.gov/elementComment.aspx?elementName=Assessment Accommodation Category &amp;elementID=5374", "Click here to submit comment")</f>
        <v>Click here to submit comment</v>
      </c>
    </row>
    <row r="1590" spans="1:16" ht="45">
      <c r="A1590" s="6" t="s">
        <v>6788</v>
      </c>
      <c r="B1590" s="6" t="s">
        <v>6784</v>
      </c>
      <c r="C1590" s="6" t="s">
        <v>6853</v>
      </c>
      <c r="D1590" s="6" t="s">
        <v>403</v>
      </c>
      <c r="E1590" s="6" t="s">
        <v>404</v>
      </c>
      <c r="F1590" s="6" t="s">
        <v>13</v>
      </c>
      <c r="G1590" s="6"/>
      <c r="H1590" s="6"/>
      <c r="I1590" s="6" t="s">
        <v>100</v>
      </c>
      <c r="J1590" s="6"/>
      <c r="K1590" s="6"/>
      <c r="L1590" s="6" t="s">
        <v>405</v>
      </c>
      <c r="M1590" s="6"/>
      <c r="N1590" s="6" t="s">
        <v>406</v>
      </c>
      <c r="O1590" s="6" t="str">
        <f>HYPERLINK("https://ceds.ed.gov/cedselementdetails.aspx?termid=6116")</f>
        <v>https://ceds.ed.gov/cedselementdetails.aspx?termid=6116</v>
      </c>
      <c r="P1590" s="6" t="str">
        <f>HYPERLINK("https://ceds.ed.gov/elementComment.aspx?elementName=Assessment Accommodation Other Description &amp;elementID=6116", "Click here to submit comment")</f>
        <v>Click here to submit comment</v>
      </c>
    </row>
    <row r="1591" spans="1:16" ht="409.5">
      <c r="A1591" s="6" t="s">
        <v>6788</v>
      </c>
      <c r="B1591" s="6" t="s">
        <v>6784</v>
      </c>
      <c r="C1591" s="6" t="s">
        <v>6853</v>
      </c>
      <c r="D1591" s="6" t="s">
        <v>407</v>
      </c>
      <c r="E1591" s="6" t="s">
        <v>408</v>
      </c>
      <c r="F1591" s="7" t="s">
        <v>6377</v>
      </c>
      <c r="G1591" s="6" t="s">
        <v>5992</v>
      </c>
      <c r="H1591" s="6"/>
      <c r="I1591" s="6"/>
      <c r="J1591" s="6"/>
      <c r="K1591" s="6"/>
      <c r="L1591" s="6" t="s">
        <v>409</v>
      </c>
      <c r="M1591" s="6"/>
      <c r="N1591" s="6" t="s">
        <v>410</v>
      </c>
      <c r="O1591" s="6" t="str">
        <f>HYPERLINK("https://ceds.ed.gov/cedselementdetails.aspx?termid=5376")</f>
        <v>https://ceds.ed.gov/cedselementdetails.aspx?termid=5376</v>
      </c>
      <c r="P1591" s="6" t="str">
        <f>HYPERLINK("https://ceds.ed.gov/elementComment.aspx?elementName=Assessment Accommodation Type &amp;elementID=5376", "Click here to submit comment")</f>
        <v>Click here to submit comment</v>
      </c>
    </row>
    <row r="1592" spans="1:16" ht="60">
      <c r="A1592" s="6" t="s">
        <v>6788</v>
      </c>
      <c r="B1592" s="6" t="s">
        <v>6784</v>
      </c>
      <c r="C1592" s="6" t="s">
        <v>6853</v>
      </c>
      <c r="D1592" s="6" t="s">
        <v>1090</v>
      </c>
      <c r="E1592" s="6" t="s">
        <v>1091</v>
      </c>
      <c r="F1592" s="6" t="s">
        <v>13</v>
      </c>
      <c r="G1592" s="6"/>
      <c r="H1592" s="6"/>
      <c r="I1592" s="6" t="s">
        <v>93</v>
      </c>
      <c r="J1592" s="6"/>
      <c r="K1592" s="6" t="s">
        <v>1092</v>
      </c>
      <c r="L1592" s="6" t="s">
        <v>1093</v>
      </c>
      <c r="M1592" s="6"/>
      <c r="N1592" s="6" t="s">
        <v>1094</v>
      </c>
      <c r="O1592" s="6" t="str">
        <f>HYPERLINK("https://ceds.ed.gov/cedselementdetails.aspx?termid=6006")</f>
        <v>https://ceds.ed.gov/cedselementdetails.aspx?termid=6006</v>
      </c>
      <c r="P1592" s="6" t="str">
        <f>HYPERLINK("https://ceds.ed.gov/elementComment.aspx?elementName=Assessment Participant Session Delivery Device Details &amp;elementID=6006", "Click here to submit comment")</f>
        <v>Click here to submit comment</v>
      </c>
    </row>
    <row r="1593" spans="1:16" ht="45">
      <c r="A1593" s="6" t="s">
        <v>6788</v>
      </c>
      <c r="B1593" s="6" t="s">
        <v>6784</v>
      </c>
      <c r="C1593" s="6" t="s">
        <v>6853</v>
      </c>
      <c r="D1593" s="6" t="s">
        <v>1095</v>
      </c>
      <c r="E1593" s="6" t="s">
        <v>1096</v>
      </c>
      <c r="F1593" s="5" t="s">
        <v>939</v>
      </c>
      <c r="G1593" s="6" t="s">
        <v>5992</v>
      </c>
      <c r="H1593" s="6"/>
      <c r="I1593" s="6"/>
      <c r="J1593" s="6"/>
      <c r="K1593" s="6"/>
      <c r="L1593" s="6" t="s">
        <v>1097</v>
      </c>
      <c r="M1593" s="6"/>
      <c r="N1593" s="6" t="s">
        <v>1098</v>
      </c>
      <c r="O1593" s="6" t="str">
        <f>HYPERLINK("https://ceds.ed.gov/cedselementdetails.aspx?termid=5370")</f>
        <v>https://ceds.ed.gov/cedselementdetails.aspx?termid=5370</v>
      </c>
      <c r="P1593" s="6" t="str">
        <f>HYPERLINK("https://ceds.ed.gov/elementComment.aspx?elementName=Assessment Participant Session Language &amp;elementID=5370", "Click here to submit comment")</f>
        <v>Click here to submit comment</v>
      </c>
    </row>
    <row r="1594" spans="1:16" ht="120">
      <c r="A1594" s="6" t="s">
        <v>6788</v>
      </c>
      <c r="B1594" s="6" t="s">
        <v>6784</v>
      </c>
      <c r="C1594" s="6" t="s">
        <v>6853</v>
      </c>
      <c r="D1594" s="6" t="s">
        <v>1099</v>
      </c>
      <c r="E1594" s="6" t="s">
        <v>1100</v>
      </c>
      <c r="F1594" s="6" t="s">
        <v>6044</v>
      </c>
      <c r="G1594" s="6" t="s">
        <v>6018</v>
      </c>
      <c r="H1594" s="6"/>
      <c r="I1594" s="6"/>
      <c r="J1594" s="6"/>
      <c r="K1594" s="6"/>
      <c r="L1594" s="6" t="s">
        <v>1101</v>
      </c>
      <c r="M1594" s="6"/>
      <c r="N1594" s="6" t="s">
        <v>1102</v>
      </c>
      <c r="O1594" s="6" t="str">
        <f>HYPERLINK("https://ceds.ed.gov/cedselementdetails.aspx?termid=5377")</f>
        <v>https://ceds.ed.gov/cedselementdetails.aspx?termid=5377</v>
      </c>
      <c r="P1594" s="6" t="str">
        <f>HYPERLINK("https://ceds.ed.gov/elementComment.aspx?elementName=Assessment Participant Session Platform Type &amp;elementID=5377", "Click here to submit comment")</f>
        <v>Click here to submit comment</v>
      </c>
    </row>
    <row r="1595" spans="1:16" ht="135">
      <c r="A1595" s="6" t="s">
        <v>6788</v>
      </c>
      <c r="B1595" s="6" t="s">
        <v>6784</v>
      </c>
      <c r="C1595" s="6" t="s">
        <v>6853</v>
      </c>
      <c r="D1595" s="6" t="s">
        <v>1103</v>
      </c>
      <c r="E1595" s="6" t="s">
        <v>1104</v>
      </c>
      <c r="F1595" s="6" t="s">
        <v>13</v>
      </c>
      <c r="G1595" s="6"/>
      <c r="H1595" s="6"/>
      <c r="I1595" s="6" t="s">
        <v>1105</v>
      </c>
      <c r="J1595" s="6"/>
      <c r="K1595" s="6" t="s">
        <v>1106</v>
      </c>
      <c r="L1595" s="6" t="s">
        <v>1107</v>
      </c>
      <c r="M1595" s="6"/>
      <c r="N1595" s="6" t="s">
        <v>1108</v>
      </c>
      <c r="O1595" s="6" t="str">
        <f>HYPERLINK("https://ceds.ed.gov/cedselementdetails.aspx?termid=6112")</f>
        <v>https://ceds.ed.gov/cedselementdetails.aspx?termid=6112</v>
      </c>
      <c r="P1595" s="6" t="str">
        <f>HYPERLINK("https://ceds.ed.gov/elementComment.aspx?elementName=Assessment Participant Session Platform User Agent &amp;elementID=6112", "Click here to submit comment")</f>
        <v>Click here to submit comment</v>
      </c>
    </row>
    <row r="1596" spans="1:16" ht="75">
      <c r="A1596" s="6" t="s">
        <v>6788</v>
      </c>
      <c r="B1596" s="6" t="s">
        <v>6784</v>
      </c>
      <c r="C1596" s="6" t="s">
        <v>6853</v>
      </c>
      <c r="D1596" s="6" t="s">
        <v>1109</v>
      </c>
      <c r="E1596" s="6" t="s">
        <v>1110</v>
      </c>
      <c r="F1596" s="6" t="s">
        <v>13</v>
      </c>
      <c r="G1596" s="6"/>
      <c r="H1596" s="6"/>
      <c r="I1596" s="6" t="s">
        <v>319</v>
      </c>
      <c r="J1596" s="6"/>
      <c r="K1596" s="6"/>
      <c r="L1596" s="6" t="s">
        <v>1111</v>
      </c>
      <c r="M1596" s="6"/>
      <c r="N1596" s="6" t="s">
        <v>1112</v>
      </c>
      <c r="O1596" s="6" t="str">
        <f>HYPERLINK("https://ceds.ed.gov/cedselementdetails.aspx?termid=6102")</f>
        <v>https://ceds.ed.gov/cedselementdetails.aspx?termid=6102</v>
      </c>
      <c r="P1596" s="6" t="str">
        <f>HYPERLINK("https://ceds.ed.gov/elementComment.aspx?elementName=Assessment Participant Session Security Issue &amp;elementID=6102", "Click here to submit comment")</f>
        <v>Click here to submit comment</v>
      </c>
    </row>
    <row r="1597" spans="1:16" ht="45">
      <c r="A1597" s="6" t="s">
        <v>6788</v>
      </c>
      <c r="B1597" s="6" t="s">
        <v>6784</v>
      </c>
      <c r="C1597" s="6" t="s">
        <v>6853</v>
      </c>
      <c r="D1597" s="6" t="s">
        <v>1113</v>
      </c>
      <c r="E1597" s="6" t="s">
        <v>1114</v>
      </c>
      <c r="F1597" s="6" t="s">
        <v>13</v>
      </c>
      <c r="G1597" s="6" t="s">
        <v>5992</v>
      </c>
      <c r="H1597" s="6"/>
      <c r="I1597" s="6" t="s">
        <v>100</v>
      </c>
      <c r="J1597" s="6"/>
      <c r="K1597" s="6"/>
      <c r="L1597" s="6" t="s">
        <v>1115</v>
      </c>
      <c r="M1597" s="6"/>
      <c r="N1597" s="6" t="s">
        <v>1116</v>
      </c>
      <c r="O1597" s="6" t="str">
        <f>HYPERLINK("https://ceds.ed.gov/cedselementdetails.aspx?termid=5398")</f>
        <v>https://ceds.ed.gov/cedselementdetails.aspx?termid=5398</v>
      </c>
      <c r="P1597" s="6" t="str">
        <f>HYPERLINK("https://ceds.ed.gov/elementComment.aspx?elementName=Assessment Participant Session Time Assessed &amp;elementID=5398", "Click here to submit comment")</f>
        <v>Click here to submit comment</v>
      </c>
    </row>
    <row r="1598" spans="1:16" ht="90">
      <c r="A1598" s="6" t="s">
        <v>6788</v>
      </c>
      <c r="B1598" s="6" t="s">
        <v>6784</v>
      </c>
      <c r="C1598" s="6" t="s">
        <v>6853</v>
      </c>
      <c r="D1598" s="6" t="s">
        <v>1228</v>
      </c>
      <c r="E1598" s="6" t="s">
        <v>1229</v>
      </c>
      <c r="F1598" s="6" t="s">
        <v>13</v>
      </c>
      <c r="G1598" s="6"/>
      <c r="H1598" s="6"/>
      <c r="I1598" s="6" t="s">
        <v>1168</v>
      </c>
      <c r="J1598" s="6"/>
      <c r="K1598" s="6" t="s">
        <v>1230</v>
      </c>
      <c r="L1598" s="6" t="s">
        <v>1231</v>
      </c>
      <c r="M1598" s="6"/>
      <c r="N1598" s="6" t="s">
        <v>1232</v>
      </c>
      <c r="O1598" s="6" t="str">
        <f>HYPERLINK("https://ceds.ed.gov/cedselementdetails.aspx?termid=6024")</f>
        <v>https://ceds.ed.gov/cedselementdetails.aspx?termid=6024</v>
      </c>
      <c r="P1598" s="6" t="str">
        <f>HYPERLINK("https://ceds.ed.gov/elementComment.aspx?elementName=Assessment Session Actual End Date Time &amp;elementID=6024", "Click here to submit comment")</f>
        <v>Click here to submit comment</v>
      </c>
    </row>
    <row r="1599" spans="1:16" ht="90">
      <c r="A1599" s="6" t="s">
        <v>6788</v>
      </c>
      <c r="B1599" s="6" t="s">
        <v>6784</v>
      </c>
      <c r="C1599" s="6" t="s">
        <v>6853</v>
      </c>
      <c r="D1599" s="6" t="s">
        <v>1233</v>
      </c>
      <c r="E1599" s="6" t="s">
        <v>1234</v>
      </c>
      <c r="F1599" s="6" t="s">
        <v>13</v>
      </c>
      <c r="G1599" s="6"/>
      <c r="H1599" s="6"/>
      <c r="I1599" s="6" t="s">
        <v>1168</v>
      </c>
      <c r="J1599" s="6"/>
      <c r="K1599" s="6" t="s">
        <v>1235</v>
      </c>
      <c r="L1599" s="6" t="s">
        <v>1236</v>
      </c>
      <c r="M1599" s="6"/>
      <c r="N1599" s="6" t="s">
        <v>1237</v>
      </c>
      <c r="O1599" s="6" t="str">
        <f>HYPERLINK("https://ceds.ed.gov/cedselementdetails.aspx?termid=6023")</f>
        <v>https://ceds.ed.gov/cedselementdetails.aspx?termid=6023</v>
      </c>
      <c r="P1599" s="6" t="str">
        <f>HYPERLINK("https://ceds.ed.gov/elementComment.aspx?elementName=Assessment Session Actual Start Date Time &amp;elementID=6023", "Click here to submit comment")</f>
        <v>Click here to submit comment</v>
      </c>
    </row>
    <row r="1600" spans="1:16" ht="45">
      <c r="A1600" s="6" t="s">
        <v>6788</v>
      </c>
      <c r="B1600" s="6" t="s">
        <v>6784</v>
      </c>
      <c r="C1600" s="6" t="s">
        <v>6853</v>
      </c>
      <c r="D1600" s="6" t="s">
        <v>1247</v>
      </c>
      <c r="E1600" s="6" t="s">
        <v>1248</v>
      </c>
      <c r="F1600" s="6" t="s">
        <v>13</v>
      </c>
      <c r="G1600" s="6" t="s">
        <v>5992</v>
      </c>
      <c r="H1600" s="6"/>
      <c r="I1600" s="6" t="s">
        <v>1249</v>
      </c>
      <c r="J1600" s="6"/>
      <c r="K1600" s="6"/>
      <c r="L1600" s="6" t="s">
        <v>1250</v>
      </c>
      <c r="M1600" s="6"/>
      <c r="N1600" s="6" t="s">
        <v>1251</v>
      </c>
      <c r="O1600" s="6" t="str">
        <f>HYPERLINK("https://ceds.ed.gov/cedselementdetails.aspx?termid=5590")</f>
        <v>https://ceds.ed.gov/cedselementdetails.aspx?termid=5590</v>
      </c>
      <c r="P1600" s="6" t="str">
        <f>HYPERLINK("https://ceds.ed.gov/elementComment.aspx?elementName=Assessment Session Location &amp;elementID=5590", "Click here to submit comment")</f>
        <v>Click here to submit comment</v>
      </c>
    </row>
    <row r="1601" spans="1:16" ht="150">
      <c r="A1601" s="6" t="s">
        <v>6788</v>
      </c>
      <c r="B1601" s="6" t="s">
        <v>6784</v>
      </c>
      <c r="C1601" s="6" t="s">
        <v>6853</v>
      </c>
      <c r="D1601" s="6" t="s">
        <v>1265</v>
      </c>
      <c r="E1601" s="6" t="s">
        <v>1266</v>
      </c>
      <c r="F1601" s="6" t="s">
        <v>13</v>
      </c>
      <c r="G1601" s="6"/>
      <c r="H1601" s="6"/>
      <c r="I1601" s="6" t="s">
        <v>93</v>
      </c>
      <c r="J1601" s="6"/>
      <c r="K1601" s="6" t="s">
        <v>835</v>
      </c>
      <c r="L1601" s="6" t="s">
        <v>1267</v>
      </c>
      <c r="M1601" s="6"/>
      <c r="N1601" s="6" t="s">
        <v>1268</v>
      </c>
      <c r="O1601" s="6" t="str">
        <f>HYPERLINK("https://ceds.ed.gov/cedselementdetails.aspx?termid=5969")</f>
        <v>https://ceds.ed.gov/cedselementdetails.aspx?termid=5969</v>
      </c>
      <c r="P1601" s="6" t="str">
        <f>HYPERLINK("https://ceds.ed.gov/elementComment.aspx?elementName=Assessment Session Security Issue &amp;elementID=5969", "Click here to submit comment")</f>
        <v>Click here to submit comment</v>
      </c>
    </row>
    <row r="1602" spans="1:16" ht="409.5">
      <c r="A1602" s="6" t="s">
        <v>6788</v>
      </c>
      <c r="B1602" s="6" t="s">
        <v>6784</v>
      </c>
      <c r="C1602" s="6" t="s">
        <v>6853</v>
      </c>
      <c r="D1602" s="6" t="s">
        <v>1269</v>
      </c>
      <c r="E1602" s="6" t="s">
        <v>1270</v>
      </c>
      <c r="F1602" s="7" t="s">
        <v>6403</v>
      </c>
      <c r="G1602" s="6" t="s">
        <v>5992</v>
      </c>
      <c r="H1602" s="6"/>
      <c r="I1602" s="6"/>
      <c r="J1602" s="6"/>
      <c r="K1602" s="6"/>
      <c r="L1602" s="6" t="s">
        <v>1271</v>
      </c>
      <c r="M1602" s="6"/>
      <c r="N1602" s="6" t="s">
        <v>1272</v>
      </c>
      <c r="O1602" s="6" t="str">
        <f>HYPERLINK("https://ceds.ed.gov/cedselementdetails.aspx?termid=5380")</f>
        <v>https://ceds.ed.gov/cedselementdetails.aspx?termid=5380</v>
      </c>
      <c r="P1602" s="6" t="str">
        <f>HYPERLINK("https://ceds.ed.gov/elementComment.aspx?elementName=Assessment Session Special Circumstance Type &amp;elementID=5380", "Click here to submit comment")</f>
        <v>Click here to submit comment</v>
      </c>
    </row>
    <row r="1603" spans="1:16" ht="90">
      <c r="A1603" s="6" t="s">
        <v>6788</v>
      </c>
      <c r="B1603" s="6" t="s">
        <v>6784</v>
      </c>
      <c r="C1603" s="6" t="s">
        <v>6853</v>
      </c>
      <c r="D1603" s="6" t="s">
        <v>1273</v>
      </c>
      <c r="E1603" s="6" t="s">
        <v>1274</v>
      </c>
      <c r="F1603" s="6" t="s">
        <v>13</v>
      </c>
      <c r="G1603" s="6"/>
      <c r="H1603" s="6"/>
      <c r="I1603" s="6" t="s">
        <v>106</v>
      </c>
      <c r="J1603" s="6"/>
      <c r="K1603" s="6"/>
      <c r="L1603" s="6" t="s">
        <v>1275</v>
      </c>
      <c r="M1603" s="6"/>
      <c r="N1603" s="6" t="s">
        <v>1276</v>
      </c>
      <c r="O1603" s="6" t="str">
        <f>HYPERLINK("https://ceds.ed.gov/cedselementdetails.aspx?termid=6077")</f>
        <v>https://ceds.ed.gov/cedselementdetails.aspx?termid=6077</v>
      </c>
      <c r="P1603" s="6" t="str">
        <f>HYPERLINK("https://ceds.ed.gov/elementComment.aspx?elementName=Assessment Session Special Event Description &amp;elementID=6077", "Click here to submit comment")</f>
        <v>Click here to submit comment</v>
      </c>
    </row>
    <row r="1604" spans="1:16" ht="30">
      <c r="A1604" s="6" t="s">
        <v>6788</v>
      </c>
      <c r="B1604" s="6" t="s">
        <v>6784</v>
      </c>
      <c r="C1604" s="6" t="s">
        <v>6854</v>
      </c>
      <c r="D1604" s="6" t="s">
        <v>143</v>
      </c>
      <c r="E1604" s="6" t="s">
        <v>144</v>
      </c>
      <c r="F1604" s="6" t="s">
        <v>13</v>
      </c>
      <c r="G1604" s="6"/>
      <c r="H1604" s="6"/>
      <c r="I1604" s="6" t="s">
        <v>93</v>
      </c>
      <c r="J1604" s="6"/>
      <c r="K1604" s="6"/>
      <c r="L1604" s="6" t="s">
        <v>145</v>
      </c>
      <c r="M1604" s="6"/>
      <c r="N1604" s="6" t="s">
        <v>146</v>
      </c>
      <c r="O1604" s="6" t="str">
        <f>HYPERLINK("https://ceds.ed.gov/cedselementdetails.aspx?termid=5893")</f>
        <v>https://ceds.ed.gov/cedselementdetails.aspx?termid=5893</v>
      </c>
      <c r="P1604" s="6" t="str">
        <f>HYPERLINK("https://ceds.ed.gov/elementComment.aspx?elementName=Achievement Title &amp;elementID=5893", "Click here to submit comment")</f>
        <v>Click here to submit comment</v>
      </c>
    </row>
    <row r="1605" spans="1:16" ht="30">
      <c r="A1605" s="6" t="s">
        <v>6788</v>
      </c>
      <c r="B1605" s="6" t="s">
        <v>6784</v>
      </c>
      <c r="C1605" s="6" t="s">
        <v>6854</v>
      </c>
      <c r="D1605" s="6" t="s">
        <v>122</v>
      </c>
      <c r="E1605" s="6" t="s">
        <v>123</v>
      </c>
      <c r="F1605" s="6" t="s">
        <v>13</v>
      </c>
      <c r="G1605" s="6"/>
      <c r="H1605" s="6"/>
      <c r="I1605" s="6" t="s">
        <v>93</v>
      </c>
      <c r="J1605" s="6"/>
      <c r="K1605" s="6"/>
      <c r="L1605" s="6" t="s">
        <v>124</v>
      </c>
      <c r="M1605" s="6"/>
      <c r="N1605" s="6" t="s">
        <v>125</v>
      </c>
      <c r="O1605" s="6" t="str">
        <f>HYPERLINK("https://ceds.ed.gov/cedselementdetails.aspx?termid=5895")</f>
        <v>https://ceds.ed.gov/cedselementdetails.aspx?termid=5895</v>
      </c>
      <c r="P1605" s="6" t="str">
        <f>HYPERLINK("https://ceds.ed.gov/elementComment.aspx?elementName=Achievement Description &amp;elementID=5895", "Click here to submit comment")</f>
        <v>Click here to submit comment</v>
      </c>
    </row>
    <row r="1606" spans="1:16" ht="30">
      <c r="A1606" s="6" t="s">
        <v>6788</v>
      </c>
      <c r="B1606" s="6" t="s">
        <v>6784</v>
      </c>
      <c r="C1606" s="6" t="s">
        <v>6854</v>
      </c>
      <c r="D1606" s="6" t="s">
        <v>139</v>
      </c>
      <c r="E1606" s="6" t="s">
        <v>140</v>
      </c>
      <c r="F1606" s="6" t="s">
        <v>13</v>
      </c>
      <c r="G1606" s="6"/>
      <c r="H1606" s="6"/>
      <c r="I1606" s="6" t="s">
        <v>73</v>
      </c>
      <c r="J1606" s="6"/>
      <c r="K1606" s="6"/>
      <c r="L1606" s="6" t="s">
        <v>141</v>
      </c>
      <c r="M1606" s="6"/>
      <c r="N1606" s="6" t="s">
        <v>142</v>
      </c>
      <c r="O1606" s="6" t="str">
        <f>HYPERLINK("https://ceds.ed.gov/cedselementdetails.aspx?termid=6120")</f>
        <v>https://ceds.ed.gov/cedselementdetails.aspx?termid=6120</v>
      </c>
      <c r="P1606" s="6" t="str">
        <f>HYPERLINK("https://ceds.ed.gov/elementComment.aspx?elementName=Achievement Start Date &amp;elementID=6120", "Click here to submit comment")</f>
        <v>Click here to submit comment</v>
      </c>
    </row>
    <row r="1607" spans="1:16" ht="45">
      <c r="A1607" s="6" t="s">
        <v>6788</v>
      </c>
      <c r="B1607" s="6" t="s">
        <v>6784</v>
      </c>
      <c r="C1607" s="6" t="s">
        <v>6854</v>
      </c>
      <c r="D1607" s="6" t="s">
        <v>126</v>
      </c>
      <c r="E1607" s="6" t="s">
        <v>127</v>
      </c>
      <c r="F1607" s="6" t="s">
        <v>13</v>
      </c>
      <c r="G1607" s="6"/>
      <c r="H1607" s="6"/>
      <c r="I1607" s="6" t="s">
        <v>73</v>
      </c>
      <c r="J1607" s="6"/>
      <c r="K1607" s="6"/>
      <c r="L1607" s="6" t="s">
        <v>128</v>
      </c>
      <c r="M1607" s="6"/>
      <c r="N1607" s="6" t="s">
        <v>129</v>
      </c>
      <c r="O1607" s="6" t="str">
        <f>HYPERLINK("https://ceds.ed.gov/cedselementdetails.aspx?termid=6121")</f>
        <v>https://ceds.ed.gov/cedselementdetails.aspx?termid=6121</v>
      </c>
      <c r="P1607" s="6" t="str">
        <f>HYPERLINK("https://ceds.ed.gov/elementComment.aspx?elementName=Achievement End Date &amp;elementID=6121", "Click here to submit comment")</f>
        <v>Click here to submit comment</v>
      </c>
    </row>
    <row r="1608" spans="1:16" ht="45">
      <c r="A1608" s="6" t="s">
        <v>6788</v>
      </c>
      <c r="B1608" s="6" t="s">
        <v>6784</v>
      </c>
      <c r="C1608" s="6" t="s">
        <v>6854</v>
      </c>
      <c r="D1608" s="6" t="s">
        <v>86</v>
      </c>
      <c r="E1608" s="6" t="s">
        <v>87</v>
      </c>
      <c r="F1608" s="6" t="s">
        <v>13</v>
      </c>
      <c r="G1608" s="6"/>
      <c r="H1608" s="6"/>
      <c r="I1608" s="6" t="s">
        <v>88</v>
      </c>
      <c r="J1608" s="6"/>
      <c r="K1608" s="6"/>
      <c r="L1608" s="6" t="s">
        <v>89</v>
      </c>
      <c r="M1608" s="6"/>
      <c r="N1608" s="6" t="s">
        <v>90</v>
      </c>
      <c r="O1608" s="6" t="str">
        <f>HYPERLINK("https://ceds.ed.gov/cedselementdetails.aspx?termid=5898")</f>
        <v>https://ceds.ed.gov/cedselementdetails.aspx?termid=5898</v>
      </c>
      <c r="P1608" s="6" t="str">
        <f>HYPERLINK("https://ceds.ed.gov/elementComment.aspx?elementName=Achievement Award Issuer Name &amp;elementID=5898", "Click here to submit comment")</f>
        <v>Click here to submit comment</v>
      </c>
    </row>
    <row r="1609" spans="1:16" ht="45">
      <c r="A1609" s="6" t="s">
        <v>6788</v>
      </c>
      <c r="B1609" s="6" t="s">
        <v>6784</v>
      </c>
      <c r="C1609" s="6" t="s">
        <v>6854</v>
      </c>
      <c r="D1609" s="6" t="s">
        <v>91</v>
      </c>
      <c r="E1609" s="6" t="s">
        <v>92</v>
      </c>
      <c r="F1609" s="6" t="s">
        <v>13</v>
      </c>
      <c r="G1609" s="6"/>
      <c r="H1609" s="6" t="s">
        <v>66</v>
      </c>
      <c r="I1609" s="6" t="s">
        <v>93</v>
      </c>
      <c r="J1609" s="6" t="s">
        <v>94</v>
      </c>
      <c r="K1609" s="6" t="s">
        <v>95</v>
      </c>
      <c r="L1609" s="6" t="s">
        <v>96</v>
      </c>
      <c r="M1609" s="6"/>
      <c r="N1609" s="6" t="s">
        <v>97</v>
      </c>
      <c r="O1609" s="6" t="str">
        <f>HYPERLINK("https://ceds.ed.gov/cedselementdetails.aspx?termid=5900")</f>
        <v>https://ceds.ed.gov/cedselementdetails.aspx?termid=5900</v>
      </c>
      <c r="P1609" s="6" t="str">
        <f>HYPERLINK("https://ceds.ed.gov/elementComment.aspx?elementName=Achievement Award Issuer Origin URL &amp;elementID=5900", "Click here to submit comment")</f>
        <v>Click here to submit comment</v>
      </c>
    </row>
    <row r="1610" spans="1:16" ht="75">
      <c r="A1610" s="6" t="s">
        <v>6788</v>
      </c>
      <c r="B1610" s="6" t="s">
        <v>6784</v>
      </c>
      <c r="C1610" s="6" t="s">
        <v>6854</v>
      </c>
      <c r="D1610" s="6" t="s">
        <v>98</v>
      </c>
      <c r="E1610" s="6" t="s">
        <v>99</v>
      </c>
      <c r="F1610" s="6" t="s">
        <v>13</v>
      </c>
      <c r="G1610" s="6"/>
      <c r="H1610" s="6"/>
      <c r="I1610" s="6" t="s">
        <v>100</v>
      </c>
      <c r="J1610" s="6"/>
      <c r="K1610" s="6" t="s">
        <v>101</v>
      </c>
      <c r="L1610" s="6" t="s">
        <v>102</v>
      </c>
      <c r="M1610" s="6"/>
      <c r="N1610" s="6" t="s">
        <v>103</v>
      </c>
      <c r="O1610" s="6" t="str">
        <f>HYPERLINK("https://ceds.ed.gov/cedselementdetails.aspx?termid=6211")</f>
        <v>https://ceds.ed.gov/cedselementdetails.aspx?termid=6211</v>
      </c>
      <c r="P1610" s="6" t="str">
        <f>HYPERLINK("https://ceds.ed.gov/elementComment.aspx?elementName=Achievement Category System &amp;elementID=6211", "Click here to submit comment")</f>
        <v>Click here to submit comment</v>
      </c>
    </row>
    <row r="1611" spans="1:16" ht="270">
      <c r="A1611" s="6" t="s">
        <v>6788</v>
      </c>
      <c r="B1611" s="6" t="s">
        <v>6784</v>
      </c>
      <c r="C1611" s="6" t="s">
        <v>6854</v>
      </c>
      <c r="D1611" s="6" t="s">
        <v>104</v>
      </c>
      <c r="E1611" s="6" t="s">
        <v>105</v>
      </c>
      <c r="F1611" s="6" t="s">
        <v>13</v>
      </c>
      <c r="G1611" s="6"/>
      <c r="H1611" s="6"/>
      <c r="I1611" s="6" t="s">
        <v>106</v>
      </c>
      <c r="J1611" s="6"/>
      <c r="K1611" s="6" t="s">
        <v>107</v>
      </c>
      <c r="L1611" s="6" t="s">
        <v>108</v>
      </c>
      <c r="M1611" s="6"/>
      <c r="N1611" s="6" t="s">
        <v>109</v>
      </c>
      <c r="O1611" s="6" t="str">
        <f>HYPERLINK("https://ceds.ed.gov/cedselementdetails.aspx?termid=5892")</f>
        <v>https://ceds.ed.gov/cedselementdetails.aspx?termid=5892</v>
      </c>
      <c r="P1611" s="6" t="str">
        <f>HYPERLINK("https://ceds.ed.gov/elementComment.aspx?elementName=Achievement Category Type &amp;elementID=5892", "Click here to submit comment")</f>
        <v>Click here to submit comment</v>
      </c>
    </row>
    <row r="1612" spans="1:16" ht="60">
      <c r="A1612" s="6" t="s">
        <v>6788</v>
      </c>
      <c r="B1612" s="6" t="s">
        <v>6784</v>
      </c>
      <c r="C1612" s="6" t="s">
        <v>6854</v>
      </c>
      <c r="D1612" s="6" t="s">
        <v>134</v>
      </c>
      <c r="E1612" s="6" t="s">
        <v>135</v>
      </c>
      <c r="F1612" s="6" t="s">
        <v>13</v>
      </c>
      <c r="G1612" s="6"/>
      <c r="H1612" s="6"/>
      <c r="I1612" s="6" t="s">
        <v>93</v>
      </c>
      <c r="J1612" s="6"/>
      <c r="K1612" s="6" t="s">
        <v>136</v>
      </c>
      <c r="L1612" s="6" t="s">
        <v>137</v>
      </c>
      <c r="M1612" s="6"/>
      <c r="N1612" s="6" t="s">
        <v>138</v>
      </c>
      <c r="O1612" s="6" t="str">
        <f>HYPERLINK("https://ceds.ed.gov/cedselementdetails.aspx?termid=5894")</f>
        <v>https://ceds.ed.gov/cedselementdetails.aspx?termid=5894</v>
      </c>
      <c r="P1612" s="6" t="str">
        <f>HYPERLINK("https://ceds.ed.gov/elementComment.aspx?elementName=Achievement Image URL &amp;elementID=5894", "Click here to submit comment")</f>
        <v>Click here to submit comment</v>
      </c>
    </row>
    <row r="1613" spans="1:16" ht="30">
      <c r="A1613" s="6" t="s">
        <v>6788</v>
      </c>
      <c r="B1613" s="6" t="s">
        <v>6784</v>
      </c>
      <c r="C1613" s="6" t="s">
        <v>6854</v>
      </c>
      <c r="D1613" s="6" t="s">
        <v>110</v>
      </c>
      <c r="E1613" s="6" t="s">
        <v>111</v>
      </c>
      <c r="F1613" s="6" t="s">
        <v>13</v>
      </c>
      <c r="G1613" s="6"/>
      <c r="H1613" s="6"/>
      <c r="I1613" s="6" t="s">
        <v>93</v>
      </c>
      <c r="J1613" s="6"/>
      <c r="K1613" s="6"/>
      <c r="L1613" s="6" t="s">
        <v>112</v>
      </c>
      <c r="M1613" s="6"/>
      <c r="N1613" s="6" t="s">
        <v>113</v>
      </c>
      <c r="O1613" s="6" t="str">
        <f>HYPERLINK("https://ceds.ed.gov/cedselementdetails.aspx?termid=5896")</f>
        <v>https://ceds.ed.gov/cedselementdetails.aspx?termid=5896</v>
      </c>
      <c r="P1613" s="6" t="str">
        <f>HYPERLINK("https://ceds.ed.gov/elementComment.aspx?elementName=Achievement Criteria &amp;elementID=5896", "Click here to submit comment")</f>
        <v>Click here to submit comment</v>
      </c>
    </row>
    <row r="1614" spans="1:16" ht="75">
      <c r="A1614" s="6" t="s">
        <v>6788</v>
      </c>
      <c r="B1614" s="6" t="s">
        <v>6784</v>
      </c>
      <c r="C1614" s="6" t="s">
        <v>6854</v>
      </c>
      <c r="D1614" s="6" t="s">
        <v>114</v>
      </c>
      <c r="E1614" s="6" t="s">
        <v>115</v>
      </c>
      <c r="F1614" s="6" t="s">
        <v>13</v>
      </c>
      <c r="G1614" s="6"/>
      <c r="H1614" s="6"/>
      <c r="I1614" s="6" t="s">
        <v>93</v>
      </c>
      <c r="J1614" s="6"/>
      <c r="K1614" s="6"/>
      <c r="L1614" s="6" t="s">
        <v>116</v>
      </c>
      <c r="M1614" s="6"/>
      <c r="N1614" s="6" t="s">
        <v>117</v>
      </c>
      <c r="O1614" s="6" t="str">
        <f>HYPERLINK("https://ceds.ed.gov/cedselementdetails.aspx?termid=6113")</f>
        <v>https://ceds.ed.gov/cedselementdetails.aspx?termid=6113</v>
      </c>
      <c r="P1614" s="6" t="str">
        <f>HYPERLINK("https://ceds.ed.gov/elementComment.aspx?elementName=Achievement Criteria URL &amp;elementID=6113", "Click here to submit comment")</f>
        <v>Click here to submit comment</v>
      </c>
    </row>
    <row r="1615" spans="1:16" ht="60">
      <c r="A1615" s="6" t="s">
        <v>6788</v>
      </c>
      <c r="B1615" s="6" t="s">
        <v>6784</v>
      </c>
      <c r="C1615" s="6" t="s">
        <v>6854</v>
      </c>
      <c r="D1615" s="6" t="s">
        <v>130</v>
      </c>
      <c r="E1615" s="6" t="s">
        <v>131</v>
      </c>
      <c r="F1615" s="6" t="s">
        <v>13</v>
      </c>
      <c r="G1615" s="6"/>
      <c r="H1615" s="6"/>
      <c r="I1615" s="6" t="s">
        <v>93</v>
      </c>
      <c r="J1615" s="6"/>
      <c r="K1615" s="6"/>
      <c r="L1615" s="6" t="s">
        <v>132</v>
      </c>
      <c r="M1615" s="6"/>
      <c r="N1615" s="6" t="s">
        <v>133</v>
      </c>
      <c r="O1615" s="6" t="str">
        <f>HYPERLINK("https://ceds.ed.gov/cedselementdetails.aspx?termid=5901")</f>
        <v>https://ceds.ed.gov/cedselementdetails.aspx?termid=5901</v>
      </c>
      <c r="P1615" s="6" t="str">
        <f>HYPERLINK("https://ceds.ed.gov/elementComment.aspx?elementName=Achievement Evidence Statement &amp;elementID=5901", "Click here to submit comment")</f>
        <v>Click here to submit comment</v>
      </c>
    </row>
    <row r="1616" spans="1:16" ht="45">
      <c r="A1616" s="6" t="s">
        <v>6788</v>
      </c>
      <c r="B1616" s="6" t="s">
        <v>6784</v>
      </c>
      <c r="C1616" s="6" t="s">
        <v>6855</v>
      </c>
      <c r="D1616" s="6" t="s">
        <v>3524</v>
      </c>
      <c r="E1616" s="6" t="s">
        <v>3525</v>
      </c>
      <c r="F1616" s="6" t="s">
        <v>13</v>
      </c>
      <c r="G1616" s="6"/>
      <c r="H1616" s="6"/>
      <c r="I1616" s="6" t="s">
        <v>93</v>
      </c>
      <c r="J1616" s="6"/>
      <c r="K1616" s="6"/>
      <c r="L1616" s="6" t="s">
        <v>3526</v>
      </c>
      <c r="M1616" s="6"/>
      <c r="N1616" s="6" t="s">
        <v>3527</v>
      </c>
      <c r="O1616" s="6" t="str">
        <f>HYPERLINK("https://ceds.ed.gov/cedselementdetails.aspx?termid=5903")</f>
        <v>https://ceds.ed.gov/cedselementdetails.aspx?termid=5903</v>
      </c>
      <c r="P1616" s="6" t="str">
        <f>HYPERLINK("https://ceds.ed.gov/elementComment.aspx?elementName=Learning Goal Description &amp;elementID=5903", "Click here to submit comment")</f>
        <v>Click here to submit comment</v>
      </c>
    </row>
    <row r="1617" spans="1:16" ht="135">
      <c r="A1617" s="6" t="s">
        <v>6788</v>
      </c>
      <c r="B1617" s="6" t="s">
        <v>6784</v>
      </c>
      <c r="C1617" s="6" t="s">
        <v>6855</v>
      </c>
      <c r="D1617" s="6" t="s">
        <v>3536</v>
      </c>
      <c r="E1617" s="6" t="s">
        <v>3537</v>
      </c>
      <c r="F1617" s="6" t="s">
        <v>13</v>
      </c>
      <c r="G1617" s="6"/>
      <c r="H1617" s="6"/>
      <c r="I1617" s="6" t="s">
        <v>93</v>
      </c>
      <c r="J1617" s="6"/>
      <c r="K1617" s="6"/>
      <c r="L1617" s="6" t="s">
        <v>3538</v>
      </c>
      <c r="M1617" s="6"/>
      <c r="N1617" s="6" t="s">
        <v>3539</v>
      </c>
      <c r="O1617" s="6" t="str">
        <f>HYPERLINK("https://ceds.ed.gov/cedselementdetails.aspx?termid=5902")</f>
        <v>https://ceds.ed.gov/cedselementdetails.aspx?termid=5902</v>
      </c>
      <c r="P1617" s="6" t="str">
        <f>HYPERLINK("https://ceds.ed.gov/elementComment.aspx?elementName=Learning Goal Success Criteria &amp;elementID=5902", "Click here to submit comment")</f>
        <v>Click here to submit comment</v>
      </c>
    </row>
    <row r="1618" spans="1:16" ht="75">
      <c r="A1618" s="6" t="s">
        <v>6788</v>
      </c>
      <c r="B1618" s="6" t="s">
        <v>6784</v>
      </c>
      <c r="C1618" s="6" t="s">
        <v>6856</v>
      </c>
      <c r="D1618" s="6" t="s">
        <v>3919</v>
      </c>
      <c r="E1618" s="6" t="s">
        <v>3920</v>
      </c>
      <c r="F1618" s="6" t="s">
        <v>13</v>
      </c>
      <c r="G1618" s="6"/>
      <c r="H1618" s="6"/>
      <c r="I1618" s="6" t="s">
        <v>545</v>
      </c>
      <c r="J1618" s="6"/>
      <c r="K1618" s="6"/>
      <c r="L1618" s="6" t="s">
        <v>3921</v>
      </c>
      <c r="M1618" s="6"/>
      <c r="N1618" s="6" t="s">
        <v>3922</v>
      </c>
      <c r="O1618" s="6" t="str">
        <f>HYPERLINK("https://ceds.ed.gov/cedselementdetails.aspx?termid=6115")</f>
        <v>https://ceds.ed.gov/cedselementdetails.aspx?termid=6115</v>
      </c>
      <c r="P1618" s="6" t="str">
        <f>HYPERLINK("https://ceds.ed.gov/elementComment.aspx?elementName=Learning Standard Item Text Complexity Maximum Value &amp;elementID=6115", "Click here to submit comment")</f>
        <v>Click here to submit comment</v>
      </c>
    </row>
    <row r="1619" spans="1:16" ht="75">
      <c r="A1619" s="6" t="s">
        <v>6788</v>
      </c>
      <c r="B1619" s="6" t="s">
        <v>6784</v>
      </c>
      <c r="C1619" s="6" t="s">
        <v>6856</v>
      </c>
      <c r="D1619" s="6" t="s">
        <v>3923</v>
      </c>
      <c r="E1619" s="6" t="s">
        <v>3924</v>
      </c>
      <c r="F1619" s="6" t="s">
        <v>13</v>
      </c>
      <c r="G1619" s="6"/>
      <c r="H1619" s="6"/>
      <c r="I1619" s="6" t="s">
        <v>545</v>
      </c>
      <c r="J1619" s="6"/>
      <c r="K1619" s="6"/>
      <c r="L1619" s="6" t="s">
        <v>3925</v>
      </c>
      <c r="M1619" s="6"/>
      <c r="N1619" s="6" t="s">
        <v>3926</v>
      </c>
      <c r="O1619" s="6" t="str">
        <f>HYPERLINK("https://ceds.ed.gov/cedselementdetails.aspx?termid=6114")</f>
        <v>https://ceds.ed.gov/cedselementdetails.aspx?termid=6114</v>
      </c>
      <c r="P1619" s="6" t="str">
        <f>HYPERLINK("https://ceds.ed.gov/elementComment.aspx?elementName=Learning Standard Item Text Complexity Minimum Value &amp;elementID=6114", "Click here to submit comment")</f>
        <v>Click here to submit comment</v>
      </c>
    </row>
    <row r="1620" spans="1:16" ht="30">
      <c r="A1620" s="6" t="s">
        <v>6788</v>
      </c>
      <c r="B1620" s="6" t="s">
        <v>6784</v>
      </c>
      <c r="C1620" s="6" t="s">
        <v>6857</v>
      </c>
      <c r="D1620" s="6" t="s">
        <v>3439</v>
      </c>
      <c r="E1620" s="6" t="s">
        <v>3440</v>
      </c>
      <c r="F1620" s="6" t="s">
        <v>13</v>
      </c>
      <c r="G1620" s="6"/>
      <c r="H1620" s="6"/>
      <c r="I1620" s="6" t="s">
        <v>73</v>
      </c>
      <c r="J1620" s="6"/>
      <c r="K1620" s="6"/>
      <c r="L1620" s="6" t="s">
        <v>3441</v>
      </c>
      <c r="M1620" s="6"/>
      <c r="N1620" s="6" t="s">
        <v>3442</v>
      </c>
      <c r="O1620" s="6" t="str">
        <f>HYPERLINK("https://ceds.ed.gov/cedselementdetails.aspx?termid=5938")</f>
        <v>https://ceds.ed.gov/cedselementdetails.aspx?termid=5938</v>
      </c>
      <c r="P1620" s="6" t="str">
        <f>HYPERLINK("https://ceds.ed.gov/elementComment.aspx?elementName=Learner Action Date &amp;elementID=5938", "Click here to submit comment")</f>
        <v>Click here to submit comment</v>
      </c>
    </row>
    <row r="1621" spans="1:16" ht="30">
      <c r="A1621" s="6" t="s">
        <v>6788</v>
      </c>
      <c r="B1621" s="6" t="s">
        <v>6784</v>
      </c>
      <c r="C1621" s="6" t="s">
        <v>6857</v>
      </c>
      <c r="D1621" s="6" t="s">
        <v>3443</v>
      </c>
      <c r="E1621" s="6" t="s">
        <v>3444</v>
      </c>
      <c r="F1621" s="6" t="s">
        <v>13</v>
      </c>
      <c r="G1621" s="6"/>
      <c r="H1621" s="6"/>
      <c r="I1621" s="6" t="s">
        <v>3445</v>
      </c>
      <c r="J1621" s="6"/>
      <c r="K1621" s="6"/>
      <c r="L1621" s="6" t="s">
        <v>3446</v>
      </c>
      <c r="M1621" s="6"/>
      <c r="N1621" s="6" t="s">
        <v>3447</v>
      </c>
      <c r="O1621" s="6" t="str">
        <f>HYPERLINK("https://ceds.ed.gov/cedselementdetails.aspx?termid=5937")</f>
        <v>https://ceds.ed.gov/cedselementdetails.aspx?termid=5937</v>
      </c>
      <c r="P1621" s="6" t="str">
        <f>HYPERLINK("https://ceds.ed.gov/elementComment.aspx?elementName=Learner Action Time &amp;elementID=5937", "Click here to submit comment")</f>
        <v>Click here to submit comment</v>
      </c>
    </row>
    <row r="1622" spans="1:16" ht="225">
      <c r="A1622" s="6" t="s">
        <v>6788</v>
      </c>
      <c r="B1622" s="6" t="s">
        <v>6784</v>
      </c>
      <c r="C1622" s="6" t="s">
        <v>6857</v>
      </c>
      <c r="D1622" s="6" t="s">
        <v>3448</v>
      </c>
      <c r="E1622" s="6" t="s">
        <v>3449</v>
      </c>
      <c r="F1622" s="7" t="s">
        <v>6564</v>
      </c>
      <c r="G1622" s="6"/>
      <c r="H1622" s="6"/>
      <c r="I1622" s="6"/>
      <c r="J1622" s="6"/>
      <c r="K1622" s="6"/>
      <c r="L1622" s="6" t="s">
        <v>3450</v>
      </c>
      <c r="M1622" s="6"/>
      <c r="N1622" s="6" t="s">
        <v>3451</v>
      </c>
      <c r="O1622" s="6" t="str">
        <f>HYPERLINK("https://ceds.ed.gov/cedselementdetails.aspx?termid=5935")</f>
        <v>https://ceds.ed.gov/cedselementdetails.aspx?termid=5935</v>
      </c>
      <c r="P1622" s="6" t="str">
        <f>HYPERLINK("https://ceds.ed.gov/elementComment.aspx?elementName=Learner Action Type &amp;elementID=5935", "Click here to submit comment")</f>
        <v>Click here to submit comment</v>
      </c>
    </row>
    <row r="1623" spans="1:16" ht="75">
      <c r="A1623" s="6" t="s">
        <v>6788</v>
      </c>
      <c r="B1623" s="6" t="s">
        <v>6784</v>
      </c>
      <c r="C1623" s="6" t="s">
        <v>6857</v>
      </c>
      <c r="D1623" s="6" t="s">
        <v>3452</v>
      </c>
      <c r="E1623" s="6" t="s">
        <v>3453</v>
      </c>
      <c r="F1623" s="6" t="s">
        <v>13</v>
      </c>
      <c r="G1623" s="6"/>
      <c r="H1623" s="6"/>
      <c r="I1623" s="6" t="s">
        <v>319</v>
      </c>
      <c r="J1623" s="6"/>
      <c r="K1623" s="6"/>
      <c r="L1623" s="6" t="s">
        <v>3454</v>
      </c>
      <c r="M1623" s="6"/>
      <c r="N1623" s="6" t="s">
        <v>3455</v>
      </c>
      <c r="O1623" s="6" t="str">
        <f>HYPERLINK("https://ceds.ed.gov/cedselementdetails.aspx?termid=5936")</f>
        <v>https://ceds.ed.gov/cedselementdetails.aspx?termid=5936</v>
      </c>
      <c r="P1623" s="6" t="str">
        <f>HYPERLINK("https://ceds.ed.gov/elementComment.aspx?elementName=Learner Action Value &amp;elementID=5936", "Click here to submit comment")</f>
        <v>Click here to submit comment</v>
      </c>
    </row>
    <row r="1624" spans="1:16" ht="45">
      <c r="A1624" s="6" t="s">
        <v>6788</v>
      </c>
      <c r="B1624" s="6" t="s">
        <v>6784</v>
      </c>
      <c r="C1624" s="6" t="s">
        <v>6858</v>
      </c>
      <c r="D1624" s="6" t="s">
        <v>3512</v>
      </c>
      <c r="E1624" s="6" t="s">
        <v>3513</v>
      </c>
      <c r="F1624" s="6" t="s">
        <v>13</v>
      </c>
      <c r="G1624" s="6"/>
      <c r="H1624" s="6"/>
      <c r="I1624" s="6" t="s">
        <v>100</v>
      </c>
      <c r="J1624" s="6"/>
      <c r="K1624" s="6"/>
      <c r="L1624" s="6" t="s">
        <v>3514</v>
      </c>
      <c r="M1624" s="6"/>
      <c r="N1624" s="6" t="s">
        <v>3515</v>
      </c>
      <c r="O1624" s="6" t="str">
        <f>HYPERLINK("https://ceds.ed.gov/cedselementdetails.aspx?termid=5940")</f>
        <v>https://ceds.ed.gov/cedselementdetails.aspx?termid=5940</v>
      </c>
      <c r="P1624" s="6" t="str">
        <f>HYPERLINK("https://ceds.ed.gov/elementComment.aspx?elementName=Learner Activity Title &amp;elementID=5940", "Click here to submit comment")</f>
        <v>Click here to submit comment</v>
      </c>
    </row>
    <row r="1625" spans="1:16" ht="45">
      <c r="A1625" s="6" t="s">
        <v>6788</v>
      </c>
      <c r="B1625" s="6" t="s">
        <v>6784</v>
      </c>
      <c r="C1625" s="6" t="s">
        <v>6858</v>
      </c>
      <c r="D1625" s="6" t="s">
        <v>3464</v>
      </c>
      <c r="E1625" s="6" t="s">
        <v>3465</v>
      </c>
      <c r="F1625" s="6" t="s">
        <v>13</v>
      </c>
      <c r="G1625" s="6"/>
      <c r="H1625" s="6"/>
      <c r="I1625" s="6" t="s">
        <v>93</v>
      </c>
      <c r="J1625" s="6"/>
      <c r="K1625" s="6"/>
      <c r="L1625" s="6" t="s">
        <v>3466</v>
      </c>
      <c r="M1625" s="6"/>
      <c r="N1625" s="6" t="s">
        <v>3467</v>
      </c>
      <c r="O1625" s="6" t="str">
        <f>HYPERLINK("https://ceds.ed.gov/cedselementdetails.aspx?termid=5941")</f>
        <v>https://ceds.ed.gov/cedselementdetails.aspx?termid=5941</v>
      </c>
      <c r="P1625" s="6" t="str">
        <f>HYPERLINK("https://ceds.ed.gov/elementComment.aspx?elementName=Learner Activity Description &amp;elementID=5941", "Click here to submit comment")</f>
        <v>Click here to submit comment</v>
      </c>
    </row>
    <row r="1626" spans="1:16" ht="120">
      <c r="A1626" s="6" t="s">
        <v>6788</v>
      </c>
      <c r="B1626" s="6" t="s">
        <v>6784</v>
      </c>
      <c r="C1626" s="6" t="s">
        <v>6858</v>
      </c>
      <c r="D1626" s="6" t="s">
        <v>3499</v>
      </c>
      <c r="E1626" s="6" t="s">
        <v>3500</v>
      </c>
      <c r="F1626" s="6" t="s">
        <v>13</v>
      </c>
      <c r="G1626" s="6"/>
      <c r="H1626" s="6"/>
      <c r="I1626" s="6" t="s">
        <v>93</v>
      </c>
      <c r="J1626" s="6"/>
      <c r="K1626" s="6" t="s">
        <v>3501</v>
      </c>
      <c r="L1626" s="6" t="s">
        <v>3502</v>
      </c>
      <c r="M1626" s="6"/>
      <c r="N1626" s="6" t="s">
        <v>3503</v>
      </c>
      <c r="O1626" s="6" t="str">
        <f>HYPERLINK("https://ceds.ed.gov/cedselementdetails.aspx?termid=5942")</f>
        <v>https://ceds.ed.gov/cedselementdetails.aspx?termid=5942</v>
      </c>
      <c r="P1626" s="6" t="str">
        <f>HYPERLINK("https://ceds.ed.gov/elementComment.aspx?elementName=Learner Activity Prerequisite &amp;elementID=5942", "Click here to submit comment")</f>
        <v>Click here to submit comment</v>
      </c>
    </row>
    <row r="1627" spans="1:16" ht="75">
      <c r="A1627" s="6" t="s">
        <v>6788</v>
      </c>
      <c r="B1627" s="6" t="s">
        <v>6784</v>
      </c>
      <c r="C1627" s="6" t="s">
        <v>6858</v>
      </c>
      <c r="D1627" s="6" t="s">
        <v>3516</v>
      </c>
      <c r="E1627" s="6" t="s">
        <v>3517</v>
      </c>
      <c r="F1627" s="6" t="s">
        <v>6222</v>
      </c>
      <c r="G1627" s="6"/>
      <c r="H1627" s="6"/>
      <c r="I1627" s="6"/>
      <c r="J1627" s="6"/>
      <c r="K1627" s="6"/>
      <c r="L1627" s="6" t="s">
        <v>3518</v>
      </c>
      <c r="M1627" s="6"/>
      <c r="N1627" s="6" t="s">
        <v>3519</v>
      </c>
      <c r="O1627" s="6" t="str">
        <f>HYPERLINK("https://ceds.ed.gov/cedselementdetails.aspx?termid=5943")</f>
        <v>https://ceds.ed.gov/cedselementdetails.aspx?termid=5943</v>
      </c>
      <c r="P1627" s="6" t="str">
        <f>HYPERLINK("https://ceds.ed.gov/elementComment.aspx?elementName=Learner Activity Type &amp;elementID=5943", "Click here to submit comment")</f>
        <v>Click here to submit comment</v>
      </c>
    </row>
    <row r="1628" spans="1:16" ht="30">
      <c r="A1628" s="6" t="s">
        <v>6788</v>
      </c>
      <c r="B1628" s="6" t="s">
        <v>6784</v>
      </c>
      <c r="C1628" s="6" t="s">
        <v>6858</v>
      </c>
      <c r="D1628" s="6" t="s">
        <v>3460</v>
      </c>
      <c r="E1628" s="6" t="s">
        <v>3461</v>
      </c>
      <c r="F1628" s="6" t="s">
        <v>13</v>
      </c>
      <c r="G1628" s="6"/>
      <c r="H1628" s="6"/>
      <c r="I1628" s="6" t="s">
        <v>73</v>
      </c>
      <c r="J1628" s="6"/>
      <c r="K1628" s="6"/>
      <c r="L1628" s="6" t="s">
        <v>3462</v>
      </c>
      <c r="M1628" s="6"/>
      <c r="N1628" s="6" t="s">
        <v>3463</v>
      </c>
      <c r="O1628" s="6" t="str">
        <f>HYPERLINK("https://ceds.ed.gov/cedselementdetails.aspx?termid=5944")</f>
        <v>https://ceds.ed.gov/cedselementdetails.aspx?termid=5944</v>
      </c>
      <c r="P1628" s="6" t="str">
        <f>HYPERLINK("https://ceds.ed.gov/elementComment.aspx?elementName=Learner Activity Creation Date &amp;elementID=5944", "Click here to submit comment")</f>
        <v>Click here to submit comment</v>
      </c>
    </row>
    <row r="1629" spans="1:16" ht="45">
      <c r="A1629" s="6" t="s">
        <v>6788</v>
      </c>
      <c r="B1629" s="6" t="s">
        <v>6784</v>
      </c>
      <c r="C1629" s="6" t="s">
        <v>6858</v>
      </c>
      <c r="D1629" s="6" t="s">
        <v>3485</v>
      </c>
      <c r="E1629" s="6" t="s">
        <v>3486</v>
      </c>
      <c r="F1629" s="6" t="s">
        <v>13</v>
      </c>
      <c r="G1629" s="6"/>
      <c r="H1629" s="6"/>
      <c r="I1629" s="6" t="s">
        <v>308</v>
      </c>
      <c r="J1629" s="6"/>
      <c r="K1629" s="6" t="s">
        <v>3487</v>
      </c>
      <c r="L1629" s="6" t="s">
        <v>3488</v>
      </c>
      <c r="M1629" s="6"/>
      <c r="N1629" s="6" t="s">
        <v>3489</v>
      </c>
      <c r="O1629" s="6" t="str">
        <f>HYPERLINK("https://ceds.ed.gov/cedselementdetails.aspx?termid=5945")</f>
        <v>https://ceds.ed.gov/cedselementdetails.aspx?termid=5945</v>
      </c>
      <c r="P1629" s="6" t="str">
        <f>HYPERLINK("https://ceds.ed.gov/elementComment.aspx?elementName=Learner Activity Maximum Time Allowed &amp;elementID=5945", "Click here to submit comment")</f>
        <v>Click here to submit comment</v>
      </c>
    </row>
    <row r="1630" spans="1:16" ht="90">
      <c r="A1630" s="6" t="s">
        <v>6788</v>
      </c>
      <c r="B1630" s="6" t="s">
        <v>6784</v>
      </c>
      <c r="C1630" s="6" t="s">
        <v>6858</v>
      </c>
      <c r="D1630" s="6" t="s">
        <v>3490</v>
      </c>
      <c r="E1630" s="6" t="s">
        <v>3491</v>
      </c>
      <c r="F1630" s="6" t="s">
        <v>6221</v>
      </c>
      <c r="G1630" s="6"/>
      <c r="H1630" s="6"/>
      <c r="I1630" s="6"/>
      <c r="J1630" s="6"/>
      <c r="K1630" s="6"/>
      <c r="L1630" s="6" t="s">
        <v>3492</v>
      </c>
      <c r="M1630" s="6"/>
      <c r="N1630" s="6" t="s">
        <v>3493</v>
      </c>
      <c r="O1630" s="6" t="str">
        <f>HYPERLINK("https://ceds.ed.gov/cedselementdetails.aspx?termid=5946")</f>
        <v>https://ceds.ed.gov/cedselementdetails.aspx?termid=5946</v>
      </c>
      <c r="P1630" s="6" t="str">
        <f>HYPERLINK("https://ceds.ed.gov/elementComment.aspx?elementName=Learner Activity Maximum Time Allowed Unit &amp;elementID=5946", "Click here to submit comment")</f>
        <v>Click here to submit comment</v>
      </c>
    </row>
    <row r="1631" spans="1:16" ht="30">
      <c r="A1631" s="6" t="s">
        <v>6788</v>
      </c>
      <c r="B1631" s="6" t="s">
        <v>6784</v>
      </c>
      <c r="C1631" s="6" t="s">
        <v>6858</v>
      </c>
      <c r="D1631" s="6" t="s">
        <v>3468</v>
      </c>
      <c r="E1631" s="6" t="s">
        <v>3469</v>
      </c>
      <c r="F1631" s="6" t="s">
        <v>13</v>
      </c>
      <c r="G1631" s="6"/>
      <c r="H1631" s="6"/>
      <c r="I1631" s="6" t="s">
        <v>73</v>
      </c>
      <c r="J1631" s="6"/>
      <c r="K1631" s="6"/>
      <c r="L1631" s="6" t="s">
        <v>3470</v>
      </c>
      <c r="M1631" s="6"/>
      <c r="N1631" s="6" t="s">
        <v>3471</v>
      </c>
      <c r="O1631" s="6" t="str">
        <f>HYPERLINK("https://ceds.ed.gov/cedselementdetails.aspx?termid=5947")</f>
        <v>https://ceds.ed.gov/cedselementdetails.aspx?termid=5947</v>
      </c>
      <c r="P1631" s="6" t="str">
        <f>HYPERLINK("https://ceds.ed.gov/elementComment.aspx?elementName=Learner Activity Due Date &amp;elementID=5947", "Click here to submit comment")</f>
        <v>Click here to submit comment</v>
      </c>
    </row>
    <row r="1632" spans="1:16" ht="30">
      <c r="A1632" s="6" t="s">
        <v>6788</v>
      </c>
      <c r="B1632" s="6" t="s">
        <v>6784</v>
      </c>
      <c r="C1632" s="6" t="s">
        <v>6858</v>
      </c>
      <c r="D1632" s="6" t="s">
        <v>3472</v>
      </c>
      <c r="E1632" s="6" t="s">
        <v>3473</v>
      </c>
      <c r="F1632" s="6" t="s">
        <v>13</v>
      </c>
      <c r="G1632" s="6"/>
      <c r="H1632" s="6"/>
      <c r="I1632" s="6" t="s">
        <v>426</v>
      </c>
      <c r="J1632" s="6"/>
      <c r="K1632" s="6"/>
      <c r="L1632" s="6" t="s">
        <v>3474</v>
      </c>
      <c r="M1632" s="6"/>
      <c r="N1632" s="6" t="s">
        <v>3475</v>
      </c>
      <c r="O1632" s="6" t="str">
        <f>HYPERLINK("https://ceds.ed.gov/cedselementdetails.aspx?termid=5948")</f>
        <v>https://ceds.ed.gov/cedselementdetails.aspx?termid=5948</v>
      </c>
      <c r="P1632" s="6" t="str">
        <f>HYPERLINK("https://ceds.ed.gov/elementComment.aspx?elementName=Learner Activity Due Time &amp;elementID=5948", "Click here to submit comment")</f>
        <v>Click here to submit comment</v>
      </c>
    </row>
    <row r="1633" spans="1:16" ht="45">
      <c r="A1633" s="6" t="s">
        <v>6788</v>
      </c>
      <c r="B1633" s="6" t="s">
        <v>6784</v>
      </c>
      <c r="C1633" s="6" t="s">
        <v>6858</v>
      </c>
      <c r="D1633" s="6" t="s">
        <v>3481</v>
      </c>
      <c r="E1633" s="6" t="s">
        <v>3482</v>
      </c>
      <c r="F1633" s="6" t="s">
        <v>13</v>
      </c>
      <c r="G1633" s="6"/>
      <c r="H1633" s="6"/>
      <c r="I1633" s="6" t="s">
        <v>308</v>
      </c>
      <c r="J1633" s="6"/>
      <c r="K1633" s="6"/>
      <c r="L1633" s="6" t="s">
        <v>3483</v>
      </c>
      <c r="M1633" s="6"/>
      <c r="N1633" s="6" t="s">
        <v>3484</v>
      </c>
      <c r="O1633" s="6" t="str">
        <f>HYPERLINK("https://ceds.ed.gov/cedselementdetails.aspx?termid=5949")</f>
        <v>https://ceds.ed.gov/cedselementdetails.aspx?termid=5949</v>
      </c>
      <c r="P1633" s="6" t="str">
        <f>HYPERLINK("https://ceds.ed.gov/elementComment.aspx?elementName=Learner Activity Maximum Attempts Allowed &amp;elementID=5949", "Click here to submit comment")</f>
        <v>Click here to submit comment</v>
      </c>
    </row>
    <row r="1634" spans="1:16" ht="75">
      <c r="A1634" s="6" t="s">
        <v>6788</v>
      </c>
      <c r="B1634" s="6" t="s">
        <v>6784</v>
      </c>
      <c r="C1634" s="6" t="s">
        <v>6858</v>
      </c>
      <c r="D1634" s="6" t="s">
        <v>3456</v>
      </c>
      <c r="E1634" s="6" t="s">
        <v>3457</v>
      </c>
      <c r="F1634" s="7" t="s">
        <v>6373</v>
      </c>
      <c r="G1634" s="6"/>
      <c r="H1634" s="6"/>
      <c r="I1634" s="6"/>
      <c r="J1634" s="6"/>
      <c r="K1634" s="6"/>
      <c r="L1634" s="6" t="s">
        <v>3458</v>
      </c>
      <c r="M1634" s="6"/>
      <c r="N1634" s="6" t="s">
        <v>3459</v>
      </c>
      <c r="O1634" s="6" t="str">
        <f>HYPERLINK("https://ceds.ed.gov/cedselementdetails.aspx?termid=5950")</f>
        <v>https://ceds.ed.gov/cedselementdetails.aspx?termid=5950</v>
      </c>
      <c r="P1634" s="6" t="str">
        <f>HYPERLINK("https://ceds.ed.gov/elementComment.aspx?elementName=Learner Activity Add To Grade Book Flag &amp;elementID=5950", "Click here to submit comment")</f>
        <v>Click here to submit comment</v>
      </c>
    </row>
    <row r="1635" spans="1:16" ht="60">
      <c r="A1635" s="6" t="s">
        <v>6788</v>
      </c>
      <c r="B1635" s="6" t="s">
        <v>6784</v>
      </c>
      <c r="C1635" s="6" t="s">
        <v>6858</v>
      </c>
      <c r="D1635" s="6" t="s">
        <v>3504</v>
      </c>
      <c r="E1635" s="6" t="s">
        <v>3505</v>
      </c>
      <c r="F1635" s="6" t="s">
        <v>13</v>
      </c>
      <c r="G1635" s="6"/>
      <c r="H1635" s="6"/>
      <c r="I1635" s="6" t="s">
        <v>73</v>
      </c>
      <c r="J1635" s="6"/>
      <c r="K1635" s="6"/>
      <c r="L1635" s="6" t="s">
        <v>3506</v>
      </c>
      <c r="M1635" s="6"/>
      <c r="N1635" s="6" t="s">
        <v>3507</v>
      </c>
      <c r="O1635" s="6" t="str">
        <f>HYPERLINK("https://ceds.ed.gov/cedselementdetails.aspx?termid=5951")</f>
        <v>https://ceds.ed.gov/cedselementdetails.aspx?termid=5951</v>
      </c>
      <c r="P1635" s="6" t="str">
        <f>HYPERLINK("https://ceds.ed.gov/elementComment.aspx?elementName=Learner Activity Release Date &amp;elementID=5951", "Click here to submit comment")</f>
        <v>Click here to submit comment</v>
      </c>
    </row>
    <row r="1636" spans="1:16" ht="45">
      <c r="A1636" s="6" t="s">
        <v>6788</v>
      </c>
      <c r="B1636" s="6" t="s">
        <v>6784</v>
      </c>
      <c r="C1636" s="6" t="s">
        <v>6858</v>
      </c>
      <c r="D1636" s="6" t="s">
        <v>3520</v>
      </c>
      <c r="E1636" s="6" t="s">
        <v>3521</v>
      </c>
      <c r="F1636" s="6" t="s">
        <v>13</v>
      </c>
      <c r="G1636" s="6"/>
      <c r="H1636" s="6"/>
      <c r="I1636" s="6" t="s">
        <v>740</v>
      </c>
      <c r="J1636" s="6"/>
      <c r="K1636" s="6"/>
      <c r="L1636" s="6" t="s">
        <v>3522</v>
      </c>
      <c r="M1636" s="6"/>
      <c r="N1636" s="6" t="s">
        <v>3523</v>
      </c>
      <c r="O1636" s="6" t="str">
        <f>HYPERLINK("https://ceds.ed.gov/cedselementdetails.aspx?termid=5952")</f>
        <v>https://ceds.ed.gov/cedselementdetails.aspx?termid=5952</v>
      </c>
      <c r="P1636" s="6" t="str">
        <f>HYPERLINK("https://ceds.ed.gov/elementComment.aspx?elementName=Learner Activity Weight &amp;elementID=5952", "Click here to submit comment")</f>
        <v>Click here to submit comment</v>
      </c>
    </row>
    <row r="1637" spans="1:16" ht="30">
      <c r="A1637" s="6" t="s">
        <v>6788</v>
      </c>
      <c r="B1637" s="6" t="s">
        <v>6784</v>
      </c>
      <c r="C1637" s="6" t="s">
        <v>6858</v>
      </c>
      <c r="D1637" s="6" t="s">
        <v>3494</v>
      </c>
      <c r="E1637" s="6" t="s">
        <v>3495</v>
      </c>
      <c r="F1637" s="6" t="s">
        <v>13</v>
      </c>
      <c r="G1637" s="6"/>
      <c r="H1637" s="6"/>
      <c r="I1637" s="6" t="s">
        <v>3496</v>
      </c>
      <c r="J1637" s="6"/>
      <c r="K1637" s="6"/>
      <c r="L1637" s="6" t="s">
        <v>3497</v>
      </c>
      <c r="M1637" s="6"/>
      <c r="N1637" s="6" t="s">
        <v>3498</v>
      </c>
      <c r="O1637" s="6" t="str">
        <f>HYPERLINK("https://ceds.ed.gov/cedselementdetails.aspx?termid=5953")</f>
        <v>https://ceds.ed.gov/cedselementdetails.aspx?termid=5953</v>
      </c>
      <c r="P1637" s="6" t="str">
        <f>HYPERLINK("https://ceds.ed.gov/elementComment.aspx?elementName=Learner Activity Possible Points &amp;elementID=5953", "Click here to submit comment")</f>
        <v>Click here to submit comment</v>
      </c>
    </row>
    <row r="1638" spans="1:16" ht="60">
      <c r="A1638" s="6" t="s">
        <v>6788</v>
      </c>
      <c r="B1638" s="6" t="s">
        <v>6784</v>
      </c>
      <c r="C1638" s="6" t="s">
        <v>6858</v>
      </c>
      <c r="D1638" s="6" t="s">
        <v>3508</v>
      </c>
      <c r="E1638" s="6" t="s">
        <v>3509</v>
      </c>
      <c r="F1638" s="6" t="s">
        <v>13</v>
      </c>
      <c r="G1638" s="6"/>
      <c r="H1638" s="6"/>
      <c r="I1638" s="6" t="s">
        <v>93</v>
      </c>
      <c r="J1638" s="6"/>
      <c r="K1638" s="6"/>
      <c r="L1638" s="6" t="s">
        <v>3510</v>
      </c>
      <c r="M1638" s="6"/>
      <c r="N1638" s="6" t="s">
        <v>3511</v>
      </c>
      <c r="O1638" s="6" t="str">
        <f>HYPERLINK("https://ceds.ed.gov/cedselementdetails.aspx?termid=5954")</f>
        <v>https://ceds.ed.gov/cedselementdetails.aspx?termid=5954</v>
      </c>
      <c r="P1638" s="6" t="str">
        <f>HYPERLINK("https://ceds.ed.gov/elementComment.aspx?elementName=Learner Activity Rubric URL &amp;elementID=5954", "Click here to submit comment")</f>
        <v>Click here to submit comment</v>
      </c>
    </row>
    <row r="1639" spans="1:16" ht="75">
      <c r="A1639" s="6" t="s">
        <v>6788</v>
      </c>
      <c r="B1639" s="6" t="s">
        <v>6784</v>
      </c>
      <c r="C1639" s="6" t="s">
        <v>6858</v>
      </c>
      <c r="D1639" s="6" t="s">
        <v>3476</v>
      </c>
      <c r="E1639" s="6" t="s">
        <v>3477</v>
      </c>
      <c r="F1639" s="5" t="s">
        <v>939</v>
      </c>
      <c r="G1639" s="6"/>
      <c r="H1639" s="6"/>
      <c r="I1639" s="6"/>
      <c r="J1639" s="6"/>
      <c r="K1639" s="6" t="s">
        <v>3478</v>
      </c>
      <c r="L1639" s="6" t="s">
        <v>3479</v>
      </c>
      <c r="M1639" s="6"/>
      <c r="N1639" s="6" t="s">
        <v>3480</v>
      </c>
      <c r="O1639" s="6" t="str">
        <f>HYPERLINK("https://ceds.ed.gov/cedselementdetails.aspx?termid=5939")</f>
        <v>https://ceds.ed.gov/cedselementdetails.aspx?termid=5939</v>
      </c>
      <c r="P1639" s="6" t="str">
        <f>HYPERLINK("https://ceds.ed.gov/elementComment.aspx?elementName=Learner Activity Language &amp;elementID=5939", "Click here to submit comment")</f>
        <v>Click here to submit comment</v>
      </c>
    </row>
    <row r="1640" spans="1:16" ht="45">
      <c r="A1640" s="6" t="s">
        <v>6788</v>
      </c>
      <c r="B1640" s="6" t="s">
        <v>6784</v>
      </c>
      <c r="C1640" s="6" t="s">
        <v>6859</v>
      </c>
      <c r="D1640" s="6" t="s">
        <v>1121</v>
      </c>
      <c r="E1640" s="6" t="s">
        <v>1122</v>
      </c>
      <c r="F1640" s="6" t="s">
        <v>13</v>
      </c>
      <c r="G1640" s="6" t="s">
        <v>493</v>
      </c>
      <c r="H1640" s="6"/>
      <c r="I1640" s="6" t="s">
        <v>100</v>
      </c>
      <c r="J1640" s="6"/>
      <c r="K1640" s="6"/>
      <c r="L1640" s="6" t="s">
        <v>1123</v>
      </c>
      <c r="M1640" s="6"/>
      <c r="N1640" s="6" t="s">
        <v>1124</v>
      </c>
      <c r="O1640" s="6" t="str">
        <f>HYPERLINK("https://ceds.ed.gov/cedselementdetails.aspx?termid=5693")</f>
        <v>https://ceds.ed.gov/cedselementdetails.aspx?termid=5693</v>
      </c>
      <c r="P1640" s="6" t="str">
        <f>HYPERLINK("https://ceds.ed.gov/elementComment.aspx?elementName=Assessment Performance Level Identifier &amp;elementID=5693", "Click here to submit comment")</f>
        <v>Click here to submit comment</v>
      </c>
    </row>
    <row r="1641" spans="1:16" ht="45">
      <c r="A1641" s="6" t="s">
        <v>6788</v>
      </c>
      <c r="B1641" s="6" t="s">
        <v>6784</v>
      </c>
      <c r="C1641" s="6" t="s">
        <v>6859</v>
      </c>
      <c r="D1641" s="6" t="s">
        <v>1125</v>
      </c>
      <c r="E1641" s="6" t="s">
        <v>1126</v>
      </c>
      <c r="F1641" s="6" t="s">
        <v>13</v>
      </c>
      <c r="G1641" s="6" t="s">
        <v>493</v>
      </c>
      <c r="H1641" s="6"/>
      <c r="I1641" s="6" t="s">
        <v>1127</v>
      </c>
      <c r="J1641" s="6"/>
      <c r="K1641" s="6"/>
      <c r="L1641" s="6" t="s">
        <v>1128</v>
      </c>
      <c r="M1641" s="6"/>
      <c r="N1641" s="6" t="s">
        <v>1129</v>
      </c>
      <c r="O1641" s="6" t="str">
        <f>HYPERLINK("https://ceds.ed.gov/cedselementdetails.aspx?termid=5694")</f>
        <v>https://ceds.ed.gov/cedselementdetails.aspx?termid=5694</v>
      </c>
      <c r="P1641" s="6" t="str">
        <f>HYPERLINK("https://ceds.ed.gov/elementComment.aspx?elementName=Assessment Performance Level Label &amp;elementID=5694", "Click here to submit comment")</f>
        <v>Click here to submit comment</v>
      </c>
    </row>
    <row r="1642" spans="1:16" ht="45">
      <c r="A1642" s="6" t="s">
        <v>6788</v>
      </c>
      <c r="B1642" s="6" t="s">
        <v>6784</v>
      </c>
      <c r="C1642" s="6" t="s">
        <v>6859</v>
      </c>
      <c r="D1642" s="6" t="s">
        <v>1130</v>
      </c>
      <c r="E1642" s="6" t="s">
        <v>1131</v>
      </c>
      <c r="F1642" s="6" t="s">
        <v>13</v>
      </c>
      <c r="G1642" s="6" t="s">
        <v>5992</v>
      </c>
      <c r="H1642" s="6"/>
      <c r="I1642" s="6" t="s">
        <v>100</v>
      </c>
      <c r="J1642" s="6"/>
      <c r="K1642" s="6"/>
      <c r="L1642" s="6" t="s">
        <v>1132</v>
      </c>
      <c r="M1642" s="6"/>
      <c r="N1642" s="6" t="s">
        <v>1133</v>
      </c>
      <c r="O1642" s="6" t="str">
        <f>HYPERLINK("https://ceds.ed.gov/cedselementdetails.aspx?termid=5408")</f>
        <v>https://ceds.ed.gov/cedselementdetails.aspx?termid=5408</v>
      </c>
      <c r="P1642" s="6" t="str">
        <f>HYPERLINK("https://ceds.ed.gov/elementComment.aspx?elementName=Assessment Performance Level Lower Cut Score &amp;elementID=5408", "Click here to submit comment")</f>
        <v>Click here to submit comment</v>
      </c>
    </row>
    <row r="1643" spans="1:16" ht="409.5">
      <c r="A1643" s="6" t="s">
        <v>6788</v>
      </c>
      <c r="B1643" s="6" t="s">
        <v>6784</v>
      </c>
      <c r="C1643" s="6" t="s">
        <v>6859</v>
      </c>
      <c r="D1643" s="6" t="s">
        <v>1134</v>
      </c>
      <c r="E1643" s="6" t="s">
        <v>1135</v>
      </c>
      <c r="F1643" s="7" t="s">
        <v>6398</v>
      </c>
      <c r="G1643" s="6" t="s">
        <v>5992</v>
      </c>
      <c r="H1643" s="6"/>
      <c r="I1643" s="6" t="s">
        <v>100</v>
      </c>
      <c r="J1643" s="6"/>
      <c r="K1643" s="6"/>
      <c r="L1643" s="6" t="s">
        <v>1136</v>
      </c>
      <c r="M1643" s="6"/>
      <c r="N1643" s="6" t="s">
        <v>1137</v>
      </c>
      <c r="O1643" s="6" t="str">
        <f>HYPERLINK("https://ceds.ed.gov/cedselementdetails.aspx?termid=5407")</f>
        <v>https://ceds.ed.gov/cedselementdetails.aspx?termid=5407</v>
      </c>
      <c r="P1643" s="6" t="str">
        <f>HYPERLINK("https://ceds.ed.gov/elementComment.aspx?elementName=Assessment Performance Level Score Metric &amp;elementID=5407", "Click here to submit comment")</f>
        <v>Click here to submit comment</v>
      </c>
    </row>
    <row r="1644" spans="1:16" ht="45">
      <c r="A1644" s="6" t="s">
        <v>6788</v>
      </c>
      <c r="B1644" s="6" t="s">
        <v>6784</v>
      </c>
      <c r="C1644" s="6" t="s">
        <v>6859</v>
      </c>
      <c r="D1644" s="6" t="s">
        <v>1138</v>
      </c>
      <c r="E1644" s="6" t="s">
        <v>1139</v>
      </c>
      <c r="F1644" s="6" t="s">
        <v>13</v>
      </c>
      <c r="G1644" s="6" t="s">
        <v>5992</v>
      </c>
      <c r="H1644" s="6"/>
      <c r="I1644" s="6" t="s">
        <v>100</v>
      </c>
      <c r="J1644" s="6"/>
      <c r="K1644" s="6"/>
      <c r="L1644" s="6" t="s">
        <v>1140</v>
      </c>
      <c r="M1644" s="6"/>
      <c r="N1644" s="6" t="s">
        <v>1141</v>
      </c>
      <c r="O1644" s="6" t="str">
        <f>HYPERLINK("https://ceds.ed.gov/cedselementdetails.aspx?termid=5409")</f>
        <v>https://ceds.ed.gov/cedselementdetails.aspx?termid=5409</v>
      </c>
      <c r="P1644" s="6" t="str">
        <f>HYPERLINK("https://ceds.ed.gov/elementComment.aspx?elementName=Assessment Performance Level Upper Cut Score &amp;elementID=5409", "Click here to submit comment")</f>
        <v>Click here to submit comment</v>
      </c>
    </row>
    <row r="1645" spans="1:16" ht="60">
      <c r="A1645" s="6" t="s">
        <v>6788</v>
      </c>
      <c r="B1645" s="6" t="s">
        <v>6784</v>
      </c>
      <c r="C1645" s="6" t="s">
        <v>6859</v>
      </c>
      <c r="D1645" s="6" t="s">
        <v>1117</v>
      </c>
      <c r="E1645" s="6" t="s">
        <v>1118</v>
      </c>
      <c r="F1645" s="6" t="s">
        <v>13</v>
      </c>
      <c r="G1645" s="6"/>
      <c r="H1645" s="6"/>
      <c r="I1645" s="6" t="s">
        <v>319</v>
      </c>
      <c r="J1645" s="6"/>
      <c r="K1645" s="6"/>
      <c r="L1645" s="6" t="s">
        <v>1119</v>
      </c>
      <c r="M1645" s="6"/>
      <c r="N1645" s="6" t="s">
        <v>1120</v>
      </c>
      <c r="O1645" s="6" t="str">
        <f>HYPERLINK("https://ceds.ed.gov/cedselementdetails.aspx?termid=6184")</f>
        <v>https://ceds.ed.gov/cedselementdetails.aspx?termid=6184</v>
      </c>
      <c r="P1645" s="6" t="str">
        <f>HYPERLINK("https://ceds.ed.gov/elementComment.aspx?elementName=Assessment Performance Level Descriptive Feedback &amp;elementID=6184", "Click here to submit comment")</f>
        <v>Click here to submit comment</v>
      </c>
    </row>
    <row r="1646" spans="1:16" ht="30">
      <c r="A1646" s="6" t="s">
        <v>6788</v>
      </c>
      <c r="B1646" s="6" t="s">
        <v>6784</v>
      </c>
      <c r="C1646" s="6" t="s">
        <v>6860</v>
      </c>
      <c r="D1646" s="6" t="s">
        <v>1209</v>
      </c>
      <c r="E1646" s="6" t="s">
        <v>1210</v>
      </c>
      <c r="F1646" s="6" t="s">
        <v>13</v>
      </c>
      <c r="G1646" s="6" t="s">
        <v>6018</v>
      </c>
      <c r="H1646" s="6" t="s">
        <v>66</v>
      </c>
      <c r="I1646" s="6" t="s">
        <v>100</v>
      </c>
      <c r="J1646" s="6" t="s">
        <v>1211</v>
      </c>
      <c r="K1646" s="6"/>
      <c r="L1646" s="6" t="s">
        <v>1212</v>
      </c>
      <c r="M1646" s="6"/>
      <c r="N1646" s="6" t="s">
        <v>1213</v>
      </c>
      <c r="O1646" s="6" t="str">
        <f>HYPERLINK("https://ceds.ed.gov/cedselementdetails.aspx?termid=5412")</f>
        <v>https://ceds.ed.gov/cedselementdetails.aspx?termid=5412</v>
      </c>
      <c r="P1646" s="6" t="str">
        <f>HYPERLINK("https://ceds.ed.gov/elementComment.aspx?elementName=Assessment Rubric Identifier &amp;elementID=5412", "Click here to submit comment")</f>
        <v>Click here to submit comment</v>
      </c>
    </row>
    <row r="1647" spans="1:16" ht="30">
      <c r="A1647" s="6" t="s">
        <v>6788</v>
      </c>
      <c r="B1647" s="6" t="s">
        <v>6784</v>
      </c>
      <c r="C1647" s="6" t="s">
        <v>6860</v>
      </c>
      <c r="D1647" s="6" t="s">
        <v>1214</v>
      </c>
      <c r="E1647" s="6" t="s">
        <v>1215</v>
      </c>
      <c r="F1647" s="6" t="s">
        <v>13</v>
      </c>
      <c r="G1647" s="6" t="s">
        <v>6018</v>
      </c>
      <c r="H1647" s="6" t="s">
        <v>66</v>
      </c>
      <c r="I1647" s="6" t="s">
        <v>100</v>
      </c>
      <c r="J1647" s="6" t="s">
        <v>1216</v>
      </c>
      <c r="K1647" s="6"/>
      <c r="L1647" s="6" t="s">
        <v>1217</v>
      </c>
      <c r="M1647" s="6"/>
      <c r="N1647" s="6" t="s">
        <v>1218</v>
      </c>
      <c r="O1647" s="6" t="str">
        <f>HYPERLINK("https://ceds.ed.gov/cedselementdetails.aspx?termid=5411")</f>
        <v>https://ceds.ed.gov/cedselementdetails.aspx?termid=5411</v>
      </c>
      <c r="P1647" s="6" t="str">
        <f>HYPERLINK("https://ceds.ed.gov/elementComment.aspx?elementName=Assessment Rubric Title &amp;elementID=5411", "Click here to submit comment")</f>
        <v>Click here to submit comment</v>
      </c>
    </row>
    <row r="1648" spans="1:16" ht="30">
      <c r="A1648" s="6" t="s">
        <v>6788</v>
      </c>
      <c r="B1648" s="6" t="s">
        <v>6784</v>
      </c>
      <c r="C1648" s="6" t="s">
        <v>6860</v>
      </c>
      <c r="D1648" s="6" t="s">
        <v>1219</v>
      </c>
      <c r="E1648" s="6" t="s">
        <v>1220</v>
      </c>
      <c r="F1648" s="6" t="s">
        <v>13</v>
      </c>
      <c r="G1648" s="6" t="s">
        <v>6018</v>
      </c>
      <c r="H1648" s="6" t="s">
        <v>66</v>
      </c>
      <c r="I1648" s="6" t="s">
        <v>100</v>
      </c>
      <c r="J1648" s="6" t="s">
        <v>1221</v>
      </c>
      <c r="K1648" s="6"/>
      <c r="L1648" s="6" t="s">
        <v>1222</v>
      </c>
      <c r="M1648" s="6"/>
      <c r="N1648" s="6" t="s">
        <v>1223</v>
      </c>
      <c r="O1648" s="6" t="str">
        <f>HYPERLINK("https://ceds.ed.gov/cedselementdetails.aspx?termid=5413")</f>
        <v>https://ceds.ed.gov/cedselementdetails.aspx?termid=5413</v>
      </c>
      <c r="P1648" s="6" t="str">
        <f>HYPERLINK("https://ceds.ed.gov/elementComment.aspx?elementName=Assessment Rubric URL Reference &amp;elementID=5413", "Click here to submit comment")</f>
        <v>Click here to submit comment</v>
      </c>
    </row>
    <row r="1649" spans="1:16" ht="30">
      <c r="A1649" s="6" t="s">
        <v>6788</v>
      </c>
      <c r="B1649" s="6" t="s">
        <v>6784</v>
      </c>
      <c r="C1649" s="6" t="s">
        <v>6860</v>
      </c>
      <c r="D1649" s="6" t="s">
        <v>5082</v>
      </c>
      <c r="E1649" s="6" t="s">
        <v>5083</v>
      </c>
      <c r="F1649" s="6" t="s">
        <v>13</v>
      </c>
      <c r="G1649" s="6"/>
      <c r="H1649" s="6" t="s">
        <v>54</v>
      </c>
      <c r="I1649" s="6" t="s">
        <v>100</v>
      </c>
      <c r="J1649" s="6"/>
      <c r="K1649" s="6"/>
      <c r="L1649" s="6" t="s">
        <v>5084</v>
      </c>
      <c r="M1649" s="6"/>
      <c r="N1649" s="6" t="s">
        <v>5085</v>
      </c>
      <c r="O1649" s="6" t="str">
        <f>HYPERLINK("https://ceds.ed.gov/cedselementdetails.aspx?termid=6441")</f>
        <v>https://ceds.ed.gov/cedselementdetails.aspx?termid=6441</v>
      </c>
      <c r="P1649" s="6" t="str">
        <f>HYPERLINK("https://ceds.ed.gov/elementComment.aspx?elementName=Rubric Criterion Category &amp;elementID=6441", "Click here to submit comment")</f>
        <v>Click here to submit comment</v>
      </c>
    </row>
    <row r="1650" spans="1:16" ht="45">
      <c r="A1650" s="6" t="s">
        <v>6788</v>
      </c>
      <c r="B1650" s="6" t="s">
        <v>6784</v>
      </c>
      <c r="C1650" s="6" t="s">
        <v>6860</v>
      </c>
      <c r="D1650" s="6" t="s">
        <v>5086</v>
      </c>
      <c r="E1650" s="6" t="s">
        <v>5087</v>
      </c>
      <c r="F1650" s="6" t="s">
        <v>13</v>
      </c>
      <c r="G1650" s="6"/>
      <c r="H1650" s="6" t="s">
        <v>54</v>
      </c>
      <c r="I1650" s="6" t="s">
        <v>319</v>
      </c>
      <c r="J1650" s="6"/>
      <c r="K1650" s="6"/>
      <c r="L1650" s="6" t="s">
        <v>5088</v>
      </c>
      <c r="M1650" s="6"/>
      <c r="N1650" s="6" t="s">
        <v>5089</v>
      </c>
      <c r="O1650" s="6" t="str">
        <f>HYPERLINK("https://ceds.ed.gov/cedselementdetails.aspx?termid=6442")</f>
        <v>https://ceds.ed.gov/cedselementdetails.aspx?termid=6442</v>
      </c>
      <c r="P1650" s="6" t="str">
        <f>HYPERLINK("https://ceds.ed.gov/elementComment.aspx?elementName=Rubric Criterion Description &amp;elementID=6442", "Click here to submit comment")</f>
        <v>Click here to submit comment</v>
      </c>
    </row>
    <row r="1651" spans="1:16" ht="60">
      <c r="A1651" s="6" t="s">
        <v>6788</v>
      </c>
      <c r="B1651" s="6" t="s">
        <v>6784</v>
      </c>
      <c r="C1651" s="6" t="s">
        <v>6860</v>
      </c>
      <c r="D1651" s="6" t="s">
        <v>5090</v>
      </c>
      <c r="E1651" s="6" t="s">
        <v>5091</v>
      </c>
      <c r="F1651" s="6" t="s">
        <v>13</v>
      </c>
      <c r="G1651" s="6"/>
      <c r="H1651" s="6" t="s">
        <v>54</v>
      </c>
      <c r="I1651" s="6" t="s">
        <v>319</v>
      </c>
      <c r="J1651" s="6"/>
      <c r="K1651" s="6"/>
      <c r="L1651" s="6" t="s">
        <v>5092</v>
      </c>
      <c r="M1651" s="6"/>
      <c r="N1651" s="6" t="s">
        <v>5093</v>
      </c>
      <c r="O1651" s="6" t="str">
        <f>HYPERLINK("https://ceds.ed.gov/cedselementdetails.aspx?termid=6443")</f>
        <v>https://ceds.ed.gov/cedselementdetails.aspx?termid=6443</v>
      </c>
      <c r="P1651" s="6" t="str">
        <f>HYPERLINK("https://ceds.ed.gov/elementComment.aspx?elementName=Rubric Criterion Level Description &amp;elementID=6443", "Click here to submit comment")</f>
        <v>Click here to submit comment</v>
      </c>
    </row>
    <row r="1652" spans="1:16" ht="75">
      <c r="A1652" s="6" t="s">
        <v>6788</v>
      </c>
      <c r="B1652" s="6" t="s">
        <v>6784</v>
      </c>
      <c r="C1652" s="6" t="s">
        <v>6860</v>
      </c>
      <c r="D1652" s="6" t="s">
        <v>5094</v>
      </c>
      <c r="E1652" s="6" t="s">
        <v>5095</v>
      </c>
      <c r="F1652" s="6" t="s">
        <v>13</v>
      </c>
      <c r="G1652" s="6"/>
      <c r="H1652" s="6" t="s">
        <v>54</v>
      </c>
      <c r="I1652" s="6" t="s">
        <v>319</v>
      </c>
      <c r="J1652" s="6"/>
      <c r="K1652" s="6"/>
      <c r="L1652" s="6" t="s">
        <v>5096</v>
      </c>
      <c r="M1652" s="6"/>
      <c r="N1652" s="6" t="s">
        <v>5097</v>
      </c>
      <c r="O1652" s="6" t="str">
        <f>HYPERLINK("https://ceds.ed.gov/cedselementdetails.aspx?termid=6444")</f>
        <v>https://ceds.ed.gov/cedselementdetails.aspx?termid=6444</v>
      </c>
      <c r="P1652" s="6" t="str">
        <f>HYPERLINK("https://ceds.ed.gov/elementComment.aspx?elementName=Rubric Criterion Level Feedback &amp;elementID=6444", "Click here to submit comment")</f>
        <v>Click here to submit comment</v>
      </c>
    </row>
    <row r="1653" spans="1:16" ht="45">
      <c r="A1653" s="6" t="s">
        <v>6788</v>
      </c>
      <c r="B1653" s="6" t="s">
        <v>6784</v>
      </c>
      <c r="C1653" s="6" t="s">
        <v>6860</v>
      </c>
      <c r="D1653" s="6" t="s">
        <v>5098</v>
      </c>
      <c r="E1653" s="6" t="s">
        <v>5099</v>
      </c>
      <c r="F1653" s="6" t="s">
        <v>13</v>
      </c>
      <c r="G1653" s="6"/>
      <c r="H1653" s="6" t="s">
        <v>54</v>
      </c>
      <c r="I1653" s="6" t="s">
        <v>545</v>
      </c>
      <c r="J1653" s="6"/>
      <c r="K1653" s="6"/>
      <c r="L1653" s="6" t="s">
        <v>5100</v>
      </c>
      <c r="M1653" s="6"/>
      <c r="N1653" s="6" t="s">
        <v>5101</v>
      </c>
      <c r="O1653" s="6" t="str">
        <f>HYPERLINK("https://ceds.ed.gov/cedselementdetails.aspx?termid=6445")</f>
        <v>https://ceds.ed.gov/cedselementdetails.aspx?termid=6445</v>
      </c>
      <c r="P1653" s="6" t="str">
        <f>HYPERLINK("https://ceds.ed.gov/elementComment.aspx?elementName=Rubric Criterion Level Position &amp;elementID=6445", "Click here to submit comment")</f>
        <v>Click here to submit comment</v>
      </c>
    </row>
    <row r="1654" spans="1:16" ht="60">
      <c r="A1654" s="6" t="s">
        <v>6788</v>
      </c>
      <c r="B1654" s="6" t="s">
        <v>6784</v>
      </c>
      <c r="C1654" s="6" t="s">
        <v>6860</v>
      </c>
      <c r="D1654" s="6" t="s">
        <v>5102</v>
      </c>
      <c r="E1654" s="6" t="s">
        <v>5103</v>
      </c>
      <c r="F1654" s="6" t="s">
        <v>13</v>
      </c>
      <c r="G1654" s="6"/>
      <c r="H1654" s="6" t="s">
        <v>54</v>
      </c>
      <c r="I1654" s="6" t="s">
        <v>106</v>
      </c>
      <c r="J1654" s="6"/>
      <c r="K1654" s="6"/>
      <c r="L1654" s="6" t="s">
        <v>5104</v>
      </c>
      <c r="M1654" s="6"/>
      <c r="N1654" s="6" t="s">
        <v>5105</v>
      </c>
      <c r="O1654" s="6" t="str">
        <f>HYPERLINK("https://ceds.ed.gov/cedselementdetails.aspx?termid=6446")</f>
        <v>https://ceds.ed.gov/cedselementdetails.aspx?termid=6446</v>
      </c>
      <c r="P1654" s="6" t="str">
        <f>HYPERLINK("https://ceds.ed.gov/elementComment.aspx?elementName=Rubric Criterion Level Quality Label &amp;elementID=6446", "Click here to submit comment")</f>
        <v>Click here to submit comment</v>
      </c>
    </row>
    <row r="1655" spans="1:16" ht="30">
      <c r="A1655" s="6" t="s">
        <v>6788</v>
      </c>
      <c r="B1655" s="6" t="s">
        <v>6784</v>
      </c>
      <c r="C1655" s="6" t="s">
        <v>6860</v>
      </c>
      <c r="D1655" s="6" t="s">
        <v>5106</v>
      </c>
      <c r="E1655" s="6" t="s">
        <v>5107</v>
      </c>
      <c r="F1655" s="6" t="s">
        <v>13</v>
      </c>
      <c r="G1655" s="6"/>
      <c r="H1655" s="6" t="s">
        <v>54</v>
      </c>
      <c r="I1655" s="6" t="s">
        <v>545</v>
      </c>
      <c r="J1655" s="6"/>
      <c r="K1655" s="6"/>
      <c r="L1655" s="6" t="s">
        <v>5108</v>
      </c>
      <c r="M1655" s="6"/>
      <c r="N1655" s="6" t="s">
        <v>5109</v>
      </c>
      <c r="O1655" s="6" t="str">
        <f>HYPERLINK("https://ceds.ed.gov/cedselementdetails.aspx?termid=6447")</f>
        <v>https://ceds.ed.gov/cedselementdetails.aspx?termid=6447</v>
      </c>
      <c r="P1655" s="6" t="str">
        <f>HYPERLINK("https://ceds.ed.gov/elementComment.aspx?elementName=Rubric Criterion Level Score &amp;elementID=6447", "Click here to submit comment")</f>
        <v>Click here to submit comment</v>
      </c>
    </row>
    <row r="1656" spans="1:16" ht="45">
      <c r="A1656" s="6" t="s">
        <v>6788</v>
      </c>
      <c r="B1656" s="6" t="s">
        <v>6784</v>
      </c>
      <c r="C1656" s="6" t="s">
        <v>6860</v>
      </c>
      <c r="D1656" s="6" t="s">
        <v>5110</v>
      </c>
      <c r="E1656" s="6" t="s">
        <v>5111</v>
      </c>
      <c r="F1656" s="6" t="s">
        <v>13</v>
      </c>
      <c r="G1656" s="6"/>
      <c r="H1656" s="6" t="s">
        <v>54</v>
      </c>
      <c r="I1656" s="6" t="s">
        <v>545</v>
      </c>
      <c r="J1656" s="6"/>
      <c r="K1656" s="6"/>
      <c r="L1656" s="6" t="s">
        <v>5112</v>
      </c>
      <c r="M1656" s="6"/>
      <c r="N1656" s="6" t="s">
        <v>5113</v>
      </c>
      <c r="O1656" s="6" t="str">
        <f>HYPERLINK("https://ceds.ed.gov/cedselementdetails.aspx?termid=6448")</f>
        <v>https://ceds.ed.gov/cedselementdetails.aspx?termid=6448</v>
      </c>
      <c r="P1656" s="6" t="str">
        <f>HYPERLINK("https://ceds.ed.gov/elementComment.aspx?elementName=Rubric Criterion Position &amp;elementID=6448", "Click here to submit comment")</f>
        <v>Click here to submit comment</v>
      </c>
    </row>
    <row r="1657" spans="1:16" ht="30">
      <c r="A1657" s="6" t="s">
        <v>6788</v>
      </c>
      <c r="B1657" s="6" t="s">
        <v>6784</v>
      </c>
      <c r="C1657" s="6" t="s">
        <v>6860</v>
      </c>
      <c r="D1657" s="6" t="s">
        <v>5114</v>
      </c>
      <c r="E1657" s="6" t="s">
        <v>5115</v>
      </c>
      <c r="F1657" s="6" t="s">
        <v>13</v>
      </c>
      <c r="G1657" s="6"/>
      <c r="H1657" s="6" t="s">
        <v>54</v>
      </c>
      <c r="I1657" s="6" t="s">
        <v>106</v>
      </c>
      <c r="J1657" s="6"/>
      <c r="K1657" s="6"/>
      <c r="L1657" s="6" t="s">
        <v>5116</v>
      </c>
      <c r="M1657" s="6"/>
      <c r="N1657" s="6" t="s">
        <v>5117</v>
      </c>
      <c r="O1657" s="6" t="str">
        <f>HYPERLINK("https://ceds.ed.gov/cedselementdetails.aspx?termid=6449")</f>
        <v>https://ceds.ed.gov/cedselementdetails.aspx?termid=6449</v>
      </c>
      <c r="P1657" s="6" t="str">
        <f>HYPERLINK("https://ceds.ed.gov/elementComment.aspx?elementName=Rubric Criterion Title &amp;elementID=6449", "Click here to submit comment")</f>
        <v>Click here to submit comment</v>
      </c>
    </row>
    <row r="1658" spans="1:16" ht="45">
      <c r="A1658" s="6" t="s">
        <v>6788</v>
      </c>
      <c r="B1658" s="6" t="s">
        <v>6784</v>
      </c>
      <c r="C1658" s="6" t="s">
        <v>6860</v>
      </c>
      <c r="D1658" s="6" t="s">
        <v>5118</v>
      </c>
      <c r="E1658" s="6" t="s">
        <v>5119</v>
      </c>
      <c r="F1658" s="6" t="s">
        <v>13</v>
      </c>
      <c r="G1658" s="6"/>
      <c r="H1658" s="6" t="s">
        <v>54</v>
      </c>
      <c r="I1658" s="6" t="s">
        <v>545</v>
      </c>
      <c r="J1658" s="6"/>
      <c r="K1658" s="6"/>
      <c r="L1658" s="6" t="s">
        <v>5120</v>
      </c>
      <c r="M1658" s="6"/>
      <c r="N1658" s="6" t="s">
        <v>5121</v>
      </c>
      <c r="O1658" s="6" t="str">
        <f>HYPERLINK("https://ceds.ed.gov/cedselementdetails.aspx?termid=6450")</f>
        <v>https://ceds.ed.gov/cedselementdetails.aspx?termid=6450</v>
      </c>
      <c r="P1658" s="6" t="str">
        <f>HYPERLINK("https://ceds.ed.gov/elementComment.aspx?elementName=Rubric Criterion Weight &amp;elementID=6450", "Click here to submit comment")</f>
        <v>Click here to submit comment</v>
      </c>
    </row>
    <row r="1659" spans="1:16" ht="30">
      <c r="A1659" s="6" t="s">
        <v>6788</v>
      </c>
      <c r="B1659" s="6" t="s">
        <v>6784</v>
      </c>
      <c r="C1659" s="6" t="s">
        <v>6860</v>
      </c>
      <c r="D1659" s="6" t="s">
        <v>5122</v>
      </c>
      <c r="E1659" s="6" t="s">
        <v>5123</v>
      </c>
      <c r="F1659" s="6" t="s">
        <v>13</v>
      </c>
      <c r="G1659" s="6"/>
      <c r="H1659" s="6" t="s">
        <v>54</v>
      </c>
      <c r="I1659" s="6" t="s">
        <v>319</v>
      </c>
      <c r="J1659" s="6"/>
      <c r="K1659" s="6"/>
      <c r="L1659" s="6" t="s">
        <v>5124</v>
      </c>
      <c r="M1659" s="6"/>
      <c r="N1659" s="6" t="s">
        <v>5125</v>
      </c>
      <c r="O1659" s="6" t="str">
        <f>HYPERLINK("https://ceds.ed.gov/cedselementdetails.aspx?termid=6451")</f>
        <v>https://ceds.ed.gov/cedselementdetails.aspx?termid=6451</v>
      </c>
      <c r="P1659" s="6" t="str">
        <f>HYPERLINK("https://ceds.ed.gov/elementComment.aspx?elementName=Rubric Description &amp;elementID=6451", "Click here to submit comment")</f>
        <v>Click here to submit comment</v>
      </c>
    </row>
    <row r="1660" spans="1:16" ht="60">
      <c r="A1660" s="6" t="s">
        <v>6788</v>
      </c>
      <c r="B1660" s="6" t="s">
        <v>6817</v>
      </c>
      <c r="C1660" s="6"/>
      <c r="D1660" s="6" t="s">
        <v>4797</v>
      </c>
      <c r="E1660" s="6" t="s">
        <v>4798</v>
      </c>
      <c r="F1660" s="6" t="s">
        <v>13</v>
      </c>
      <c r="G1660" s="6"/>
      <c r="H1660" s="6" t="s">
        <v>3</v>
      </c>
      <c r="I1660" s="6" t="s">
        <v>100</v>
      </c>
      <c r="J1660" s="6"/>
      <c r="K1660" s="6"/>
      <c r="L1660" s="6" t="s">
        <v>4799</v>
      </c>
      <c r="M1660" s="6"/>
      <c r="N1660" s="6" t="s">
        <v>4800</v>
      </c>
      <c r="O1660" s="6" t="str">
        <f>HYPERLINK("https://ceds.ed.gov/cedselementdetails.aspx?termid=5618")</f>
        <v>https://ceds.ed.gov/cedselementdetails.aspx?termid=5618</v>
      </c>
      <c r="P1660" s="6" t="str">
        <f>HYPERLINK("https://ceds.ed.gov/elementComment.aspx?elementName=Program Identifier &amp;elementID=5618", "Click here to submit comment")</f>
        <v>Click here to submit comment</v>
      </c>
    </row>
    <row r="1661" spans="1:16" ht="60">
      <c r="A1661" s="6" t="s">
        <v>6788</v>
      </c>
      <c r="B1661" s="6" t="s">
        <v>6817</v>
      </c>
      <c r="C1661" s="6"/>
      <c r="D1661" s="6" t="s">
        <v>4813</v>
      </c>
      <c r="E1661" s="6" t="s">
        <v>4814</v>
      </c>
      <c r="F1661" s="6" t="s">
        <v>13</v>
      </c>
      <c r="G1661" s="6"/>
      <c r="H1661" s="6" t="s">
        <v>3</v>
      </c>
      <c r="I1661" s="6" t="s">
        <v>106</v>
      </c>
      <c r="J1661" s="6"/>
      <c r="K1661" s="6"/>
      <c r="L1661" s="6" t="s">
        <v>4815</v>
      </c>
      <c r="M1661" s="6"/>
      <c r="N1661" s="6" t="s">
        <v>4816</v>
      </c>
      <c r="O1661" s="6" t="str">
        <f>HYPERLINK("https://ceds.ed.gov/cedselementdetails.aspx?termid=5619")</f>
        <v>https://ceds.ed.gov/cedselementdetails.aspx?termid=5619</v>
      </c>
      <c r="P1661" s="6" t="str">
        <f>HYPERLINK("https://ceds.ed.gov/elementComment.aspx?elementName=Program Name &amp;elementID=5619", "Click here to submit comment")</f>
        <v>Click here to submit comment</v>
      </c>
    </row>
    <row r="1662" spans="1:16" ht="315">
      <c r="A1662" s="6" t="s">
        <v>6788</v>
      </c>
      <c r="B1662" s="6" t="s">
        <v>6817</v>
      </c>
      <c r="C1662" s="6"/>
      <c r="D1662" s="6" t="s">
        <v>4337</v>
      </c>
      <c r="E1662" s="6" t="s">
        <v>4338</v>
      </c>
      <c r="F1662" s="7" t="s">
        <v>6364</v>
      </c>
      <c r="G1662" s="6" t="s">
        <v>65</v>
      </c>
      <c r="H1662" s="6" t="s">
        <v>66</v>
      </c>
      <c r="I1662" s="6"/>
      <c r="J1662" s="6" t="s">
        <v>2309</v>
      </c>
      <c r="K1662" s="6"/>
      <c r="L1662" s="6" t="s">
        <v>4339</v>
      </c>
      <c r="M1662" s="6"/>
      <c r="N1662" s="6" t="s">
        <v>4340</v>
      </c>
      <c r="O1662" s="6" t="str">
        <f>HYPERLINK("https://ceds.ed.gov/cedselementdetails.aspx?termid=5827")</f>
        <v>https://ceds.ed.gov/cedselementdetails.aspx?termid=5827</v>
      </c>
      <c r="P1662" s="6" t="str">
        <f>HYPERLINK("https://ceds.ed.gov/elementComment.aspx?elementName=Organization Identification System &amp;elementID=5827", "Click here to submit comment")</f>
        <v>Click here to submit comment</v>
      </c>
    </row>
    <row r="1663" spans="1:16" ht="60">
      <c r="A1663" s="6" t="s">
        <v>6788</v>
      </c>
      <c r="B1663" s="6" t="s">
        <v>6817</v>
      </c>
      <c r="C1663" s="6"/>
      <c r="D1663" s="6" t="s">
        <v>4341</v>
      </c>
      <c r="E1663" s="6" t="s">
        <v>4342</v>
      </c>
      <c r="F1663" s="6" t="s">
        <v>13</v>
      </c>
      <c r="G1663" s="6" t="s">
        <v>65</v>
      </c>
      <c r="H1663" s="6" t="s">
        <v>3</v>
      </c>
      <c r="I1663" s="6" t="s">
        <v>100</v>
      </c>
      <c r="J1663" s="6"/>
      <c r="K1663" s="6"/>
      <c r="L1663" s="6" t="s">
        <v>4343</v>
      </c>
      <c r="M1663" s="6"/>
      <c r="N1663" s="6" t="s">
        <v>4344</v>
      </c>
      <c r="O1663" s="6" t="str">
        <f>HYPERLINK("https://ceds.ed.gov/cedselementdetails.aspx?termid=5825")</f>
        <v>https://ceds.ed.gov/cedselementdetails.aspx?termid=5825</v>
      </c>
      <c r="P1663" s="6" t="str">
        <f>HYPERLINK("https://ceds.ed.gov/elementComment.aspx?elementName=Organization Identifier &amp;elementID=5825", "Click here to submit comment")</f>
        <v>Click here to submit comment</v>
      </c>
    </row>
    <row r="1664" spans="1:16" ht="45">
      <c r="A1664" s="6" t="s">
        <v>6788</v>
      </c>
      <c r="B1664" s="6" t="s">
        <v>6817</v>
      </c>
      <c r="C1664" s="6"/>
      <c r="D1664" s="6" t="s">
        <v>4349</v>
      </c>
      <c r="E1664" s="6" t="s">
        <v>4350</v>
      </c>
      <c r="F1664" s="6" t="s">
        <v>13</v>
      </c>
      <c r="G1664" s="6" t="s">
        <v>202</v>
      </c>
      <c r="H1664" s="6" t="s">
        <v>3</v>
      </c>
      <c r="I1664" s="6" t="s">
        <v>106</v>
      </c>
      <c r="J1664" s="6"/>
      <c r="K1664" s="6"/>
      <c r="L1664" s="6" t="s">
        <v>4351</v>
      </c>
      <c r="M1664" s="6"/>
      <c r="N1664" s="6" t="s">
        <v>4352</v>
      </c>
      <c r="O1664" s="6" t="str">
        <f>HYPERLINK("https://ceds.ed.gov/cedselementdetails.aspx?termid=5204")</f>
        <v>https://ceds.ed.gov/cedselementdetails.aspx?termid=5204</v>
      </c>
      <c r="P1664" s="6" t="str">
        <f>HYPERLINK("https://ceds.ed.gov/elementComment.aspx?elementName=Organization Name &amp;elementID=5204", "Click here to submit comment")</f>
        <v>Click here to submit comment</v>
      </c>
    </row>
    <row r="1665" spans="1:16" ht="60">
      <c r="A1665" s="6" t="s">
        <v>6788</v>
      </c>
      <c r="B1665" s="6" t="s">
        <v>6817</v>
      </c>
      <c r="C1665" s="6"/>
      <c r="D1665" s="6" t="s">
        <v>4353</v>
      </c>
      <c r="E1665" s="6" t="s">
        <v>4354</v>
      </c>
      <c r="F1665" s="6" t="s">
        <v>6267</v>
      </c>
      <c r="G1665" s="6"/>
      <c r="H1665" s="6" t="s">
        <v>54</v>
      </c>
      <c r="I1665" s="6"/>
      <c r="J1665" s="6"/>
      <c r="K1665" s="6"/>
      <c r="L1665" s="6" t="s">
        <v>4355</v>
      </c>
      <c r="M1665" s="6"/>
      <c r="N1665" s="6" t="s">
        <v>4356</v>
      </c>
      <c r="O1665" s="6" t="str">
        <f>HYPERLINK("https://ceds.ed.gov/cedselementdetails.aspx?termid=6387")</f>
        <v>https://ceds.ed.gov/cedselementdetails.aspx?termid=6387</v>
      </c>
      <c r="P1665" s="6" t="str">
        <f>HYPERLINK("https://ceds.ed.gov/elementComment.aspx?elementName=Organization Operational Status &amp;elementID=6387", "Click here to submit comment")</f>
        <v>Click here to submit comment</v>
      </c>
    </row>
    <row r="1666" spans="1:16" ht="390">
      <c r="A1666" s="6" t="s">
        <v>6788</v>
      </c>
      <c r="B1666" s="6" t="s">
        <v>6817</v>
      </c>
      <c r="C1666" s="6"/>
      <c r="D1666" s="6" t="s">
        <v>4847</v>
      </c>
      <c r="E1666" s="6" t="s">
        <v>4848</v>
      </c>
      <c r="F1666" s="7" t="s">
        <v>6625</v>
      </c>
      <c r="G1666" s="6"/>
      <c r="H1666" s="6" t="s">
        <v>66</v>
      </c>
      <c r="I1666" s="6"/>
      <c r="J1666" s="6" t="s">
        <v>4849</v>
      </c>
      <c r="K1666" s="6"/>
      <c r="L1666" s="6" t="s">
        <v>4850</v>
      </c>
      <c r="M1666" s="6"/>
      <c r="N1666" s="6" t="s">
        <v>4851</v>
      </c>
      <c r="O1666" s="6" t="str">
        <f>HYPERLINK("https://ceds.ed.gov/cedselementdetails.aspx?termid=5692")</f>
        <v>https://ceds.ed.gov/cedselementdetails.aspx?termid=5692</v>
      </c>
      <c r="P1666" s="6" t="str">
        <f>HYPERLINK("https://ceds.ed.gov/elementComment.aspx?elementName=Program Sponsor Type &amp;elementID=5692", "Click here to submit comment")</f>
        <v>Click here to submit comment</v>
      </c>
    </row>
    <row r="1667" spans="1:16" ht="90">
      <c r="A1667" s="6" t="s">
        <v>6788</v>
      </c>
      <c r="B1667" s="6" t="s">
        <v>6817</v>
      </c>
      <c r="C1667" s="6" t="s">
        <v>6749</v>
      </c>
      <c r="D1667" s="6" t="s">
        <v>196</v>
      </c>
      <c r="E1667" s="6" t="s">
        <v>197</v>
      </c>
      <c r="F1667" s="7" t="s">
        <v>6354</v>
      </c>
      <c r="G1667" s="6" t="s">
        <v>5968</v>
      </c>
      <c r="H1667" s="6" t="s">
        <v>3</v>
      </c>
      <c r="I1667" s="6" t="s">
        <v>100</v>
      </c>
      <c r="J1667" s="6"/>
      <c r="K1667" s="6"/>
      <c r="L1667" s="6" t="s">
        <v>198</v>
      </c>
      <c r="M1667" s="6"/>
      <c r="N1667" s="6" t="s">
        <v>199</v>
      </c>
      <c r="O1667" s="6" t="str">
        <f>HYPERLINK("https://ceds.ed.gov/cedselementdetails.aspx?termid=5644")</f>
        <v>https://ceds.ed.gov/cedselementdetails.aspx?termid=5644</v>
      </c>
      <c r="P1667" s="6" t="str">
        <f>HYPERLINK("https://ceds.ed.gov/elementComment.aspx?elementName=Address Type for Organization &amp;elementID=5644", "Click here to submit comment")</f>
        <v>Click here to submit comment</v>
      </c>
    </row>
    <row r="1668" spans="1:16" ht="225">
      <c r="A1668" s="6" t="s">
        <v>6788</v>
      </c>
      <c r="B1668" s="6" t="s">
        <v>6817</v>
      </c>
      <c r="C1668" s="6" t="s">
        <v>6749</v>
      </c>
      <c r="D1668" s="6" t="s">
        <v>187</v>
      </c>
      <c r="E1668" s="6" t="s">
        <v>188</v>
      </c>
      <c r="F1668" s="6" t="s">
        <v>13</v>
      </c>
      <c r="G1668" s="6" t="s">
        <v>5973</v>
      </c>
      <c r="H1668" s="6" t="s">
        <v>3</v>
      </c>
      <c r="I1668" s="6" t="s">
        <v>149</v>
      </c>
      <c r="J1668" s="6"/>
      <c r="K1668" s="6"/>
      <c r="L1668" s="6" t="s">
        <v>189</v>
      </c>
      <c r="M1668" s="6"/>
      <c r="N1668" s="6" t="s">
        <v>190</v>
      </c>
      <c r="O1668" s="6" t="str">
        <f>HYPERLINK("https://ceds.ed.gov/cedselementdetails.aspx?termid=5269")</f>
        <v>https://ceds.ed.gov/cedselementdetails.aspx?termid=5269</v>
      </c>
      <c r="P1668" s="6" t="str">
        <f>HYPERLINK("https://ceds.ed.gov/elementComment.aspx?elementName=Address Street Number and Name &amp;elementID=5269", "Click here to submit comment")</f>
        <v>Click here to submit comment</v>
      </c>
    </row>
    <row r="1669" spans="1:16" ht="225">
      <c r="A1669" s="6" t="s">
        <v>6788</v>
      </c>
      <c r="B1669" s="6" t="s">
        <v>6817</v>
      </c>
      <c r="C1669" s="6" t="s">
        <v>6749</v>
      </c>
      <c r="D1669" s="6" t="s">
        <v>170</v>
      </c>
      <c r="E1669" s="6" t="s">
        <v>171</v>
      </c>
      <c r="F1669" s="6" t="s">
        <v>13</v>
      </c>
      <c r="G1669" s="6" t="s">
        <v>5973</v>
      </c>
      <c r="H1669" s="6" t="s">
        <v>3</v>
      </c>
      <c r="I1669" s="6" t="s">
        <v>100</v>
      </c>
      <c r="J1669" s="6"/>
      <c r="K1669" s="6"/>
      <c r="L1669" s="6" t="s">
        <v>172</v>
      </c>
      <c r="M1669" s="6"/>
      <c r="N1669" s="6" t="s">
        <v>173</v>
      </c>
      <c r="O1669" s="6" t="str">
        <f>HYPERLINK("https://ceds.ed.gov/cedselementdetails.aspx?termid=5019")</f>
        <v>https://ceds.ed.gov/cedselementdetails.aspx?termid=5019</v>
      </c>
      <c r="P1669" s="6" t="str">
        <f>HYPERLINK("https://ceds.ed.gov/elementComment.aspx?elementName=Address Apartment Room or Suite Number &amp;elementID=5019", "Click here to submit comment")</f>
        <v>Click here to submit comment</v>
      </c>
    </row>
    <row r="1670" spans="1:16" ht="225">
      <c r="A1670" s="6" t="s">
        <v>6788</v>
      </c>
      <c r="B1670" s="6" t="s">
        <v>6817</v>
      </c>
      <c r="C1670" s="6" t="s">
        <v>6749</v>
      </c>
      <c r="D1670" s="6" t="s">
        <v>174</v>
      </c>
      <c r="E1670" s="6" t="s">
        <v>175</v>
      </c>
      <c r="F1670" s="6" t="s">
        <v>13</v>
      </c>
      <c r="G1670" s="6" t="s">
        <v>5973</v>
      </c>
      <c r="H1670" s="6" t="s">
        <v>3</v>
      </c>
      <c r="I1670" s="6" t="s">
        <v>100</v>
      </c>
      <c r="J1670" s="6"/>
      <c r="K1670" s="6"/>
      <c r="L1670" s="6" t="s">
        <v>176</v>
      </c>
      <c r="M1670" s="6"/>
      <c r="N1670" s="6" t="s">
        <v>177</v>
      </c>
      <c r="O1670" s="6" t="str">
        <f>HYPERLINK("https://ceds.ed.gov/cedselementdetails.aspx?termid=5040")</f>
        <v>https://ceds.ed.gov/cedselementdetails.aspx?termid=5040</v>
      </c>
      <c r="P1670" s="6" t="str">
        <f>HYPERLINK("https://ceds.ed.gov/elementComment.aspx?elementName=Address City &amp;elementID=5040", "Click here to submit comment")</f>
        <v>Click here to submit comment</v>
      </c>
    </row>
    <row r="1671" spans="1:16" ht="409.5">
      <c r="A1671" s="6" t="s">
        <v>6788</v>
      </c>
      <c r="B1671" s="6" t="s">
        <v>6817</v>
      </c>
      <c r="C1671" s="6" t="s">
        <v>6749</v>
      </c>
      <c r="D1671" s="6" t="s">
        <v>5533</v>
      </c>
      <c r="E1671" s="6" t="s">
        <v>5534</v>
      </c>
      <c r="F1671" s="7" t="s">
        <v>6633</v>
      </c>
      <c r="G1671" s="6" t="s">
        <v>6324</v>
      </c>
      <c r="H1671" s="6" t="s">
        <v>3</v>
      </c>
      <c r="I1671" s="6"/>
      <c r="J1671" s="6"/>
      <c r="K1671" s="6"/>
      <c r="L1671" s="6" t="s">
        <v>5535</v>
      </c>
      <c r="M1671" s="6"/>
      <c r="N1671" s="6" t="s">
        <v>5536</v>
      </c>
      <c r="O1671" s="6" t="str">
        <f>HYPERLINK("https://ceds.ed.gov/cedselementdetails.aspx?termid=5267")</f>
        <v>https://ceds.ed.gov/cedselementdetails.aspx?termid=5267</v>
      </c>
      <c r="P1671" s="6" t="str">
        <f>HYPERLINK("https://ceds.ed.gov/elementComment.aspx?elementName=State Abbreviation &amp;elementID=5267", "Click here to submit comment")</f>
        <v>Click here to submit comment</v>
      </c>
    </row>
    <row r="1672" spans="1:16" ht="225">
      <c r="A1672" s="6" t="s">
        <v>6788</v>
      </c>
      <c r="B1672" s="6" t="s">
        <v>6817</v>
      </c>
      <c r="C1672" s="6" t="s">
        <v>6749</v>
      </c>
      <c r="D1672" s="6" t="s">
        <v>182</v>
      </c>
      <c r="E1672" s="6" t="s">
        <v>183</v>
      </c>
      <c r="F1672" s="6" t="s">
        <v>13</v>
      </c>
      <c r="G1672" s="6" t="s">
        <v>5973</v>
      </c>
      <c r="H1672" s="6" t="s">
        <v>3</v>
      </c>
      <c r="I1672" s="6" t="s">
        <v>184</v>
      </c>
      <c r="J1672" s="6"/>
      <c r="K1672" s="6"/>
      <c r="L1672" s="6" t="s">
        <v>185</v>
      </c>
      <c r="M1672" s="6"/>
      <c r="N1672" s="6" t="s">
        <v>186</v>
      </c>
      <c r="O1672" s="6" t="str">
        <f>HYPERLINK("https://ceds.ed.gov/cedselementdetails.aspx?termid=5214")</f>
        <v>https://ceds.ed.gov/cedselementdetails.aspx?termid=5214</v>
      </c>
      <c r="P1672" s="6" t="str">
        <f>HYPERLINK("https://ceds.ed.gov/elementComment.aspx?elementName=Address Postal Code &amp;elementID=5214", "Click here to submit comment")</f>
        <v>Click here to submit comment</v>
      </c>
    </row>
    <row r="1673" spans="1:16" ht="225">
      <c r="A1673" s="6" t="s">
        <v>6788</v>
      </c>
      <c r="B1673" s="6" t="s">
        <v>6817</v>
      </c>
      <c r="C1673" s="6" t="s">
        <v>6749</v>
      </c>
      <c r="D1673" s="6" t="s">
        <v>178</v>
      </c>
      <c r="E1673" s="6" t="s">
        <v>179</v>
      </c>
      <c r="F1673" s="6" t="s">
        <v>13</v>
      </c>
      <c r="G1673" s="6" t="s">
        <v>5973</v>
      </c>
      <c r="H1673" s="6" t="s">
        <v>3</v>
      </c>
      <c r="I1673" s="6" t="s">
        <v>100</v>
      </c>
      <c r="J1673" s="6"/>
      <c r="K1673" s="6"/>
      <c r="L1673" s="6" t="s">
        <v>180</v>
      </c>
      <c r="M1673" s="6"/>
      <c r="N1673" s="6" t="s">
        <v>181</v>
      </c>
      <c r="O1673" s="6" t="str">
        <f>HYPERLINK("https://ceds.ed.gov/cedselementdetails.aspx?termid=5190")</f>
        <v>https://ceds.ed.gov/cedselementdetails.aspx?termid=5190</v>
      </c>
      <c r="P1673" s="6" t="str">
        <f>HYPERLINK("https://ceds.ed.gov/elementComment.aspx?elementName=Address County Name &amp;elementID=5190", "Click here to submit comment")</f>
        <v>Click here to submit comment</v>
      </c>
    </row>
    <row r="1674" spans="1:16" ht="120">
      <c r="A1674" s="6" t="s">
        <v>6788</v>
      </c>
      <c r="B1674" s="6" t="s">
        <v>6817</v>
      </c>
      <c r="C1674" s="6" t="s">
        <v>6737</v>
      </c>
      <c r="D1674" s="6" t="s">
        <v>2670</v>
      </c>
      <c r="E1674" s="6" t="s">
        <v>2671</v>
      </c>
      <c r="F1674" s="7" t="s">
        <v>6508</v>
      </c>
      <c r="G1674" s="6"/>
      <c r="H1674" s="6" t="s">
        <v>54</v>
      </c>
      <c r="I1674" s="6"/>
      <c r="J1674" s="6"/>
      <c r="K1674" s="6"/>
      <c r="L1674" s="6" t="s">
        <v>2672</v>
      </c>
      <c r="M1674" s="6"/>
      <c r="N1674" s="6" t="s">
        <v>2673</v>
      </c>
      <c r="O1674" s="6" t="str">
        <f>HYPERLINK("https://ceds.ed.gov/cedselementdetails.aspx?termid=6312")</f>
        <v>https://ceds.ed.gov/cedselementdetails.aspx?termid=6312</v>
      </c>
      <c r="P1674" s="6" t="str">
        <f>HYPERLINK("https://ceds.ed.gov/elementComment.aspx?elementName=Financial Account Category &amp;elementID=6312", "Click here to submit comment")</f>
        <v>Click here to submit comment</v>
      </c>
    </row>
    <row r="1675" spans="1:16" ht="45">
      <c r="A1675" s="6" t="s">
        <v>6788</v>
      </c>
      <c r="B1675" s="6" t="s">
        <v>6817</v>
      </c>
      <c r="C1675" s="6" t="s">
        <v>6737</v>
      </c>
      <c r="D1675" s="6" t="s">
        <v>2674</v>
      </c>
      <c r="E1675" s="6" t="s">
        <v>2675</v>
      </c>
      <c r="F1675" s="6" t="s">
        <v>13</v>
      </c>
      <c r="G1675" s="6"/>
      <c r="H1675" s="6" t="s">
        <v>54</v>
      </c>
      <c r="I1675" s="6" t="s">
        <v>93</v>
      </c>
      <c r="J1675" s="6"/>
      <c r="K1675" s="6"/>
      <c r="L1675" s="6" t="s">
        <v>2676</v>
      </c>
      <c r="M1675" s="6"/>
      <c r="N1675" s="6" t="s">
        <v>2677</v>
      </c>
      <c r="O1675" s="6" t="str">
        <f>HYPERLINK("https://ceds.ed.gov/cedselementdetails.aspx?termid=6313")</f>
        <v>https://ceds.ed.gov/cedselementdetails.aspx?termid=6313</v>
      </c>
      <c r="P1675" s="6" t="str">
        <f>HYPERLINK("https://ceds.ed.gov/elementComment.aspx?elementName=Financial Account Description &amp;elementID=6313", "Click here to submit comment")</f>
        <v>Click here to submit comment</v>
      </c>
    </row>
    <row r="1676" spans="1:16" ht="150">
      <c r="A1676" s="6" t="s">
        <v>6788</v>
      </c>
      <c r="B1676" s="6" t="s">
        <v>6817</v>
      </c>
      <c r="C1676" s="6" t="s">
        <v>6737</v>
      </c>
      <c r="D1676" s="6" t="s">
        <v>2678</v>
      </c>
      <c r="E1676" s="6" t="s">
        <v>2679</v>
      </c>
      <c r="F1676" s="7" t="s">
        <v>6509</v>
      </c>
      <c r="G1676" s="6"/>
      <c r="H1676" s="6" t="s">
        <v>54</v>
      </c>
      <c r="I1676" s="6"/>
      <c r="J1676" s="6"/>
      <c r="K1676" s="6" t="s">
        <v>2680</v>
      </c>
      <c r="L1676" s="6" t="s">
        <v>2681</v>
      </c>
      <c r="M1676" s="6"/>
      <c r="N1676" s="6" t="s">
        <v>2682</v>
      </c>
      <c r="O1676" s="6" t="str">
        <f>HYPERLINK("https://ceds.ed.gov/cedselementdetails.aspx?termid=6314")</f>
        <v>https://ceds.ed.gov/cedselementdetails.aspx?termid=6314</v>
      </c>
      <c r="P1676" s="6" t="str">
        <f>HYPERLINK("https://ceds.ed.gov/elementComment.aspx?elementName=Financial Account Fund Classification &amp;elementID=6314", "Click here to submit comment")</f>
        <v>Click here to submit comment</v>
      </c>
    </row>
    <row r="1677" spans="1:16" ht="45">
      <c r="A1677" s="6" t="s">
        <v>6788</v>
      </c>
      <c r="B1677" s="6" t="s">
        <v>6817</v>
      </c>
      <c r="C1677" s="6" t="s">
        <v>6737</v>
      </c>
      <c r="D1677" s="6" t="s">
        <v>2683</v>
      </c>
      <c r="E1677" s="6" t="s">
        <v>2684</v>
      </c>
      <c r="F1677" s="6" t="s">
        <v>13</v>
      </c>
      <c r="G1677" s="6"/>
      <c r="H1677" s="6" t="s">
        <v>54</v>
      </c>
      <c r="I1677" s="6" t="s">
        <v>745</v>
      </c>
      <c r="J1677" s="6"/>
      <c r="K1677" s="6"/>
      <c r="L1677" s="6" t="s">
        <v>2685</v>
      </c>
      <c r="M1677" s="6"/>
      <c r="N1677" s="6" t="s">
        <v>2686</v>
      </c>
      <c r="O1677" s="6" t="str">
        <f>HYPERLINK("https://ceds.ed.gov/cedselementdetails.aspx?termid=6315")</f>
        <v>https://ceds.ed.gov/cedselementdetails.aspx?termid=6315</v>
      </c>
      <c r="P1677" s="6" t="str">
        <f>HYPERLINK("https://ceds.ed.gov/elementComment.aspx?elementName=Financial Account Name &amp;elementID=6315", "Click here to submit comment")</f>
        <v>Click here to submit comment</v>
      </c>
    </row>
    <row r="1678" spans="1:16" ht="315">
      <c r="A1678" s="6" t="s">
        <v>6788</v>
      </c>
      <c r="B1678" s="6" t="s">
        <v>6817</v>
      </c>
      <c r="C1678" s="6" t="s">
        <v>6737</v>
      </c>
      <c r="D1678" s="6" t="s">
        <v>2687</v>
      </c>
      <c r="E1678" s="6" t="s">
        <v>2688</v>
      </c>
      <c r="F1678" s="7" t="s">
        <v>6510</v>
      </c>
      <c r="G1678" s="6"/>
      <c r="H1678" s="6" t="s">
        <v>54</v>
      </c>
      <c r="I1678" s="6"/>
      <c r="J1678" s="6"/>
      <c r="K1678" s="6"/>
      <c r="L1678" s="6" t="s">
        <v>2689</v>
      </c>
      <c r="M1678" s="6"/>
      <c r="N1678" s="6" t="s">
        <v>2690</v>
      </c>
      <c r="O1678" s="6" t="str">
        <f>HYPERLINK("https://ceds.ed.gov/cedselementdetails.aspx?termid=6316")</f>
        <v>https://ceds.ed.gov/cedselementdetails.aspx?termid=6316</v>
      </c>
      <c r="P1678" s="6" t="str">
        <f>HYPERLINK("https://ceds.ed.gov/elementComment.aspx?elementName=Financial Account Program Code &amp;elementID=6316", "Click here to submit comment")</f>
        <v>Click here to submit comment</v>
      </c>
    </row>
    <row r="1679" spans="1:16" ht="45">
      <c r="A1679" s="6" t="s">
        <v>6788</v>
      </c>
      <c r="B1679" s="6" t="s">
        <v>6817</v>
      </c>
      <c r="C1679" s="6" t="s">
        <v>6737</v>
      </c>
      <c r="D1679" s="6" t="s">
        <v>2691</v>
      </c>
      <c r="E1679" s="6" t="s">
        <v>2692</v>
      </c>
      <c r="F1679" s="6" t="s">
        <v>13</v>
      </c>
      <c r="G1679" s="6"/>
      <c r="H1679" s="6" t="s">
        <v>54</v>
      </c>
      <c r="I1679" s="6" t="s">
        <v>1461</v>
      </c>
      <c r="J1679" s="6"/>
      <c r="K1679" s="6"/>
      <c r="L1679" s="6" t="s">
        <v>2693</v>
      </c>
      <c r="M1679" s="6"/>
      <c r="N1679" s="6" t="s">
        <v>2694</v>
      </c>
      <c r="O1679" s="6" t="str">
        <f>HYPERLINK("https://ceds.ed.gov/cedselementdetails.aspx?termid=6317")</f>
        <v>https://ceds.ed.gov/cedselementdetails.aspx?termid=6317</v>
      </c>
      <c r="P1679" s="6" t="str">
        <f>HYPERLINK("https://ceds.ed.gov/elementComment.aspx?elementName=Financial Accounting Period Actual Value &amp;elementID=6317", "Click here to submit comment")</f>
        <v>Click here to submit comment</v>
      </c>
    </row>
    <row r="1680" spans="1:16" ht="45">
      <c r="A1680" s="6" t="s">
        <v>6788</v>
      </c>
      <c r="B1680" s="6" t="s">
        <v>6817</v>
      </c>
      <c r="C1680" s="6" t="s">
        <v>6737</v>
      </c>
      <c r="D1680" s="6" t="s">
        <v>2695</v>
      </c>
      <c r="E1680" s="6" t="s">
        <v>2696</v>
      </c>
      <c r="F1680" s="6" t="s">
        <v>13</v>
      </c>
      <c r="G1680" s="6"/>
      <c r="H1680" s="6" t="s">
        <v>54</v>
      </c>
      <c r="I1680" s="6" t="s">
        <v>1461</v>
      </c>
      <c r="J1680" s="6"/>
      <c r="K1680" s="6"/>
      <c r="L1680" s="6" t="s">
        <v>2697</v>
      </c>
      <c r="M1680" s="6"/>
      <c r="N1680" s="6" t="s">
        <v>2698</v>
      </c>
      <c r="O1680" s="6" t="str">
        <f>HYPERLINK("https://ceds.ed.gov/cedselementdetails.aspx?termid=6318")</f>
        <v>https://ceds.ed.gov/cedselementdetails.aspx?termid=6318</v>
      </c>
      <c r="P1680" s="6" t="str">
        <f>HYPERLINK("https://ceds.ed.gov/elementComment.aspx?elementName=Financial Accounting Period Budgeted Value &amp;elementID=6318", "Click here to submit comment")</f>
        <v>Click here to submit comment</v>
      </c>
    </row>
    <row r="1681" spans="1:16" ht="409.5">
      <c r="A1681" s="6" t="s">
        <v>6788</v>
      </c>
      <c r="B1681" s="6" t="s">
        <v>6817</v>
      </c>
      <c r="C1681" s="6" t="s">
        <v>6737</v>
      </c>
      <c r="D1681" s="6" t="s">
        <v>2730</v>
      </c>
      <c r="E1681" s="6" t="s">
        <v>2731</v>
      </c>
      <c r="F1681" s="7" t="s">
        <v>6513</v>
      </c>
      <c r="G1681" s="6"/>
      <c r="H1681" s="6" t="s">
        <v>54</v>
      </c>
      <c r="I1681" s="6"/>
      <c r="J1681" s="6"/>
      <c r="K1681" s="6" t="s">
        <v>2732</v>
      </c>
      <c r="L1681" s="6" t="s">
        <v>2733</v>
      </c>
      <c r="M1681" s="6"/>
      <c r="N1681" s="6" t="s">
        <v>2734</v>
      </c>
      <c r="O1681" s="6" t="str">
        <f>HYPERLINK("https://ceds.ed.gov/cedselementdetails.aspx?termid=6320")</f>
        <v>https://ceds.ed.gov/cedselementdetails.aspx?termid=6320</v>
      </c>
      <c r="P1681" s="6" t="str">
        <f>HYPERLINK("https://ceds.ed.gov/elementComment.aspx?elementName=Financial Balance Sheet Account Code &amp;elementID=6320", "Click here to submit comment")</f>
        <v>Click here to submit comment</v>
      </c>
    </row>
    <row r="1682" spans="1:16" ht="409.5">
      <c r="A1682" s="6" t="s">
        <v>6788</v>
      </c>
      <c r="B1682" s="6" t="s">
        <v>6817</v>
      </c>
      <c r="C1682" s="6" t="s">
        <v>6737</v>
      </c>
      <c r="D1682" s="6" t="s">
        <v>2735</v>
      </c>
      <c r="E1682" s="6" t="s">
        <v>2736</v>
      </c>
      <c r="F1682" s="7" t="s">
        <v>6514</v>
      </c>
      <c r="G1682" s="6"/>
      <c r="H1682" s="6" t="s">
        <v>54</v>
      </c>
      <c r="I1682" s="6"/>
      <c r="J1682" s="6"/>
      <c r="K1682" s="6" t="s">
        <v>2732</v>
      </c>
      <c r="L1682" s="6" t="s">
        <v>2737</v>
      </c>
      <c r="M1682" s="6"/>
      <c r="N1682" s="6" t="s">
        <v>2738</v>
      </c>
      <c r="O1682" s="6" t="str">
        <f>HYPERLINK("https://ceds.ed.gov/cedselementdetails.aspx?termid=6321")</f>
        <v>https://ceds.ed.gov/cedselementdetails.aspx?termid=6321</v>
      </c>
      <c r="P1682" s="6" t="str">
        <f>HYPERLINK("https://ceds.ed.gov/elementComment.aspx?elementName=Financial Expenditure Function Code &amp;elementID=6321", "Click here to submit comment")</f>
        <v>Click here to submit comment</v>
      </c>
    </row>
    <row r="1683" spans="1:16" ht="409.5">
      <c r="A1683" s="6" t="s">
        <v>6788</v>
      </c>
      <c r="B1683" s="6" t="s">
        <v>6817</v>
      </c>
      <c r="C1683" s="6" t="s">
        <v>6737</v>
      </c>
      <c r="D1683" s="6" t="s">
        <v>2739</v>
      </c>
      <c r="E1683" s="6" t="s">
        <v>2740</v>
      </c>
      <c r="F1683" s="7" t="s">
        <v>6515</v>
      </c>
      <c r="G1683" s="6"/>
      <c r="H1683" s="6" t="s">
        <v>54</v>
      </c>
      <c r="I1683" s="6"/>
      <c r="J1683" s="6"/>
      <c r="K1683" s="6" t="s">
        <v>2741</v>
      </c>
      <c r="L1683" s="6" t="s">
        <v>2742</v>
      </c>
      <c r="M1683" s="6"/>
      <c r="N1683" s="6" t="s">
        <v>2743</v>
      </c>
      <c r="O1683" s="6" t="str">
        <f>HYPERLINK("https://ceds.ed.gov/cedselementdetails.aspx?termid=6322")</f>
        <v>https://ceds.ed.gov/cedselementdetails.aspx?termid=6322</v>
      </c>
      <c r="P1683" s="6" t="str">
        <f>HYPERLINK("https://ceds.ed.gov/elementComment.aspx?elementName=Financial Expenditure Object Code &amp;elementID=6322", "Click here to submit comment")</f>
        <v>Click here to submit comment</v>
      </c>
    </row>
    <row r="1684" spans="1:16" ht="105">
      <c r="A1684" s="6" t="s">
        <v>6788</v>
      </c>
      <c r="B1684" s="6" t="s">
        <v>6861</v>
      </c>
      <c r="C1684" s="6"/>
      <c r="D1684" s="6" t="s">
        <v>3117</v>
      </c>
      <c r="E1684" s="6" t="s">
        <v>3118</v>
      </c>
      <c r="F1684" s="6" t="s">
        <v>13</v>
      </c>
      <c r="G1684" s="6"/>
      <c r="H1684" s="6"/>
      <c r="I1684" s="6" t="s">
        <v>149</v>
      </c>
      <c r="J1684" s="6"/>
      <c r="K1684" s="6"/>
      <c r="L1684" s="6" t="s">
        <v>3119</v>
      </c>
      <c r="M1684" s="6"/>
      <c r="N1684" s="6" t="s">
        <v>3120</v>
      </c>
      <c r="O1684" s="6" t="str">
        <f>HYPERLINK("https://ceds.ed.gov/cedselementdetails.aspx?termid=5492")</f>
        <v>https://ceds.ed.gov/cedselementdetails.aspx?termid=5492</v>
      </c>
      <c r="P1684" s="6" t="str">
        <f>HYPERLINK("https://ceds.ed.gov/elementComment.aspx?elementName=Incident Identifier &amp;elementID=5492", "Click here to submit comment")</f>
        <v>Click here to submit comment</v>
      </c>
    </row>
    <row r="1685" spans="1:16" ht="30">
      <c r="A1685" s="6" t="s">
        <v>6788</v>
      </c>
      <c r="B1685" s="6" t="s">
        <v>6861</v>
      </c>
      <c r="C1685" s="6"/>
      <c r="D1685" s="6" t="s">
        <v>3108</v>
      </c>
      <c r="E1685" s="6" t="s">
        <v>3109</v>
      </c>
      <c r="F1685" s="6" t="s">
        <v>13</v>
      </c>
      <c r="G1685" s="6"/>
      <c r="H1685" s="6"/>
      <c r="I1685" s="6" t="s">
        <v>73</v>
      </c>
      <c r="J1685" s="6"/>
      <c r="K1685" s="6"/>
      <c r="L1685" s="6" t="s">
        <v>3110</v>
      </c>
      <c r="M1685" s="6"/>
      <c r="N1685" s="6" t="s">
        <v>3111</v>
      </c>
      <c r="O1685" s="6" t="str">
        <f>HYPERLINK("https://ceds.ed.gov/cedselementdetails.aspx?termid=5493")</f>
        <v>https://ceds.ed.gov/cedselementdetails.aspx?termid=5493</v>
      </c>
      <c r="P1685" s="6" t="str">
        <f>HYPERLINK("https://ceds.ed.gov/elementComment.aspx?elementName=Incident Date &amp;elementID=5493", "Click here to submit comment")</f>
        <v>Click here to submit comment</v>
      </c>
    </row>
    <row r="1686" spans="1:16" ht="30">
      <c r="A1686" s="6" t="s">
        <v>6788</v>
      </c>
      <c r="B1686" s="6" t="s">
        <v>6861</v>
      </c>
      <c r="C1686" s="6"/>
      <c r="D1686" s="6" t="s">
        <v>3167</v>
      </c>
      <c r="E1686" s="6" t="s">
        <v>3168</v>
      </c>
      <c r="F1686" s="6" t="s">
        <v>13</v>
      </c>
      <c r="G1686" s="6"/>
      <c r="H1686" s="6"/>
      <c r="I1686" s="6" t="s">
        <v>426</v>
      </c>
      <c r="J1686" s="6"/>
      <c r="K1686" s="6"/>
      <c r="L1686" s="6" t="s">
        <v>3169</v>
      </c>
      <c r="M1686" s="6"/>
      <c r="N1686" s="6" t="s">
        <v>3170</v>
      </c>
      <c r="O1686" s="6" t="str">
        <f>HYPERLINK("https://ceds.ed.gov/cedselementdetails.aspx?termid=5494")</f>
        <v>https://ceds.ed.gov/cedselementdetails.aspx?termid=5494</v>
      </c>
      <c r="P1686" s="6" t="str">
        <f>HYPERLINK("https://ceds.ed.gov/elementComment.aspx?elementName=Incident Time &amp;elementID=5494", "Click here to submit comment")</f>
        <v>Click here to submit comment</v>
      </c>
    </row>
    <row r="1687" spans="1:16" ht="409.5">
      <c r="A1687" s="6" t="s">
        <v>6788</v>
      </c>
      <c r="B1687" s="6" t="s">
        <v>6861</v>
      </c>
      <c r="C1687" s="6"/>
      <c r="D1687" s="6" t="s">
        <v>3126</v>
      </c>
      <c r="E1687" s="6" t="s">
        <v>3127</v>
      </c>
      <c r="F1687" s="7" t="s">
        <v>6543</v>
      </c>
      <c r="G1687" s="6"/>
      <c r="H1687" s="6"/>
      <c r="I1687" s="6"/>
      <c r="J1687" s="6"/>
      <c r="K1687" s="6"/>
      <c r="L1687" s="6" t="s">
        <v>3128</v>
      </c>
      <c r="M1687" s="6"/>
      <c r="N1687" s="6" t="s">
        <v>3129</v>
      </c>
      <c r="O1687" s="6" t="str">
        <f>HYPERLINK("https://ceds.ed.gov/cedselementdetails.aspx?termid=5610")</f>
        <v>https://ceds.ed.gov/cedselementdetails.aspx?termid=5610</v>
      </c>
      <c r="P1687" s="6" t="str">
        <f>HYPERLINK("https://ceds.ed.gov/elementComment.aspx?elementName=Incident Location &amp;elementID=5610", "Click here to submit comment")</f>
        <v>Click here to submit comment</v>
      </c>
    </row>
    <row r="1688" spans="1:16" ht="409.5">
      <c r="A1688" s="6" t="s">
        <v>6788</v>
      </c>
      <c r="B1688" s="6" t="s">
        <v>6861</v>
      </c>
      <c r="C1688" s="6"/>
      <c r="D1688" s="6" t="s">
        <v>3163</v>
      </c>
      <c r="E1688" s="6" t="s">
        <v>3164</v>
      </c>
      <c r="F1688" s="7" t="s">
        <v>6545</v>
      </c>
      <c r="G1688" s="6"/>
      <c r="H1688" s="6"/>
      <c r="I1688" s="6"/>
      <c r="J1688" s="6"/>
      <c r="K1688" s="6"/>
      <c r="L1688" s="6" t="s">
        <v>3165</v>
      </c>
      <c r="M1688" s="6"/>
      <c r="N1688" s="6" t="s">
        <v>3166</v>
      </c>
      <c r="O1688" s="6" t="str">
        <f>HYPERLINK("https://ceds.ed.gov/cedselementdetails.aspx?termid=5497")</f>
        <v>https://ceds.ed.gov/cedselementdetails.aspx?termid=5497</v>
      </c>
      <c r="P1688" s="6" t="str">
        <f>HYPERLINK("https://ceds.ed.gov/elementComment.aspx?elementName=Incident Reporter Type &amp;elementID=5497", "Click here to submit comment")</f>
        <v>Click here to submit comment</v>
      </c>
    </row>
    <row r="1689" spans="1:16" ht="75">
      <c r="A1689" s="6" t="s">
        <v>6788</v>
      </c>
      <c r="B1689" s="6" t="s">
        <v>6861</v>
      </c>
      <c r="C1689" s="6"/>
      <c r="D1689" s="6" t="s">
        <v>5029</v>
      </c>
      <c r="E1689" s="6" t="s">
        <v>5030</v>
      </c>
      <c r="F1689" s="6" t="s">
        <v>13</v>
      </c>
      <c r="G1689" s="6"/>
      <c r="H1689" s="6"/>
      <c r="I1689" s="6" t="s">
        <v>149</v>
      </c>
      <c r="J1689" s="6"/>
      <c r="K1689" s="6"/>
      <c r="L1689" s="6" t="s">
        <v>5031</v>
      </c>
      <c r="M1689" s="6"/>
      <c r="N1689" s="6" t="s">
        <v>5032</v>
      </c>
      <c r="O1689" s="6" t="str">
        <f>HYPERLINK("https://ceds.ed.gov/cedselementdetails.aspx?termid=5498")</f>
        <v>https://ceds.ed.gov/cedselementdetails.aspx?termid=5498</v>
      </c>
      <c r="P1689" s="6" t="str">
        <f>HYPERLINK("https://ceds.ed.gov/elementComment.aspx?elementName=Reporter Identifier &amp;elementID=5498", "Click here to submit comment")</f>
        <v>Click here to submit comment</v>
      </c>
    </row>
    <row r="1690" spans="1:16" ht="30">
      <c r="A1690" s="6" t="s">
        <v>6788</v>
      </c>
      <c r="B1690" s="6" t="s">
        <v>6861</v>
      </c>
      <c r="C1690" s="6"/>
      <c r="D1690" s="6" t="s">
        <v>3112</v>
      </c>
      <c r="E1690" s="6" t="s">
        <v>3113</v>
      </c>
      <c r="F1690" s="6" t="s">
        <v>13</v>
      </c>
      <c r="G1690" s="6"/>
      <c r="H1690" s="6"/>
      <c r="I1690" s="6" t="s">
        <v>3114</v>
      </c>
      <c r="J1690" s="6"/>
      <c r="K1690" s="6"/>
      <c r="L1690" s="6" t="s">
        <v>3115</v>
      </c>
      <c r="M1690" s="6"/>
      <c r="N1690" s="6" t="s">
        <v>3116</v>
      </c>
      <c r="O1690" s="6" t="str">
        <f>HYPERLINK("https://ceds.ed.gov/cedselementdetails.aspx?termid=5499")</f>
        <v>https://ceds.ed.gov/cedselementdetails.aspx?termid=5499</v>
      </c>
      <c r="P1690" s="6" t="str">
        <f>HYPERLINK("https://ceds.ed.gov/elementComment.aspx?elementName=Incident Description &amp;elementID=5499", "Click here to submit comment")</f>
        <v>Click here to submit comment</v>
      </c>
    </row>
    <row r="1691" spans="1:16" ht="409.5">
      <c r="A1691" s="6" t="s">
        <v>6788</v>
      </c>
      <c r="B1691" s="6" t="s">
        <v>6861</v>
      </c>
      <c r="C1691" s="6"/>
      <c r="D1691" s="6" t="s">
        <v>3100</v>
      </c>
      <c r="E1691" s="6" t="s">
        <v>3101</v>
      </c>
      <c r="F1691" s="7" t="s">
        <v>6541</v>
      </c>
      <c r="G1691" s="6"/>
      <c r="H1691" s="6"/>
      <c r="I1691" s="6"/>
      <c r="J1691" s="6"/>
      <c r="K1691" s="6"/>
      <c r="L1691" s="6" t="s">
        <v>3102</v>
      </c>
      <c r="M1691" s="6"/>
      <c r="N1691" s="6" t="s">
        <v>3103</v>
      </c>
      <c r="O1691" s="6" t="str">
        <f>HYPERLINK("https://ceds.ed.gov/cedselementdetails.aspx?termid=5500")</f>
        <v>https://ceds.ed.gov/cedselementdetails.aspx?termid=5500</v>
      </c>
      <c r="P1691" s="6" t="str">
        <f>HYPERLINK("https://ceds.ed.gov/elementComment.aspx?elementName=Incident Behavior &amp;elementID=5500", "Click here to submit comment")</f>
        <v>Click here to submit comment</v>
      </c>
    </row>
    <row r="1692" spans="1:16" ht="120">
      <c r="A1692" s="6" t="s">
        <v>6788</v>
      </c>
      <c r="B1692" s="6" t="s">
        <v>6861</v>
      </c>
      <c r="C1692" s="6"/>
      <c r="D1692" s="6" t="s">
        <v>3121</v>
      </c>
      <c r="E1692" s="6" t="s">
        <v>3122</v>
      </c>
      <c r="F1692" s="7" t="s">
        <v>6542</v>
      </c>
      <c r="G1692" s="6"/>
      <c r="H1692" s="6"/>
      <c r="I1692" s="6"/>
      <c r="J1692" s="6"/>
      <c r="K1692" s="6" t="s">
        <v>3123</v>
      </c>
      <c r="L1692" s="6" t="s">
        <v>3124</v>
      </c>
      <c r="M1692" s="6"/>
      <c r="N1692" s="6" t="s">
        <v>3125</v>
      </c>
      <c r="O1692" s="6" t="str">
        <f>HYPERLINK("https://ceds.ed.gov/cedselementdetails.aspx?termid=5501")</f>
        <v>https://ceds.ed.gov/cedselementdetails.aspx?termid=5501</v>
      </c>
      <c r="P1692" s="6" t="str">
        <f>HYPERLINK("https://ceds.ed.gov/elementComment.aspx?elementName=Incident Injury Type &amp;elementID=5501", "Click here to submit comment")</f>
        <v>Click here to submit comment</v>
      </c>
    </row>
    <row r="1693" spans="1:16" ht="75">
      <c r="A1693" s="6" t="s">
        <v>6788</v>
      </c>
      <c r="B1693" s="6" t="s">
        <v>6861</v>
      </c>
      <c r="C1693" s="6"/>
      <c r="D1693" s="6" t="s">
        <v>5025</v>
      </c>
      <c r="E1693" s="6" t="s">
        <v>5026</v>
      </c>
      <c r="F1693" s="6" t="s">
        <v>5963</v>
      </c>
      <c r="G1693" s="6"/>
      <c r="H1693" s="6"/>
      <c r="I1693" s="6"/>
      <c r="J1693" s="6"/>
      <c r="K1693" s="6"/>
      <c r="L1693" s="6" t="s">
        <v>5027</v>
      </c>
      <c r="M1693" s="6"/>
      <c r="N1693" s="6" t="s">
        <v>5028</v>
      </c>
      <c r="O1693" s="6" t="str">
        <f>HYPERLINK("https://ceds.ed.gov/cedselementdetails.aspx?termid=5503")</f>
        <v>https://ceds.ed.gov/cedselementdetails.aspx?termid=5503</v>
      </c>
      <c r="P1693" s="6" t="str">
        <f>HYPERLINK("https://ceds.ed.gov/elementComment.aspx?elementName=Related to Zero Tolerance Policy &amp;elementID=5503", "Click here to submit comment")</f>
        <v>Click here to submit comment</v>
      </c>
    </row>
    <row r="1694" spans="1:16" ht="300">
      <c r="A1694" s="6" t="s">
        <v>6788</v>
      </c>
      <c r="B1694" s="6" t="s">
        <v>6861</v>
      </c>
      <c r="C1694" s="6"/>
      <c r="D1694" s="6" t="s">
        <v>3171</v>
      </c>
      <c r="E1694" s="6" t="s">
        <v>3172</v>
      </c>
      <c r="F1694" s="7" t="s">
        <v>6546</v>
      </c>
      <c r="G1694" s="6"/>
      <c r="H1694" s="6"/>
      <c r="I1694" s="6"/>
      <c r="J1694" s="6"/>
      <c r="K1694" s="6"/>
      <c r="L1694" s="6" t="s">
        <v>3173</v>
      </c>
      <c r="M1694" s="6"/>
      <c r="N1694" s="6" t="s">
        <v>3174</v>
      </c>
      <c r="O1694" s="6" t="str">
        <f>HYPERLINK("https://ceds.ed.gov/cedselementdetails.aspx?termid=5506")</f>
        <v>https://ceds.ed.gov/cedselementdetails.aspx?termid=5506</v>
      </c>
      <c r="P1694" s="6" t="str">
        <f>HYPERLINK("https://ceds.ed.gov/elementComment.aspx?elementName=Incident Time Description Code &amp;elementID=5506", "Click here to submit comment")</f>
        <v>Click here to submit comment</v>
      </c>
    </row>
    <row r="1695" spans="1:16" ht="75">
      <c r="A1695" s="6" t="s">
        <v>6788</v>
      </c>
      <c r="B1695" s="6" t="s">
        <v>6861</v>
      </c>
      <c r="C1695" s="6"/>
      <c r="D1695" s="6" t="s">
        <v>3048</v>
      </c>
      <c r="E1695" s="6" t="s">
        <v>3049</v>
      </c>
      <c r="F1695" s="7" t="s">
        <v>6539</v>
      </c>
      <c r="G1695" s="6" t="s">
        <v>218</v>
      </c>
      <c r="H1695" s="6"/>
      <c r="I1695" s="6"/>
      <c r="J1695" s="6"/>
      <c r="K1695" s="6"/>
      <c r="L1695" s="6" t="s">
        <v>3050</v>
      </c>
      <c r="M1695" s="6"/>
      <c r="N1695" s="6" t="s">
        <v>3051</v>
      </c>
      <c r="O1695" s="6" t="str">
        <f>HYPERLINK("https://ceds.ed.gov/cedselementdetails.aspx?termid=5530")</f>
        <v>https://ceds.ed.gov/cedselementdetails.aspx?termid=5530</v>
      </c>
      <c r="P1695" s="6" t="str">
        <f>HYPERLINK("https://ceds.ed.gov/elementComment.aspx?elementName=IDEA Interim Removal Reason &amp;elementID=5530", "Click here to submit comment")</f>
        <v>Click here to submit comment</v>
      </c>
    </row>
    <row r="1696" spans="1:16" ht="105">
      <c r="A1696" s="6" t="s">
        <v>6788</v>
      </c>
      <c r="B1696" s="6" t="s">
        <v>6861</v>
      </c>
      <c r="C1696" s="6"/>
      <c r="D1696" s="6" t="s">
        <v>3044</v>
      </c>
      <c r="E1696" s="6" t="s">
        <v>3045</v>
      </c>
      <c r="F1696" s="7" t="s">
        <v>6538</v>
      </c>
      <c r="G1696" s="6" t="s">
        <v>218</v>
      </c>
      <c r="H1696" s="6"/>
      <c r="I1696" s="6"/>
      <c r="J1696" s="6"/>
      <c r="K1696" s="6"/>
      <c r="L1696" s="6" t="s">
        <v>3046</v>
      </c>
      <c r="M1696" s="6"/>
      <c r="N1696" s="6" t="s">
        <v>3047</v>
      </c>
      <c r="O1696" s="6" t="str">
        <f>HYPERLINK("https://ceds.ed.gov/cedselementdetails.aspx?termid=5532")</f>
        <v>https://ceds.ed.gov/cedselementdetails.aspx?termid=5532</v>
      </c>
      <c r="P1696" s="6" t="str">
        <f>HYPERLINK("https://ceds.ed.gov/elementComment.aspx?elementName=IDEA Interim Removal &amp;elementID=5532", "Click here to submit comment")</f>
        <v>Click here to submit comment</v>
      </c>
    </row>
    <row r="1697" spans="1:16" ht="255">
      <c r="A1697" s="6" t="s">
        <v>6788</v>
      </c>
      <c r="B1697" s="6" t="s">
        <v>6861</v>
      </c>
      <c r="C1697" s="6"/>
      <c r="D1697" s="6" t="s">
        <v>2242</v>
      </c>
      <c r="E1697" s="6" t="s">
        <v>2243</v>
      </c>
      <c r="F1697" s="7" t="s">
        <v>6465</v>
      </c>
      <c r="G1697" s="6" t="s">
        <v>218</v>
      </c>
      <c r="H1697" s="6"/>
      <c r="I1697" s="6"/>
      <c r="J1697" s="6"/>
      <c r="K1697" s="6"/>
      <c r="L1697" s="6" t="s">
        <v>2244</v>
      </c>
      <c r="M1697" s="6"/>
      <c r="N1697" s="6" t="s">
        <v>2245</v>
      </c>
      <c r="O1697" s="6" t="str">
        <f>HYPERLINK("https://ceds.ed.gov/cedselementdetails.aspx?termid=5536")</f>
        <v>https://ceds.ed.gov/cedselementdetails.aspx?termid=5536</v>
      </c>
      <c r="P1697" s="6" t="str">
        <f>HYPERLINK("https://ceds.ed.gov/elementComment.aspx?elementName=Discipline Reason &amp;elementID=5536", "Click here to submit comment")</f>
        <v>Click here to submit comment</v>
      </c>
    </row>
    <row r="1698" spans="1:16" ht="120">
      <c r="A1698" s="6" t="s">
        <v>6788</v>
      </c>
      <c r="B1698" s="6" t="s">
        <v>6861</v>
      </c>
      <c r="C1698" s="6"/>
      <c r="D1698" s="6" t="s">
        <v>2758</v>
      </c>
      <c r="E1698" s="6" t="s">
        <v>2759</v>
      </c>
      <c r="F1698" s="7" t="s">
        <v>6517</v>
      </c>
      <c r="G1698" s="6" t="s">
        <v>218</v>
      </c>
      <c r="H1698" s="6"/>
      <c r="I1698" s="6"/>
      <c r="J1698" s="6"/>
      <c r="K1698" s="6"/>
      <c r="L1698" s="6" t="s">
        <v>2761</v>
      </c>
      <c r="M1698" s="6"/>
      <c r="N1698" s="6" t="s">
        <v>2762</v>
      </c>
      <c r="O1698" s="6" t="str">
        <f>HYPERLINK("https://ceds.ed.gov/cedselementdetails.aspx?termid=5548")</f>
        <v>https://ceds.ed.gov/cedselementdetails.aspx?termid=5548</v>
      </c>
      <c r="P1698" s="6" t="str">
        <f>HYPERLINK("https://ceds.ed.gov/elementComment.aspx?elementName=Firearm Type &amp;elementID=5548", "Click here to submit comment")</f>
        <v>Click here to submit comment</v>
      </c>
    </row>
    <row r="1699" spans="1:16" ht="75">
      <c r="A1699" s="6" t="s">
        <v>6788</v>
      </c>
      <c r="B1699" s="6" t="s">
        <v>6861</v>
      </c>
      <c r="C1699" s="6"/>
      <c r="D1699" s="6" t="s">
        <v>2447</v>
      </c>
      <c r="E1699" s="6" t="s">
        <v>2448</v>
      </c>
      <c r="F1699" s="6" t="s">
        <v>5963</v>
      </c>
      <c r="G1699" s="6"/>
      <c r="H1699" s="6"/>
      <c r="I1699" s="6"/>
      <c r="J1699" s="6"/>
      <c r="K1699" s="6"/>
      <c r="L1699" s="6" t="s">
        <v>2449</v>
      </c>
      <c r="M1699" s="6"/>
      <c r="N1699" s="6" t="s">
        <v>2450</v>
      </c>
      <c r="O1699" s="6" t="str">
        <f>HYPERLINK("https://ceds.ed.gov/cedselementdetails.aspx?termid=5570")</f>
        <v>https://ceds.ed.gov/cedselementdetails.aspx?termid=5570</v>
      </c>
      <c r="P1699" s="6" t="str">
        <f>HYPERLINK("https://ceds.ed.gov/elementComment.aspx?elementName=Educational Services After Removal &amp;elementID=5570", "Click here to submit comment")</f>
        <v>Click here to submit comment</v>
      </c>
    </row>
    <row r="1700" spans="1:16" ht="195">
      <c r="A1700" s="6" t="s">
        <v>6788</v>
      </c>
      <c r="B1700" s="6" t="s">
        <v>6861</v>
      </c>
      <c r="C1700" s="6"/>
      <c r="D1700" s="6" t="s">
        <v>3104</v>
      </c>
      <c r="E1700" s="6" t="s">
        <v>3105</v>
      </c>
      <c r="F1700" s="6" t="s">
        <v>13</v>
      </c>
      <c r="G1700" s="6"/>
      <c r="H1700" s="6"/>
      <c r="I1700" s="6" t="s">
        <v>100</v>
      </c>
      <c r="J1700" s="6"/>
      <c r="K1700" s="6"/>
      <c r="L1700" s="6" t="s">
        <v>3106</v>
      </c>
      <c r="M1700" s="6"/>
      <c r="N1700" s="6" t="s">
        <v>3107</v>
      </c>
      <c r="O1700" s="6" t="str">
        <f>HYPERLINK("https://ceds.ed.gov/cedselementdetails.aspx?termid=5496")</f>
        <v>https://ceds.ed.gov/cedselementdetails.aspx?termid=5496</v>
      </c>
      <c r="P1700" s="6" t="str">
        <f>HYPERLINK("https://ceds.ed.gov/elementComment.aspx?elementName=Incident Cost &amp;elementID=5496", "Click here to submit comment")</f>
        <v>Click here to submit comment</v>
      </c>
    </row>
    <row r="1701" spans="1:16" ht="195">
      <c r="A1701" s="6" t="s">
        <v>6788</v>
      </c>
      <c r="B1701" s="6" t="s">
        <v>6861</v>
      </c>
      <c r="C1701" s="6"/>
      <c r="D1701" s="6" t="s">
        <v>5285</v>
      </c>
      <c r="E1701" s="6" t="s">
        <v>5286</v>
      </c>
      <c r="F1701" s="7" t="s">
        <v>6653</v>
      </c>
      <c r="G1701" s="6"/>
      <c r="H1701" s="6"/>
      <c r="I1701" s="6"/>
      <c r="J1701" s="6"/>
      <c r="K1701" s="6"/>
      <c r="L1701" s="6" t="s">
        <v>5287</v>
      </c>
      <c r="M1701" s="6"/>
      <c r="N1701" s="6" t="s">
        <v>5288</v>
      </c>
      <c r="O1701" s="6" t="str">
        <f>HYPERLINK("https://ceds.ed.gov/cedselementdetails.aspx?termid=5620")</f>
        <v>https://ceds.ed.gov/cedselementdetails.aspx?termid=5620</v>
      </c>
      <c r="P1701" s="6" t="str">
        <f>HYPERLINK("https://ceds.ed.gov/elementComment.aspx?elementName=Secondary Incident Behavior &amp;elementID=5620", "Click here to submit comment")</f>
        <v>Click here to submit comment</v>
      </c>
    </row>
    <row r="1702" spans="1:16" ht="409.5">
      <c r="A1702" s="6" t="s">
        <v>6788</v>
      </c>
      <c r="B1702" s="6" t="s">
        <v>6861</v>
      </c>
      <c r="C1702" s="6"/>
      <c r="D1702" s="6" t="s">
        <v>5903</v>
      </c>
      <c r="E1702" s="6" t="s">
        <v>5904</v>
      </c>
      <c r="F1702" s="7" t="s">
        <v>6694</v>
      </c>
      <c r="G1702" s="6"/>
      <c r="H1702" s="6"/>
      <c r="I1702" s="6"/>
      <c r="J1702" s="6"/>
      <c r="K1702" s="6" t="s">
        <v>5905</v>
      </c>
      <c r="L1702" s="6" t="s">
        <v>5906</v>
      </c>
      <c r="M1702" s="6"/>
      <c r="N1702" s="6" t="s">
        <v>5907</v>
      </c>
      <c r="O1702" s="6" t="str">
        <f>HYPERLINK("https://ceds.ed.gov/cedselementdetails.aspx?termid=6178")</f>
        <v>https://ceds.ed.gov/cedselementdetails.aspx?termid=6178</v>
      </c>
      <c r="P1702" s="6" t="str">
        <f>HYPERLINK("https://ceds.ed.gov/elementComment.aspx?elementName=Weapon Type &amp;elementID=6178", "Click here to submit comment")</f>
        <v>Click here to submit comment</v>
      </c>
    </row>
    <row r="1703" spans="1:16" ht="30">
      <c r="A1703" s="6" t="s">
        <v>6788</v>
      </c>
      <c r="B1703" s="6" t="s">
        <v>6861</v>
      </c>
      <c r="C1703" s="6"/>
      <c r="D1703" s="6" t="s">
        <v>2221</v>
      </c>
      <c r="E1703" s="6" t="s">
        <v>2222</v>
      </c>
      <c r="F1703" s="6" t="s">
        <v>13</v>
      </c>
      <c r="G1703" s="6" t="s">
        <v>2</v>
      </c>
      <c r="H1703" s="6"/>
      <c r="I1703" s="6" t="s">
        <v>73</v>
      </c>
      <c r="J1703" s="6"/>
      <c r="K1703" s="6"/>
      <c r="L1703" s="6" t="s">
        <v>2223</v>
      </c>
      <c r="M1703" s="6"/>
      <c r="N1703" s="6" t="s">
        <v>2224</v>
      </c>
      <c r="O1703" s="6" t="str">
        <f>HYPERLINK("https://ceds.ed.gov/cedselementdetails.aspx?termid=5083")</f>
        <v>https://ceds.ed.gov/cedselementdetails.aspx?termid=5083</v>
      </c>
      <c r="P1703" s="6" t="str">
        <f>HYPERLINK("https://ceds.ed.gov/elementComment.aspx?elementName=Disciplinary Action Start Date &amp;elementID=5083", "Click here to submit comment")</f>
        <v>Click here to submit comment</v>
      </c>
    </row>
    <row r="1704" spans="1:16" ht="30">
      <c r="A1704" s="6" t="s">
        <v>6788</v>
      </c>
      <c r="B1704" s="6" t="s">
        <v>6861</v>
      </c>
      <c r="C1704" s="6"/>
      <c r="D1704" s="6" t="s">
        <v>2212</v>
      </c>
      <c r="E1704" s="6" t="s">
        <v>2213</v>
      </c>
      <c r="F1704" s="6" t="s">
        <v>13</v>
      </c>
      <c r="G1704" s="6" t="s">
        <v>2</v>
      </c>
      <c r="H1704" s="6"/>
      <c r="I1704" s="6" t="s">
        <v>73</v>
      </c>
      <c r="J1704" s="6"/>
      <c r="K1704" s="6"/>
      <c r="L1704" s="6" t="s">
        <v>2214</v>
      </c>
      <c r="M1704" s="6"/>
      <c r="N1704" s="6" t="s">
        <v>2215</v>
      </c>
      <c r="O1704" s="6" t="str">
        <f>HYPERLINK("https://ceds.ed.gov/cedselementdetails.aspx?termid=5082")</f>
        <v>https://ceds.ed.gov/cedselementdetails.aspx?termid=5082</v>
      </c>
      <c r="P1704" s="6" t="str">
        <f>HYPERLINK("https://ceds.ed.gov/elementComment.aspx?elementName=Disciplinary Action End Date &amp;elementID=5082", "Click here to submit comment")</f>
        <v>Click here to submit comment</v>
      </c>
    </row>
    <row r="1705" spans="1:16" ht="409.5">
      <c r="A1705" s="6" t="s">
        <v>6788</v>
      </c>
      <c r="B1705" s="6" t="s">
        <v>6861</v>
      </c>
      <c r="C1705" s="6"/>
      <c r="D1705" s="6" t="s">
        <v>2225</v>
      </c>
      <c r="E1705" s="6" t="s">
        <v>2226</v>
      </c>
      <c r="F1705" s="7" t="s">
        <v>6461</v>
      </c>
      <c r="G1705" s="6" t="s">
        <v>2</v>
      </c>
      <c r="H1705" s="6"/>
      <c r="I1705" s="6"/>
      <c r="J1705" s="6"/>
      <c r="K1705" s="6"/>
      <c r="L1705" s="6" t="s">
        <v>2227</v>
      </c>
      <c r="M1705" s="6"/>
      <c r="N1705" s="6" t="s">
        <v>2228</v>
      </c>
      <c r="O1705" s="6" t="str">
        <f>HYPERLINK("https://ceds.ed.gov/cedselementdetails.aspx?termid=5479")</f>
        <v>https://ceds.ed.gov/cedselementdetails.aspx?termid=5479</v>
      </c>
      <c r="P1705" s="6" t="str">
        <f>HYPERLINK("https://ceds.ed.gov/elementComment.aspx?elementName=Disciplinary Action Taken &amp;elementID=5479", "Click here to submit comment")</f>
        <v>Click here to submit comment</v>
      </c>
    </row>
    <row r="1706" spans="1:16" ht="30">
      <c r="A1706" s="6" t="s">
        <v>6788</v>
      </c>
      <c r="B1706" s="6" t="s">
        <v>6861</v>
      </c>
      <c r="C1706" s="6"/>
      <c r="D1706" s="6" t="s">
        <v>2286</v>
      </c>
      <c r="E1706" s="6" t="s">
        <v>2287</v>
      </c>
      <c r="F1706" s="6" t="s">
        <v>13</v>
      </c>
      <c r="G1706" s="6"/>
      <c r="H1706" s="6"/>
      <c r="I1706" s="6" t="s">
        <v>1461</v>
      </c>
      <c r="J1706" s="6"/>
      <c r="K1706" s="6"/>
      <c r="L1706" s="6" t="s">
        <v>2288</v>
      </c>
      <c r="M1706" s="6"/>
      <c r="N1706" s="6" t="s">
        <v>2289</v>
      </c>
      <c r="O1706" s="6" t="str">
        <f>HYPERLINK("https://ceds.ed.gov/cedselementdetails.aspx?termid=5502")</f>
        <v>https://ceds.ed.gov/cedselementdetails.aspx?termid=5502</v>
      </c>
      <c r="P1706" s="6" t="str">
        <f>HYPERLINK("https://ceds.ed.gov/elementComment.aspx?elementName=Duration of Disciplinary Action &amp;elementID=5502", "Click here to submit comment")</f>
        <v>Click here to submit comment</v>
      </c>
    </row>
    <row r="1707" spans="1:16" ht="405">
      <c r="A1707" s="6" t="s">
        <v>6788</v>
      </c>
      <c r="B1707" s="6" t="s">
        <v>6861</v>
      </c>
      <c r="C1707" s="6"/>
      <c r="D1707" s="6" t="s">
        <v>2229</v>
      </c>
      <c r="E1707" s="6" t="s">
        <v>2230</v>
      </c>
      <c r="F1707" s="7" t="s">
        <v>6462</v>
      </c>
      <c r="G1707" s="6"/>
      <c r="H1707" s="6"/>
      <c r="I1707" s="6"/>
      <c r="J1707" s="6"/>
      <c r="K1707" s="6"/>
      <c r="L1707" s="6" t="s">
        <v>2231</v>
      </c>
      <c r="M1707" s="6"/>
      <c r="N1707" s="6" t="s">
        <v>2232</v>
      </c>
      <c r="O1707" s="6" t="str">
        <f>HYPERLINK("https://ceds.ed.gov/cedselementdetails.aspx?termid=5602")</f>
        <v>https://ceds.ed.gov/cedselementdetails.aspx?termid=5602</v>
      </c>
      <c r="P1707" s="6" t="str">
        <f>HYPERLINK("https://ceds.ed.gov/elementComment.aspx?elementName=Discipline Action Length Difference Reason &amp;elementID=5602", "Click here to submit comment")</f>
        <v>Click here to submit comment</v>
      </c>
    </row>
    <row r="1708" spans="1:16" ht="45">
      <c r="A1708" s="6" t="s">
        <v>6788</v>
      </c>
      <c r="B1708" s="6" t="s">
        <v>6861</v>
      </c>
      <c r="C1708" s="6"/>
      <c r="D1708" s="6" t="s">
        <v>2807</v>
      </c>
      <c r="E1708" s="6" t="s">
        <v>2808</v>
      </c>
      <c r="F1708" s="6" t="s">
        <v>5963</v>
      </c>
      <c r="G1708" s="6"/>
      <c r="H1708" s="6"/>
      <c r="I1708" s="6"/>
      <c r="J1708" s="6"/>
      <c r="K1708" s="6"/>
      <c r="L1708" s="6" t="s">
        <v>2809</v>
      </c>
      <c r="M1708" s="6"/>
      <c r="N1708" s="6" t="s">
        <v>2810</v>
      </c>
      <c r="O1708" s="6" t="str">
        <f>HYPERLINK("https://ceds.ed.gov/cedselementdetails.aspx?termid=5504")</f>
        <v>https://ceds.ed.gov/cedselementdetails.aspx?termid=5504</v>
      </c>
      <c r="P1708" s="6" t="str">
        <f>HYPERLINK("https://ceds.ed.gov/elementComment.aspx?elementName=Full Year Expulsion &amp;elementID=5504", "Click here to submit comment")</f>
        <v>Click here to submit comment</v>
      </c>
    </row>
    <row r="1709" spans="1:16" ht="60">
      <c r="A1709" s="6" t="s">
        <v>6788</v>
      </c>
      <c r="B1709" s="6" t="s">
        <v>6861</v>
      </c>
      <c r="C1709" s="6"/>
      <c r="D1709" s="6" t="s">
        <v>5366</v>
      </c>
      <c r="E1709" s="6" t="s">
        <v>5367</v>
      </c>
      <c r="F1709" s="6" t="s">
        <v>5963</v>
      </c>
      <c r="G1709" s="6"/>
      <c r="H1709" s="6"/>
      <c r="I1709" s="6"/>
      <c r="J1709" s="6"/>
      <c r="K1709" s="6"/>
      <c r="L1709" s="6" t="s">
        <v>5368</v>
      </c>
      <c r="M1709" s="6"/>
      <c r="N1709" s="6" t="s">
        <v>5369</v>
      </c>
      <c r="O1709" s="6" t="str">
        <f>HYPERLINK("https://ceds.ed.gov/cedselementdetails.aspx?termid=5505")</f>
        <v>https://ceds.ed.gov/cedselementdetails.aspx?termid=5505</v>
      </c>
      <c r="P1709" s="6" t="str">
        <f>HYPERLINK("https://ceds.ed.gov/elementComment.aspx?elementName=Shortened Expulsion &amp;elementID=5505", "Click here to submit comment")</f>
        <v>Click here to submit comment</v>
      </c>
    </row>
    <row r="1710" spans="1:16" ht="60">
      <c r="A1710" s="6" t="s">
        <v>6788</v>
      </c>
      <c r="B1710" s="6" t="s">
        <v>6861</v>
      </c>
      <c r="C1710" s="6"/>
      <c r="D1710" s="6" t="s">
        <v>3130</v>
      </c>
      <c r="E1710" s="6" t="s">
        <v>3131</v>
      </c>
      <c r="F1710" s="6" t="s">
        <v>6205</v>
      </c>
      <c r="G1710" s="6"/>
      <c r="H1710" s="6" t="s">
        <v>54</v>
      </c>
      <c r="I1710" s="6"/>
      <c r="J1710" s="6"/>
      <c r="K1710" s="6"/>
      <c r="L1710" s="6" t="s">
        <v>3132</v>
      </c>
      <c r="M1710" s="6"/>
      <c r="N1710" s="6" t="s">
        <v>3133</v>
      </c>
      <c r="O1710" s="6" t="str">
        <f>HYPERLINK("https://ceds.ed.gov/cedselementdetails.aspx?termid=6337")</f>
        <v>https://ceds.ed.gov/cedselementdetails.aspx?termid=6337</v>
      </c>
      <c r="P1710" s="6" t="str">
        <f>HYPERLINK("https://ceds.ed.gov/elementComment.aspx?elementName=Incident Multiple Offense Type &amp;elementID=6337", "Click here to submit comment")</f>
        <v>Click here to submit comment</v>
      </c>
    </row>
    <row r="1711" spans="1:16" ht="60">
      <c r="A1711" s="6" t="s">
        <v>6788</v>
      </c>
      <c r="B1711" s="6" t="s">
        <v>6861</v>
      </c>
      <c r="C1711" s="6"/>
      <c r="D1711" s="6" t="s">
        <v>3134</v>
      </c>
      <c r="E1711" s="6" t="s">
        <v>3135</v>
      </c>
      <c r="F1711" s="6" t="s">
        <v>13</v>
      </c>
      <c r="G1711" s="6"/>
      <c r="H1711" s="6" t="s">
        <v>54</v>
      </c>
      <c r="I1711" s="6" t="s">
        <v>100</v>
      </c>
      <c r="J1711" s="6"/>
      <c r="K1711" s="6"/>
      <c r="L1711" s="6" t="s">
        <v>3136</v>
      </c>
      <c r="M1711" s="6"/>
      <c r="N1711" s="6" t="s">
        <v>3137</v>
      </c>
      <c r="O1711" s="6" t="str">
        <f>HYPERLINK("https://ceds.ed.gov/cedselementdetails.aspx?termid=6338")</f>
        <v>https://ceds.ed.gov/cedselementdetails.aspx?termid=6338</v>
      </c>
      <c r="P1711" s="6" t="str">
        <f>HYPERLINK("https://ceds.ed.gov/elementComment.aspx?elementName=Incident Perpetrator Identifier &amp;elementID=6338", "Click here to submit comment")</f>
        <v>Click here to submit comment</v>
      </c>
    </row>
    <row r="1712" spans="1:16" ht="120">
      <c r="A1712" s="6" t="s">
        <v>6788</v>
      </c>
      <c r="B1712" s="6" t="s">
        <v>6861</v>
      </c>
      <c r="C1712" s="6"/>
      <c r="D1712" s="6" t="s">
        <v>3138</v>
      </c>
      <c r="E1712" s="6" t="s">
        <v>3139</v>
      </c>
      <c r="F1712" s="7" t="s">
        <v>6542</v>
      </c>
      <c r="G1712" s="6"/>
      <c r="H1712" s="6" t="s">
        <v>54</v>
      </c>
      <c r="I1712" s="6"/>
      <c r="J1712" s="6"/>
      <c r="K1712" s="6"/>
      <c r="L1712" s="6" t="s">
        <v>3140</v>
      </c>
      <c r="M1712" s="6"/>
      <c r="N1712" s="6" t="s">
        <v>3141</v>
      </c>
      <c r="O1712" s="6" t="str">
        <f>HYPERLINK("https://ceds.ed.gov/cedselementdetails.aspx?termid=6339")</f>
        <v>https://ceds.ed.gov/cedselementdetails.aspx?termid=6339</v>
      </c>
      <c r="P1712" s="6" t="str">
        <f>HYPERLINK("https://ceds.ed.gov/elementComment.aspx?elementName=Incident Perpetrator Injury Type &amp;elementID=6339", "Click here to submit comment")</f>
        <v>Click here to submit comment</v>
      </c>
    </row>
    <row r="1713" spans="1:16" ht="409.5">
      <c r="A1713" s="6" t="s">
        <v>6788</v>
      </c>
      <c r="B1713" s="6" t="s">
        <v>6861</v>
      </c>
      <c r="C1713" s="6"/>
      <c r="D1713" s="6" t="s">
        <v>3142</v>
      </c>
      <c r="E1713" s="6" t="s">
        <v>3143</v>
      </c>
      <c r="F1713" s="7" t="s">
        <v>6544</v>
      </c>
      <c r="G1713" s="6"/>
      <c r="H1713" s="6" t="s">
        <v>54</v>
      </c>
      <c r="I1713" s="6"/>
      <c r="J1713" s="6"/>
      <c r="K1713" s="6"/>
      <c r="L1713" s="6" t="s">
        <v>3144</v>
      </c>
      <c r="M1713" s="6"/>
      <c r="N1713" s="6" t="s">
        <v>3145</v>
      </c>
      <c r="O1713" s="6" t="str">
        <f>HYPERLINK("https://ceds.ed.gov/cedselementdetails.aspx?termid=6340")</f>
        <v>https://ceds.ed.gov/cedselementdetails.aspx?termid=6340</v>
      </c>
      <c r="P1713" s="6" t="str">
        <f>HYPERLINK("https://ceds.ed.gov/elementComment.aspx?elementName=Incident Perpetrator Type &amp;elementID=6340", "Click here to submit comment")</f>
        <v>Click here to submit comment</v>
      </c>
    </row>
    <row r="1714" spans="1:16" ht="75">
      <c r="A1714" s="6" t="s">
        <v>6788</v>
      </c>
      <c r="B1714" s="6" t="s">
        <v>6861</v>
      </c>
      <c r="C1714" s="6"/>
      <c r="D1714" s="6" t="s">
        <v>3146</v>
      </c>
      <c r="E1714" s="6" t="s">
        <v>3147</v>
      </c>
      <c r="F1714" s="6" t="s">
        <v>6206</v>
      </c>
      <c r="G1714" s="6"/>
      <c r="H1714" s="6" t="s">
        <v>54</v>
      </c>
      <c r="I1714" s="6"/>
      <c r="J1714" s="6"/>
      <c r="K1714" s="6"/>
      <c r="L1714" s="6" t="s">
        <v>3148</v>
      </c>
      <c r="M1714" s="6"/>
      <c r="N1714" s="6" t="s">
        <v>3149</v>
      </c>
      <c r="O1714" s="6" t="str">
        <f>HYPERLINK("https://ceds.ed.gov/cedselementdetails.aspx?termid=6341")</f>
        <v>https://ceds.ed.gov/cedselementdetails.aspx?termid=6341</v>
      </c>
      <c r="P1714" s="6" t="str">
        <f>HYPERLINK("https://ceds.ed.gov/elementComment.aspx?elementName=Incident Person Role Type &amp;elementID=6341", "Click here to submit comment")</f>
        <v>Click here to submit comment</v>
      </c>
    </row>
    <row r="1715" spans="1:16" ht="90">
      <c r="A1715" s="6" t="s">
        <v>6788</v>
      </c>
      <c r="B1715" s="6" t="s">
        <v>6861</v>
      </c>
      <c r="C1715" s="6"/>
      <c r="D1715" s="6" t="s">
        <v>3150</v>
      </c>
      <c r="E1715" s="6" t="s">
        <v>3151</v>
      </c>
      <c r="F1715" s="6" t="s">
        <v>13</v>
      </c>
      <c r="G1715" s="6"/>
      <c r="H1715" s="6" t="s">
        <v>54</v>
      </c>
      <c r="I1715" s="6" t="s">
        <v>745</v>
      </c>
      <c r="J1715" s="6"/>
      <c r="K1715" s="6"/>
      <c r="L1715" s="6" t="s">
        <v>3152</v>
      </c>
      <c r="M1715" s="6"/>
      <c r="N1715" s="6" t="s">
        <v>3153</v>
      </c>
      <c r="O1715" s="6" t="str">
        <f>HYPERLINK("https://ceds.ed.gov/cedselementdetails.aspx?termid=6342")</f>
        <v>https://ceds.ed.gov/cedselementdetails.aspx?termid=6342</v>
      </c>
      <c r="P1715" s="6" t="str">
        <f>HYPERLINK("https://ceds.ed.gov/elementComment.aspx?elementName=Incident Regulation Violated Description &amp;elementID=6342", "Click here to submit comment")</f>
        <v>Click here to submit comment</v>
      </c>
    </row>
    <row r="1716" spans="1:16" ht="90">
      <c r="A1716" s="6" t="s">
        <v>6788</v>
      </c>
      <c r="B1716" s="6" t="s">
        <v>6861</v>
      </c>
      <c r="C1716" s="6"/>
      <c r="D1716" s="6" t="s">
        <v>3154</v>
      </c>
      <c r="E1716" s="6" t="s">
        <v>3155</v>
      </c>
      <c r="F1716" s="6" t="s">
        <v>5963</v>
      </c>
      <c r="G1716" s="6"/>
      <c r="H1716" s="6" t="s">
        <v>54</v>
      </c>
      <c r="I1716" s="6"/>
      <c r="J1716" s="6"/>
      <c r="K1716" s="6" t="s">
        <v>3156</v>
      </c>
      <c r="L1716" s="6" t="s">
        <v>3157</v>
      </c>
      <c r="M1716" s="6"/>
      <c r="N1716" s="6" t="s">
        <v>3158</v>
      </c>
      <c r="O1716" s="6" t="str">
        <f>HYPERLINK("https://ceds.ed.gov/cedselementdetails.aspx?termid=6343")</f>
        <v>https://ceds.ed.gov/cedselementdetails.aspx?termid=6343</v>
      </c>
      <c r="P1716" s="6" t="str">
        <f>HYPERLINK("https://ceds.ed.gov/elementComment.aspx?elementName=Incident Related to Disability Manifestation &amp;elementID=6343", "Click here to submit comment")</f>
        <v>Click here to submit comment</v>
      </c>
    </row>
    <row r="1717" spans="1:16" ht="75">
      <c r="A1717" s="6" t="s">
        <v>6788</v>
      </c>
      <c r="B1717" s="6" t="s">
        <v>6861</v>
      </c>
      <c r="C1717" s="6"/>
      <c r="D1717" s="6" t="s">
        <v>3159</v>
      </c>
      <c r="E1717" s="6" t="s">
        <v>3160</v>
      </c>
      <c r="F1717" s="6" t="s">
        <v>5963</v>
      </c>
      <c r="G1717" s="6"/>
      <c r="H1717" s="6" t="s">
        <v>54</v>
      </c>
      <c r="I1717" s="6"/>
      <c r="J1717" s="6"/>
      <c r="K1717" s="6"/>
      <c r="L1717" s="6" t="s">
        <v>3161</v>
      </c>
      <c r="M1717" s="6"/>
      <c r="N1717" s="6" t="s">
        <v>3162</v>
      </c>
      <c r="O1717" s="6" t="str">
        <f>HYPERLINK("https://ceds.ed.gov/cedselementdetails.aspx?termid=6345")</f>
        <v>https://ceds.ed.gov/cedselementdetails.aspx?termid=6345</v>
      </c>
      <c r="P1717" s="6" t="str">
        <f>HYPERLINK("https://ceds.ed.gov/elementComment.aspx?elementName=Incident Reported to Law Enforcement Indicator &amp;elementID=6345", "Click here to submit comment")</f>
        <v>Click here to submit comment</v>
      </c>
    </row>
    <row r="1718" spans="1:16" ht="60">
      <c r="A1718" s="6" t="s">
        <v>6788</v>
      </c>
      <c r="B1718" s="6" t="s">
        <v>6861</v>
      </c>
      <c r="C1718" s="6"/>
      <c r="D1718" s="6" t="s">
        <v>3175</v>
      </c>
      <c r="E1718" s="6" t="s">
        <v>3176</v>
      </c>
      <c r="F1718" s="6" t="s">
        <v>13</v>
      </c>
      <c r="G1718" s="6"/>
      <c r="H1718" s="6" t="s">
        <v>54</v>
      </c>
      <c r="I1718" s="6" t="s">
        <v>100</v>
      </c>
      <c r="J1718" s="6"/>
      <c r="K1718" s="6"/>
      <c r="L1718" s="6" t="s">
        <v>3177</v>
      </c>
      <c r="M1718" s="6"/>
      <c r="N1718" s="6" t="s">
        <v>3178</v>
      </c>
      <c r="O1718" s="6" t="str">
        <f>HYPERLINK("https://ceds.ed.gov/cedselementdetails.aspx?termid=6346")</f>
        <v>https://ceds.ed.gov/cedselementdetails.aspx?termid=6346</v>
      </c>
      <c r="P1718" s="6" t="str">
        <f>HYPERLINK("https://ceds.ed.gov/elementComment.aspx?elementName=Incident Victim Identifier &amp;elementID=6346", "Click here to submit comment")</f>
        <v>Click here to submit comment</v>
      </c>
    </row>
    <row r="1719" spans="1:16" ht="409.5">
      <c r="A1719" s="6" t="s">
        <v>6788</v>
      </c>
      <c r="B1719" s="6" t="s">
        <v>6861</v>
      </c>
      <c r="C1719" s="6"/>
      <c r="D1719" s="6" t="s">
        <v>3179</v>
      </c>
      <c r="E1719" s="6" t="s">
        <v>3180</v>
      </c>
      <c r="F1719" s="7" t="s">
        <v>6544</v>
      </c>
      <c r="G1719" s="6"/>
      <c r="H1719" s="6" t="s">
        <v>54</v>
      </c>
      <c r="I1719" s="6"/>
      <c r="J1719" s="6"/>
      <c r="K1719" s="6"/>
      <c r="L1719" s="6" t="s">
        <v>3181</v>
      </c>
      <c r="M1719" s="6"/>
      <c r="N1719" s="6" t="s">
        <v>3182</v>
      </c>
      <c r="O1719" s="6" t="str">
        <f>HYPERLINK("https://ceds.ed.gov/cedselementdetails.aspx?termid=6347")</f>
        <v>https://ceds.ed.gov/cedselementdetails.aspx?termid=6347</v>
      </c>
      <c r="P1719" s="6" t="str">
        <f>HYPERLINK("https://ceds.ed.gov/elementComment.aspx?elementName=Incident Victim Type &amp;elementID=6347", "Click here to submit comment")</f>
        <v>Click here to submit comment</v>
      </c>
    </row>
    <row r="1720" spans="1:16" ht="120">
      <c r="A1720" s="6" t="s">
        <v>6788</v>
      </c>
      <c r="B1720" s="6" t="s">
        <v>6861</v>
      </c>
      <c r="C1720" s="6"/>
      <c r="D1720" s="6" t="s">
        <v>3183</v>
      </c>
      <c r="E1720" s="6" t="s">
        <v>3184</v>
      </c>
      <c r="F1720" s="6" t="s">
        <v>13</v>
      </c>
      <c r="G1720" s="6"/>
      <c r="H1720" s="6" t="s">
        <v>54</v>
      </c>
      <c r="I1720" s="6" t="s">
        <v>100</v>
      </c>
      <c r="J1720" s="6"/>
      <c r="K1720" s="6"/>
      <c r="L1720" s="6" t="s">
        <v>3185</v>
      </c>
      <c r="M1720" s="6"/>
      <c r="N1720" s="6" t="s">
        <v>3186</v>
      </c>
      <c r="O1720" s="6" t="str">
        <f>HYPERLINK("https://ceds.ed.gov/cedselementdetails.aspx?termid=6348")</f>
        <v>https://ceds.ed.gov/cedselementdetails.aspx?termid=6348</v>
      </c>
      <c r="P1720" s="6" t="str">
        <f>HYPERLINK("https://ceds.ed.gov/elementComment.aspx?elementName=Incident Witness Identifier &amp;elementID=6348", "Click here to submit comment")</f>
        <v>Click here to submit comment</v>
      </c>
    </row>
    <row r="1721" spans="1:16" ht="409.5">
      <c r="A1721" s="6" t="s">
        <v>6788</v>
      </c>
      <c r="B1721" s="6" t="s">
        <v>6861</v>
      </c>
      <c r="C1721" s="6"/>
      <c r="D1721" s="6" t="s">
        <v>3187</v>
      </c>
      <c r="E1721" s="6" t="s">
        <v>3188</v>
      </c>
      <c r="F1721" s="7" t="s">
        <v>6544</v>
      </c>
      <c r="G1721" s="6"/>
      <c r="H1721" s="6" t="s">
        <v>54</v>
      </c>
      <c r="I1721" s="6"/>
      <c r="J1721" s="6"/>
      <c r="K1721" s="6"/>
      <c r="L1721" s="6" t="s">
        <v>3189</v>
      </c>
      <c r="M1721" s="6"/>
      <c r="N1721" s="6" t="s">
        <v>3190</v>
      </c>
      <c r="O1721" s="6" t="str">
        <f>HYPERLINK("https://ceds.ed.gov/cedselementdetails.aspx?termid=6349")</f>
        <v>https://ceds.ed.gov/cedselementdetails.aspx?termid=6349</v>
      </c>
      <c r="P1721" s="6" t="str">
        <f>HYPERLINK("https://ceds.ed.gov/elementComment.aspx?elementName=Incident Witness Type &amp;elementID=6349", "Click here to submit comment")</f>
        <v>Click here to submit comment</v>
      </c>
    </row>
    <row r="1722" spans="1:16" ht="45">
      <c r="A1722" s="6" t="s">
        <v>6788</v>
      </c>
      <c r="B1722" s="6" t="s">
        <v>6862</v>
      </c>
      <c r="C1722" s="6" t="s">
        <v>6863</v>
      </c>
      <c r="D1722" s="6" t="s">
        <v>5263</v>
      </c>
      <c r="E1722" s="6" t="s">
        <v>5264</v>
      </c>
      <c r="F1722" s="6" t="s">
        <v>13</v>
      </c>
      <c r="G1722" s="6" t="s">
        <v>1780</v>
      </c>
      <c r="H1722" s="6"/>
      <c r="I1722" s="6" t="s">
        <v>1736</v>
      </c>
      <c r="J1722" s="6"/>
      <c r="K1722" s="6" t="s">
        <v>5265</v>
      </c>
      <c r="L1722" s="6" t="s">
        <v>5266</v>
      </c>
      <c r="M1722" s="6"/>
      <c r="N1722" s="6" t="s">
        <v>5267</v>
      </c>
      <c r="O1722" s="6" t="str">
        <f>HYPERLINK("https://ceds.ed.gov/cedselementdetails.aspx?termid=5243")</f>
        <v>https://ceds.ed.gov/cedselementdetails.aspx?termid=5243</v>
      </c>
      <c r="P1722" s="6" t="str">
        <f>HYPERLINK("https://ceds.ed.gov/elementComment.aspx?elementName=School Year &amp;elementID=5243", "Click here to submit comment")</f>
        <v>Click here to submit comment</v>
      </c>
    </row>
    <row r="1723" spans="1:16" ht="30">
      <c r="A1723" s="6" t="s">
        <v>6788</v>
      </c>
      <c r="B1723" s="6" t="s">
        <v>6862</v>
      </c>
      <c r="C1723" s="6" t="s">
        <v>6863</v>
      </c>
      <c r="D1723" s="6" t="s">
        <v>1512</v>
      </c>
      <c r="E1723" s="6" t="s">
        <v>1513</v>
      </c>
      <c r="F1723" s="6" t="s">
        <v>13</v>
      </c>
      <c r="G1723" s="6"/>
      <c r="H1723" s="6"/>
      <c r="I1723" s="6" t="s">
        <v>100</v>
      </c>
      <c r="J1723" s="6"/>
      <c r="K1723" s="6"/>
      <c r="L1723" s="6" t="s">
        <v>1514</v>
      </c>
      <c r="M1723" s="6"/>
      <c r="N1723" s="6" t="s">
        <v>1515</v>
      </c>
      <c r="O1723" s="6" t="str">
        <f>HYPERLINK("https://ceds.ed.gov/cedselementdetails.aspx?termid=5485")</f>
        <v>https://ceds.ed.gov/cedselementdetails.aspx?termid=5485</v>
      </c>
      <c r="P1723" s="6" t="str">
        <f>HYPERLINK("https://ceds.ed.gov/elementComment.aspx?elementName=Calendar Code &amp;elementID=5485", "Click here to submit comment")</f>
        <v>Click here to submit comment</v>
      </c>
    </row>
    <row r="1724" spans="1:16" ht="30">
      <c r="A1724" s="6" t="s">
        <v>6788</v>
      </c>
      <c r="B1724" s="6" t="s">
        <v>6862</v>
      </c>
      <c r="C1724" s="6" t="s">
        <v>6863</v>
      </c>
      <c r="D1724" s="6" t="s">
        <v>1516</v>
      </c>
      <c r="E1724" s="6" t="s">
        <v>1517</v>
      </c>
      <c r="F1724" s="6" t="s">
        <v>13</v>
      </c>
      <c r="G1724" s="6"/>
      <c r="H1724" s="6"/>
      <c r="I1724" s="6" t="s">
        <v>106</v>
      </c>
      <c r="J1724" s="6"/>
      <c r="K1724" s="6"/>
      <c r="L1724" s="6" t="s">
        <v>1518</v>
      </c>
      <c r="M1724" s="6"/>
      <c r="N1724" s="6" t="s">
        <v>1519</v>
      </c>
      <c r="O1724" s="6" t="str">
        <f>HYPERLINK("https://ceds.ed.gov/cedselementdetails.aspx?termid=5486")</f>
        <v>https://ceds.ed.gov/cedselementdetails.aspx?termid=5486</v>
      </c>
      <c r="P1724" s="6" t="str">
        <f>HYPERLINK("https://ceds.ed.gov/elementComment.aspx?elementName=Calendar Description &amp;elementID=5486", "Click here to submit comment")</f>
        <v>Click here to submit comment</v>
      </c>
    </row>
    <row r="1725" spans="1:16" ht="45">
      <c r="A1725" s="6" t="s">
        <v>6788</v>
      </c>
      <c r="B1725" s="6" t="s">
        <v>6862</v>
      </c>
      <c r="C1725" s="6" t="s">
        <v>6863</v>
      </c>
      <c r="D1725" s="6" t="s">
        <v>336</v>
      </c>
      <c r="E1725" s="6" t="s">
        <v>337</v>
      </c>
      <c r="F1725" s="6" t="s">
        <v>13</v>
      </c>
      <c r="G1725" s="6"/>
      <c r="H1725" s="6"/>
      <c r="I1725" s="6" t="s">
        <v>100</v>
      </c>
      <c r="J1725" s="6"/>
      <c r="K1725" s="6"/>
      <c r="L1725" s="6" t="s">
        <v>339</v>
      </c>
      <c r="M1725" s="6"/>
      <c r="N1725" s="6" t="s">
        <v>340</v>
      </c>
      <c r="O1725" s="6" t="str">
        <f>HYPERLINK("https://ceds.ed.gov/cedselementdetails.aspx?termid=5591")</f>
        <v>https://ceds.ed.gov/cedselementdetails.aspx?termid=5591</v>
      </c>
      <c r="P1725" s="6" t="str">
        <f>HYPERLINK("https://ceds.ed.gov/elementComment.aspx?elementName=Alternate Day Name &amp;elementID=5591", "Click here to submit comment")</f>
        <v>Click here to submit comment</v>
      </c>
    </row>
    <row r="1726" spans="1:16" ht="60">
      <c r="A1726" s="6" t="s">
        <v>6788</v>
      </c>
      <c r="B1726" s="6" t="s">
        <v>6862</v>
      </c>
      <c r="C1726" s="6" t="s">
        <v>6863</v>
      </c>
      <c r="D1726" s="6" t="s">
        <v>5317</v>
      </c>
      <c r="E1726" s="6" t="s">
        <v>5318</v>
      </c>
      <c r="F1726" s="6" t="s">
        <v>13</v>
      </c>
      <c r="G1726" s="6"/>
      <c r="H1726" s="6"/>
      <c r="I1726" s="6" t="s">
        <v>100</v>
      </c>
      <c r="J1726" s="6"/>
      <c r="K1726" s="6"/>
      <c r="L1726" s="6" t="s">
        <v>5319</v>
      </c>
      <c r="M1726" s="6"/>
      <c r="N1726" s="6" t="s">
        <v>5320</v>
      </c>
      <c r="O1726" s="6" t="str">
        <f>HYPERLINK("https://ceds.ed.gov/cedselementdetails.aspx?termid=6236")</f>
        <v>https://ceds.ed.gov/cedselementdetails.aspx?termid=6236</v>
      </c>
      <c r="P1726" s="6" t="str">
        <f>HYPERLINK("https://ceds.ed.gov/elementComment.aspx?elementName=Session Code &amp;elementID=6236", "Click here to submit comment")</f>
        <v>Click here to submit comment</v>
      </c>
    </row>
    <row r="1727" spans="1:16" ht="30">
      <c r="A1727" s="6" t="s">
        <v>6788</v>
      </c>
      <c r="B1727" s="6" t="s">
        <v>6862</v>
      </c>
      <c r="C1727" s="6" t="s">
        <v>6863</v>
      </c>
      <c r="D1727" s="6" t="s">
        <v>5321</v>
      </c>
      <c r="E1727" s="6" t="s">
        <v>5322</v>
      </c>
      <c r="F1727" s="6" t="s">
        <v>13</v>
      </c>
      <c r="G1727" s="6"/>
      <c r="H1727" s="6"/>
      <c r="I1727" s="6" t="s">
        <v>319</v>
      </c>
      <c r="J1727" s="6"/>
      <c r="K1727" s="6"/>
      <c r="L1727" s="6" t="s">
        <v>5323</v>
      </c>
      <c r="M1727" s="6"/>
      <c r="N1727" s="6" t="s">
        <v>5324</v>
      </c>
      <c r="O1727" s="6" t="str">
        <f>HYPERLINK("https://ceds.ed.gov/cedselementdetails.aspx?termid=6237")</f>
        <v>https://ceds.ed.gov/cedselementdetails.aspx?termid=6237</v>
      </c>
      <c r="P1727" s="6" t="str">
        <f>HYPERLINK("https://ceds.ed.gov/elementComment.aspx?elementName=Session Description &amp;elementID=6237", "Click here to submit comment")</f>
        <v>Click here to submit comment</v>
      </c>
    </row>
    <row r="1728" spans="1:16" ht="45">
      <c r="A1728" s="6" t="s">
        <v>6788</v>
      </c>
      <c r="B1728" s="6" t="s">
        <v>6862</v>
      </c>
      <c r="C1728" s="6" t="s">
        <v>6863</v>
      </c>
      <c r="D1728" s="6" t="s">
        <v>5337</v>
      </c>
      <c r="E1728" s="6" t="s">
        <v>5338</v>
      </c>
      <c r="F1728" s="6" t="s">
        <v>5963</v>
      </c>
      <c r="G1728" s="6"/>
      <c r="H1728" s="6"/>
      <c r="I1728" s="6"/>
      <c r="J1728" s="6"/>
      <c r="K1728" s="6"/>
      <c r="L1728" s="6" t="s">
        <v>5339</v>
      </c>
      <c r="M1728" s="6"/>
      <c r="N1728" s="6" t="s">
        <v>5340</v>
      </c>
      <c r="O1728" s="6" t="str">
        <f>HYPERLINK("https://ceds.ed.gov/cedselementdetails.aspx?termid=6238")</f>
        <v>https://ceds.ed.gov/cedselementdetails.aspx?termid=6238</v>
      </c>
      <c r="P1728" s="6" t="str">
        <f>HYPERLINK("https://ceds.ed.gov/elementComment.aspx?elementName=Session Marking Term Indicator &amp;elementID=6238", "Click here to submit comment")</f>
        <v>Click here to submit comment</v>
      </c>
    </row>
    <row r="1729" spans="1:16" ht="45">
      <c r="A1729" s="6" t="s">
        <v>6788</v>
      </c>
      <c r="B1729" s="6" t="s">
        <v>6862</v>
      </c>
      <c r="C1729" s="6" t="s">
        <v>6863</v>
      </c>
      <c r="D1729" s="6" t="s">
        <v>5341</v>
      </c>
      <c r="E1729" s="6" t="s">
        <v>5342</v>
      </c>
      <c r="F1729" s="6" t="s">
        <v>5963</v>
      </c>
      <c r="G1729" s="6"/>
      <c r="H1729" s="6"/>
      <c r="I1729" s="6"/>
      <c r="J1729" s="6"/>
      <c r="K1729" s="6"/>
      <c r="L1729" s="6" t="s">
        <v>5343</v>
      </c>
      <c r="M1729" s="6"/>
      <c r="N1729" s="6" t="s">
        <v>5344</v>
      </c>
      <c r="O1729" s="6" t="str">
        <f>HYPERLINK("https://ceds.ed.gov/cedselementdetails.aspx?termid=6239")</f>
        <v>https://ceds.ed.gov/cedselementdetails.aspx?termid=6239</v>
      </c>
      <c r="P1729" s="6" t="str">
        <f>HYPERLINK("https://ceds.ed.gov/elementComment.aspx?elementName=Session Scheduling Term Indicator &amp;elementID=6239", "Click here to submit comment")</f>
        <v>Click here to submit comment</v>
      </c>
    </row>
    <row r="1730" spans="1:16" ht="45">
      <c r="A1730" s="6" t="s">
        <v>6788</v>
      </c>
      <c r="B1730" s="6" t="s">
        <v>6862</v>
      </c>
      <c r="C1730" s="6" t="s">
        <v>6863</v>
      </c>
      <c r="D1730" s="6" t="s">
        <v>5341</v>
      </c>
      <c r="E1730" s="6" t="s">
        <v>5342</v>
      </c>
      <c r="F1730" s="6" t="s">
        <v>5963</v>
      </c>
      <c r="G1730" s="6"/>
      <c r="H1730" s="6"/>
      <c r="I1730" s="6"/>
      <c r="J1730" s="6"/>
      <c r="K1730" s="6"/>
      <c r="L1730" s="6" t="s">
        <v>5343</v>
      </c>
      <c r="M1730" s="6"/>
      <c r="N1730" s="6" t="s">
        <v>5344</v>
      </c>
      <c r="O1730" s="6" t="str">
        <f>HYPERLINK("https://ceds.ed.gov/cedselementdetails.aspx?termid=6239")</f>
        <v>https://ceds.ed.gov/cedselementdetails.aspx?termid=6239</v>
      </c>
      <c r="P1730" s="6" t="str">
        <f>HYPERLINK("https://ceds.ed.gov/elementComment.aspx?elementName=Session Scheduling Term Indicator &amp;elementID=6239", "Click here to submit comment")</f>
        <v>Click here to submit comment</v>
      </c>
    </row>
    <row r="1731" spans="1:16" ht="195">
      <c r="A1731" s="6" t="s">
        <v>6788</v>
      </c>
      <c r="B1731" s="6" t="s">
        <v>6862</v>
      </c>
      <c r="C1731" s="6" t="s">
        <v>6864</v>
      </c>
      <c r="D1731" s="6" t="s">
        <v>2070</v>
      </c>
      <c r="E1731" s="6" t="s">
        <v>2071</v>
      </c>
      <c r="F1731" s="6" t="s">
        <v>13</v>
      </c>
      <c r="G1731" s="6"/>
      <c r="H1731" s="6"/>
      <c r="I1731" s="6" t="s">
        <v>100</v>
      </c>
      <c r="J1731" s="6"/>
      <c r="K1731" s="6"/>
      <c r="L1731" s="6" t="s">
        <v>2073</v>
      </c>
      <c r="M1731" s="6"/>
      <c r="N1731" s="6" t="s">
        <v>2074</v>
      </c>
      <c r="O1731" s="6" t="str">
        <f>HYPERLINK("https://ceds.ed.gov/cedselementdetails.aspx?termid=5604")</f>
        <v>https://ceds.ed.gov/cedselementdetails.aspx?termid=5604</v>
      </c>
      <c r="P1731" s="6" t="str">
        <f>HYPERLINK("https://ceds.ed.gov/elementComment.aspx?elementName=Crisis Code &amp;elementID=5604", "Click here to submit comment")</f>
        <v>Click here to submit comment</v>
      </c>
    </row>
    <row r="1732" spans="1:16" ht="30">
      <c r="A1732" s="6" t="s">
        <v>6788</v>
      </c>
      <c r="B1732" s="6" t="s">
        <v>6862</v>
      </c>
      <c r="C1732" s="6" t="s">
        <v>6864</v>
      </c>
      <c r="D1732" s="6" t="s">
        <v>2075</v>
      </c>
      <c r="E1732" s="6" t="s">
        <v>2076</v>
      </c>
      <c r="F1732" s="6" t="s">
        <v>13</v>
      </c>
      <c r="G1732" s="6"/>
      <c r="H1732" s="6"/>
      <c r="I1732" s="6" t="s">
        <v>1249</v>
      </c>
      <c r="J1732" s="6"/>
      <c r="K1732" s="6"/>
      <c r="L1732" s="6" t="s">
        <v>2077</v>
      </c>
      <c r="M1732" s="6"/>
      <c r="N1732" s="6" t="s">
        <v>2078</v>
      </c>
      <c r="O1732" s="6" t="str">
        <f>HYPERLINK("https://ceds.ed.gov/cedselementdetails.aspx?termid=5605")</f>
        <v>https://ceds.ed.gov/cedselementdetails.aspx?termid=5605</v>
      </c>
      <c r="P1732" s="6" t="str">
        <f>HYPERLINK("https://ceds.ed.gov/elementComment.aspx?elementName=Crisis Name &amp;elementID=5605", "Click here to submit comment")</f>
        <v>Click here to submit comment</v>
      </c>
    </row>
    <row r="1733" spans="1:16" ht="45">
      <c r="A1733" s="6" t="s">
        <v>6788</v>
      </c>
      <c r="B1733" s="6" t="s">
        <v>6862</v>
      </c>
      <c r="C1733" s="6" t="s">
        <v>6864</v>
      </c>
      <c r="D1733" s="6" t="s">
        <v>2083</v>
      </c>
      <c r="E1733" s="6" t="s">
        <v>2084</v>
      </c>
      <c r="F1733" s="6" t="s">
        <v>13</v>
      </c>
      <c r="G1733" s="6"/>
      <c r="H1733" s="6"/>
      <c r="I1733" s="6" t="s">
        <v>1249</v>
      </c>
      <c r="J1733" s="6"/>
      <c r="K1733" s="6"/>
      <c r="L1733" s="6" t="s">
        <v>2085</v>
      </c>
      <c r="M1733" s="6"/>
      <c r="N1733" s="6" t="s">
        <v>2086</v>
      </c>
      <c r="O1733" s="6" t="str">
        <f>HYPERLINK("https://ceds.ed.gov/cedselementdetails.aspx?termid=5606")</f>
        <v>https://ceds.ed.gov/cedselementdetails.aspx?termid=5606</v>
      </c>
      <c r="P1733" s="6" t="str">
        <f>HYPERLINK("https://ceds.ed.gov/elementComment.aspx?elementName=Crisis Type &amp;elementID=5606", "Click here to submit comment")</f>
        <v>Click here to submit comment</v>
      </c>
    </row>
    <row r="1734" spans="1:16" ht="75">
      <c r="A1734" s="6" t="s">
        <v>6788</v>
      </c>
      <c r="B1734" s="6" t="s">
        <v>6862</v>
      </c>
      <c r="C1734" s="6" t="s">
        <v>6864</v>
      </c>
      <c r="D1734" s="6" t="s">
        <v>2079</v>
      </c>
      <c r="E1734" s="6" t="s">
        <v>2080</v>
      </c>
      <c r="F1734" s="6" t="s">
        <v>13</v>
      </c>
      <c r="G1734" s="6"/>
      <c r="H1734" s="6"/>
      <c r="I1734" s="6" t="s">
        <v>73</v>
      </c>
      <c r="J1734" s="6"/>
      <c r="K1734" s="6"/>
      <c r="L1734" s="6" t="s">
        <v>2081</v>
      </c>
      <c r="M1734" s="6"/>
      <c r="N1734" s="6" t="s">
        <v>2082</v>
      </c>
      <c r="O1734" s="6" t="str">
        <f>HYPERLINK("https://ceds.ed.gov/cedselementdetails.aspx?termid=5607")</f>
        <v>https://ceds.ed.gov/cedselementdetails.aspx?termid=5607</v>
      </c>
      <c r="P1734" s="6" t="str">
        <f>HYPERLINK("https://ceds.ed.gov/elementComment.aspx?elementName=Crisis Start Date &amp;elementID=5607", "Click here to submit comment")</f>
        <v>Click here to submit comment</v>
      </c>
    </row>
    <row r="1735" spans="1:16" ht="165">
      <c r="A1735" s="6" t="s">
        <v>6788</v>
      </c>
      <c r="B1735" s="6" t="s">
        <v>6862</v>
      </c>
      <c r="C1735" s="6" t="s">
        <v>6865</v>
      </c>
      <c r="D1735" s="6" t="s">
        <v>1530</v>
      </c>
      <c r="E1735" s="6" t="s">
        <v>1531</v>
      </c>
      <c r="F1735" s="7" t="s">
        <v>6412</v>
      </c>
      <c r="G1735" s="6"/>
      <c r="H1735" s="6"/>
      <c r="I1735" s="6"/>
      <c r="J1735" s="6"/>
      <c r="K1735" s="6"/>
      <c r="L1735" s="6" t="s">
        <v>1532</v>
      </c>
      <c r="M1735" s="6"/>
      <c r="N1735" s="6" t="s">
        <v>1533</v>
      </c>
      <c r="O1735" s="6" t="str">
        <f>HYPERLINK("https://ceds.ed.gov/cedselementdetails.aspx?termid=5596")</f>
        <v>https://ceds.ed.gov/cedselementdetails.aspx?termid=5596</v>
      </c>
      <c r="P1735" s="6" t="str">
        <f>HYPERLINK("https://ceds.ed.gov/elementComment.aspx?elementName=Calendar Event Type &amp;elementID=5596", "Click here to submit comment")</f>
        <v>Click here to submit comment</v>
      </c>
    </row>
    <row r="1736" spans="1:16" ht="60">
      <c r="A1736" s="6" t="s">
        <v>6788</v>
      </c>
      <c r="B1736" s="6" t="s">
        <v>6862</v>
      </c>
      <c r="C1736" s="6" t="s">
        <v>6865</v>
      </c>
      <c r="D1736" s="6" t="s">
        <v>1520</v>
      </c>
      <c r="E1736" s="6" t="s">
        <v>1521</v>
      </c>
      <c r="F1736" s="6" t="s">
        <v>13</v>
      </c>
      <c r="G1736" s="6"/>
      <c r="H1736" s="6" t="s">
        <v>66</v>
      </c>
      <c r="I1736" s="6" t="s">
        <v>73</v>
      </c>
      <c r="J1736" s="6" t="s">
        <v>1522</v>
      </c>
      <c r="K1736" s="6"/>
      <c r="L1736" s="6" t="s">
        <v>1523</v>
      </c>
      <c r="M1736" s="6"/>
      <c r="N1736" s="6" t="s">
        <v>1524</v>
      </c>
      <c r="O1736" s="6" t="str">
        <f>HYPERLINK("https://ceds.ed.gov/cedselementdetails.aspx?termid=6241")</f>
        <v>https://ceds.ed.gov/cedselementdetails.aspx?termid=6241</v>
      </c>
      <c r="P1736" s="6" t="str">
        <f>HYPERLINK("https://ceds.ed.gov/elementComment.aspx?elementName=Calendar Event Date &amp;elementID=6241", "Click here to submit comment")</f>
        <v>Click here to submit comment</v>
      </c>
    </row>
    <row r="1737" spans="1:16" ht="30">
      <c r="A1737" s="6" t="s">
        <v>6788</v>
      </c>
      <c r="B1737" s="6" t="s">
        <v>6862</v>
      </c>
      <c r="C1737" s="6" t="s">
        <v>6865</v>
      </c>
      <c r="D1737" s="6" t="s">
        <v>1525</v>
      </c>
      <c r="E1737" s="6" t="s">
        <v>1526</v>
      </c>
      <c r="F1737" s="6" t="s">
        <v>13</v>
      </c>
      <c r="G1737" s="6"/>
      <c r="H1737" s="6"/>
      <c r="I1737" s="6" t="s">
        <v>100</v>
      </c>
      <c r="J1737" s="6"/>
      <c r="K1737" s="6"/>
      <c r="L1737" s="6" t="s">
        <v>1528</v>
      </c>
      <c r="M1737" s="6"/>
      <c r="N1737" s="6" t="s">
        <v>1529</v>
      </c>
      <c r="O1737" s="6" t="str">
        <f>HYPERLINK("https://ceds.ed.gov/cedselementdetails.aspx?termid=6242")</f>
        <v>https://ceds.ed.gov/cedselementdetails.aspx?termid=6242</v>
      </c>
      <c r="P1737" s="6" t="str">
        <f>HYPERLINK("https://ceds.ed.gov/elementComment.aspx?elementName=Calendar Event Day Name &amp;elementID=6242", "Click here to submit comment")</f>
        <v>Click here to submit comment</v>
      </c>
    </row>
    <row r="1738" spans="1:16" ht="180">
      <c r="A1738" s="6" t="s">
        <v>6788</v>
      </c>
      <c r="B1738" s="6" t="s">
        <v>6866</v>
      </c>
      <c r="C1738" s="6"/>
      <c r="D1738" s="6" t="s">
        <v>3540</v>
      </c>
      <c r="E1738" s="6" t="s">
        <v>3541</v>
      </c>
      <c r="F1738" s="6" t="s">
        <v>6225</v>
      </c>
      <c r="G1738" s="6"/>
      <c r="H1738" s="6" t="s">
        <v>54</v>
      </c>
      <c r="I1738" s="6"/>
      <c r="J1738" s="6"/>
      <c r="K1738" s="6" t="s">
        <v>3542</v>
      </c>
      <c r="L1738" s="6" t="s">
        <v>3543</v>
      </c>
      <c r="M1738" s="6"/>
      <c r="N1738" s="6" t="s">
        <v>3544</v>
      </c>
      <c r="O1738" s="6" t="str">
        <f>HYPERLINK("https://ceds.ed.gov/cedselementdetails.aspx?termid=6358")</f>
        <v>https://ceds.ed.gov/cedselementdetails.aspx?termid=6358</v>
      </c>
      <c r="P1738" s="6" t="str">
        <f>HYPERLINK("https://ceds.ed.gov/elementComment.aspx?elementName=Learning Resource Access API Type &amp;elementID=6358", "Click here to submit comment")</f>
        <v>Click here to submit comment</v>
      </c>
    </row>
    <row r="1739" spans="1:16" ht="60">
      <c r="A1739" s="6" t="s">
        <v>6788</v>
      </c>
      <c r="B1739" s="6" t="s">
        <v>6866</v>
      </c>
      <c r="C1739" s="6"/>
      <c r="D1739" s="6" t="s">
        <v>3545</v>
      </c>
      <c r="E1739" s="6" t="s">
        <v>3546</v>
      </c>
      <c r="F1739" s="6" t="s">
        <v>6227</v>
      </c>
      <c r="G1739" s="6"/>
      <c r="H1739" s="6" t="s">
        <v>54</v>
      </c>
      <c r="I1739" s="6"/>
      <c r="J1739" s="6"/>
      <c r="K1739" s="6"/>
      <c r="L1739" s="6" t="s">
        <v>3547</v>
      </c>
      <c r="M1739" s="6"/>
      <c r="N1739" s="6" t="s">
        <v>3548</v>
      </c>
      <c r="O1739" s="6" t="str">
        <f>HYPERLINK("https://ceds.ed.gov/cedselementdetails.aspx?termid=6359")</f>
        <v>https://ceds.ed.gov/cedselementdetails.aspx?termid=6359</v>
      </c>
      <c r="P1739" s="6" t="str">
        <f>HYPERLINK("https://ceds.ed.gov/elementComment.aspx?elementName=Learning Resource Access Hazard Type &amp;elementID=6359", "Click here to submit comment")</f>
        <v>Click here to submit comment</v>
      </c>
    </row>
    <row r="1740" spans="1:16" ht="105">
      <c r="A1740" s="6" t="s">
        <v>6788</v>
      </c>
      <c r="B1740" s="6" t="s">
        <v>6866</v>
      </c>
      <c r="C1740" s="6"/>
      <c r="D1740" s="6" t="s">
        <v>3549</v>
      </c>
      <c r="E1740" s="6" t="s">
        <v>3550</v>
      </c>
      <c r="F1740" s="6" t="s">
        <v>6228</v>
      </c>
      <c r="G1740" s="6"/>
      <c r="H1740" s="6" t="s">
        <v>54</v>
      </c>
      <c r="I1740" s="6"/>
      <c r="J1740" s="6"/>
      <c r="K1740" s="6" t="s">
        <v>3551</v>
      </c>
      <c r="L1740" s="6" t="s">
        <v>3552</v>
      </c>
      <c r="M1740" s="6"/>
      <c r="N1740" s="6" t="s">
        <v>3553</v>
      </c>
      <c r="O1740" s="6" t="str">
        <f>HYPERLINK("https://ceds.ed.gov/cedselementdetails.aspx?termid=6360")</f>
        <v>https://ceds.ed.gov/cedselementdetails.aspx?termid=6360</v>
      </c>
      <c r="P1740" s="6" t="str">
        <f>HYPERLINK("https://ceds.ed.gov/elementComment.aspx?elementName=Learning Resource Access Mode Type &amp;elementID=6360", "Click here to submit comment")</f>
        <v>Click here to submit comment</v>
      </c>
    </row>
    <row r="1741" spans="1:16" ht="45">
      <c r="A1741" s="6" t="s">
        <v>6788</v>
      </c>
      <c r="B1741" s="6" t="s">
        <v>6866</v>
      </c>
      <c r="C1741" s="6"/>
      <c r="D1741" s="6" t="s">
        <v>3554</v>
      </c>
      <c r="E1741" s="6" t="s">
        <v>3555</v>
      </c>
      <c r="F1741" s="6" t="s">
        <v>13</v>
      </c>
      <c r="G1741" s="6"/>
      <c r="H1741" s="6" t="s">
        <v>54</v>
      </c>
      <c r="I1741" s="6" t="s">
        <v>93</v>
      </c>
      <c r="J1741" s="6"/>
      <c r="K1741" s="6"/>
      <c r="L1741" s="6" t="s">
        <v>3556</v>
      </c>
      <c r="M1741" s="6"/>
      <c r="N1741" s="6" t="s">
        <v>3557</v>
      </c>
      <c r="O1741" s="6" t="str">
        <f>HYPERLINK("https://ceds.ed.gov/cedselementdetails.aspx?termid=6361")</f>
        <v>https://ceds.ed.gov/cedselementdetails.aspx?termid=6361</v>
      </c>
      <c r="P1741" s="6" t="str">
        <f>HYPERLINK("https://ceds.ed.gov/elementComment.aspx?elementName=Learning Resource Adaptation URL &amp;elementID=6361", "Click here to submit comment")</f>
        <v>Click here to submit comment</v>
      </c>
    </row>
    <row r="1742" spans="1:16" ht="30">
      <c r="A1742" s="6" t="s">
        <v>6788</v>
      </c>
      <c r="B1742" s="6" t="s">
        <v>6866</v>
      </c>
      <c r="C1742" s="6"/>
      <c r="D1742" s="6" t="s">
        <v>3558</v>
      </c>
      <c r="E1742" s="6" t="s">
        <v>3559</v>
      </c>
      <c r="F1742" s="6" t="s">
        <v>13</v>
      </c>
      <c r="G1742" s="6"/>
      <c r="H1742" s="6" t="s">
        <v>54</v>
      </c>
      <c r="I1742" s="6" t="s">
        <v>93</v>
      </c>
      <c r="J1742" s="6"/>
      <c r="K1742" s="6"/>
      <c r="L1742" s="6" t="s">
        <v>3560</v>
      </c>
      <c r="M1742" s="6"/>
      <c r="N1742" s="6" t="s">
        <v>3561</v>
      </c>
      <c r="O1742" s="6" t="str">
        <f>HYPERLINK("https://ceds.ed.gov/cedselementdetails.aspx?termid=6367")</f>
        <v>https://ceds.ed.gov/cedselementdetails.aspx?termid=6367</v>
      </c>
      <c r="P1742" s="6" t="str">
        <f>HYPERLINK("https://ceds.ed.gov/elementComment.aspx?elementName=Learning Resource Adapted From URL &amp;elementID=6367", "Click here to submit comment")</f>
        <v>Click here to submit comment</v>
      </c>
    </row>
    <row r="1743" spans="1:16" ht="75">
      <c r="A1743" s="6" t="s">
        <v>6788</v>
      </c>
      <c r="B1743" s="6" t="s">
        <v>6866</v>
      </c>
      <c r="C1743" s="6"/>
      <c r="D1743" s="6" t="s">
        <v>3562</v>
      </c>
      <c r="E1743" s="6" t="s">
        <v>3563</v>
      </c>
      <c r="F1743" s="6" t="s">
        <v>5963</v>
      </c>
      <c r="G1743" s="6"/>
      <c r="H1743" s="6" t="s">
        <v>54</v>
      </c>
      <c r="I1743" s="6"/>
      <c r="J1743" s="6"/>
      <c r="K1743" s="6" t="s">
        <v>3564</v>
      </c>
      <c r="L1743" s="6" t="s">
        <v>3565</v>
      </c>
      <c r="M1743" s="6"/>
      <c r="N1743" s="6" t="s">
        <v>3566</v>
      </c>
      <c r="O1743" s="6" t="str">
        <f>HYPERLINK("https://ceds.ed.gov/cedselementdetails.aspx?termid=6362")</f>
        <v>https://ceds.ed.gov/cedselementdetails.aspx?termid=6362</v>
      </c>
      <c r="P1743" s="6" t="str">
        <f>HYPERLINK("https://ceds.ed.gov/elementComment.aspx?elementName=Learning Resource Assistive Technologies Compatible Indicator &amp;elementID=6362", "Click here to submit comment")</f>
        <v>Click here to submit comment</v>
      </c>
    </row>
    <row r="1744" spans="1:16" ht="45">
      <c r="A1744" s="6" t="s">
        <v>6788</v>
      </c>
      <c r="B1744" s="6" t="s">
        <v>6866</v>
      </c>
      <c r="C1744" s="6"/>
      <c r="D1744" s="6" t="s">
        <v>3567</v>
      </c>
      <c r="E1744" s="6" t="s">
        <v>3568</v>
      </c>
      <c r="F1744" s="6" t="s">
        <v>13</v>
      </c>
      <c r="G1744" s="6"/>
      <c r="H1744" s="6" t="s">
        <v>66</v>
      </c>
      <c r="I1744" s="6" t="s">
        <v>93</v>
      </c>
      <c r="J1744" s="6" t="s">
        <v>3569</v>
      </c>
      <c r="K1744" s="6" t="s">
        <v>3570</v>
      </c>
      <c r="L1744" s="6" t="s">
        <v>3571</v>
      </c>
      <c r="M1744" s="6"/>
      <c r="N1744" s="6" t="s">
        <v>3572</v>
      </c>
      <c r="O1744" s="6" t="str">
        <f>HYPERLINK("https://ceds.ed.gov/cedselementdetails.aspx?termid=5923")</f>
        <v>https://ceds.ed.gov/cedselementdetails.aspx?termid=5923</v>
      </c>
      <c r="P1744" s="6" t="str">
        <f>HYPERLINK("https://ceds.ed.gov/elementComment.aspx?elementName=Learning Resource Based On URL &amp;elementID=5923", "Click here to submit comment")</f>
        <v>Click here to submit comment</v>
      </c>
    </row>
    <row r="1745" spans="1:16" ht="135">
      <c r="A1745" s="6" t="s">
        <v>6788</v>
      </c>
      <c r="B1745" s="6" t="s">
        <v>6866</v>
      </c>
      <c r="C1745" s="6"/>
      <c r="D1745" s="6" t="s">
        <v>3573</v>
      </c>
      <c r="E1745" s="6" t="s">
        <v>3574</v>
      </c>
      <c r="F1745" s="6" t="s">
        <v>6229</v>
      </c>
      <c r="G1745" s="6"/>
      <c r="H1745" s="6" t="s">
        <v>54</v>
      </c>
      <c r="I1745" s="6"/>
      <c r="J1745" s="6"/>
      <c r="K1745" s="6"/>
      <c r="L1745" s="6" t="s">
        <v>3575</v>
      </c>
      <c r="M1745" s="6"/>
      <c r="N1745" s="6" t="s">
        <v>3576</v>
      </c>
      <c r="O1745" s="6" t="str">
        <f>HYPERLINK("https://ceds.ed.gov/cedselementdetails.aspx?termid=6363")</f>
        <v>https://ceds.ed.gov/cedselementdetails.aspx?termid=6363</v>
      </c>
      <c r="P1745" s="6" t="str">
        <f>HYPERLINK("https://ceds.ed.gov/elementComment.aspx?elementName=Learning Resource Book Format Type &amp;elementID=6363", "Click here to submit comment")</f>
        <v>Click here to submit comment</v>
      </c>
    </row>
    <row r="1746" spans="1:16" ht="45">
      <c r="A1746" s="6" t="s">
        <v>6788</v>
      </c>
      <c r="B1746" s="6" t="s">
        <v>6866</v>
      </c>
      <c r="C1746" s="6"/>
      <c r="D1746" s="6" t="s">
        <v>3582</v>
      </c>
      <c r="E1746" s="6" t="s">
        <v>3583</v>
      </c>
      <c r="F1746" s="6" t="s">
        <v>13</v>
      </c>
      <c r="G1746" s="6"/>
      <c r="H1746" s="6"/>
      <c r="I1746" s="6" t="s">
        <v>93</v>
      </c>
      <c r="J1746" s="6"/>
      <c r="K1746" s="6"/>
      <c r="L1746" s="6" t="s">
        <v>3584</v>
      </c>
      <c r="M1746" s="6"/>
      <c r="N1746" s="6" t="s">
        <v>3585</v>
      </c>
      <c r="O1746" s="6" t="str">
        <f>HYPERLINK("https://ceds.ed.gov/cedselementdetails.aspx?termid=6159")</f>
        <v>https://ceds.ed.gov/cedselementdetails.aspx?termid=6159</v>
      </c>
      <c r="P1746" s="6" t="str">
        <f>HYPERLINK("https://ceds.ed.gov/elementComment.aspx?elementName=Learning Resource Concept Keyword &amp;elementID=6159", "Click here to submit comment")</f>
        <v>Click here to submit comment</v>
      </c>
    </row>
    <row r="1747" spans="1:16" ht="90">
      <c r="A1747" s="6" t="s">
        <v>6788</v>
      </c>
      <c r="B1747" s="6" t="s">
        <v>6866</v>
      </c>
      <c r="C1747" s="6"/>
      <c r="D1747" s="6" t="s">
        <v>3586</v>
      </c>
      <c r="E1747" s="6" t="s">
        <v>3587</v>
      </c>
      <c r="F1747" s="6" t="s">
        <v>6232</v>
      </c>
      <c r="G1747" s="6"/>
      <c r="H1747" s="6" t="s">
        <v>54</v>
      </c>
      <c r="I1747" s="6"/>
      <c r="J1747" s="6"/>
      <c r="K1747" s="6"/>
      <c r="L1747" s="6" t="s">
        <v>3588</v>
      </c>
      <c r="M1747" s="6"/>
      <c r="N1747" s="6" t="s">
        <v>3589</v>
      </c>
      <c r="O1747" s="6" t="str">
        <f>HYPERLINK("https://ceds.ed.gov/cedselementdetails.aspx?termid=6364")</f>
        <v>https://ceds.ed.gov/cedselementdetails.aspx?termid=6364</v>
      </c>
      <c r="P1747" s="6" t="str">
        <f>HYPERLINK("https://ceds.ed.gov/elementComment.aspx?elementName=Learning Resource Control Flexibility Type &amp;elementID=6364", "Click here to submit comment")</f>
        <v>Click here to submit comment</v>
      </c>
    </row>
    <row r="1748" spans="1:16" ht="45">
      <c r="A1748" s="6" t="s">
        <v>6788</v>
      </c>
      <c r="B1748" s="6" t="s">
        <v>6866</v>
      </c>
      <c r="C1748" s="6"/>
      <c r="D1748" s="6" t="s">
        <v>3590</v>
      </c>
      <c r="E1748" s="6" t="s">
        <v>3591</v>
      </c>
      <c r="F1748" s="6" t="s">
        <v>13</v>
      </c>
      <c r="G1748" s="6"/>
      <c r="H1748" s="6"/>
      <c r="I1748" s="6" t="s">
        <v>106</v>
      </c>
      <c r="J1748" s="6"/>
      <c r="K1748" s="6"/>
      <c r="L1748" s="6" t="s">
        <v>3592</v>
      </c>
      <c r="M1748" s="6"/>
      <c r="N1748" s="6" t="s">
        <v>3593</v>
      </c>
      <c r="O1748" s="6" t="str">
        <f>HYPERLINK("https://ceds.ed.gov/cedselementdetails.aspx?termid=6157")</f>
        <v>https://ceds.ed.gov/cedselementdetails.aspx?termid=6157</v>
      </c>
      <c r="P1748" s="6" t="str">
        <f>HYPERLINK("https://ceds.ed.gov/elementComment.aspx?elementName=Learning Resource Copyright Holder Name &amp;elementID=6157", "Click here to submit comment")</f>
        <v>Click here to submit comment</v>
      </c>
    </row>
    <row r="1749" spans="1:16" ht="30">
      <c r="A1749" s="6" t="s">
        <v>6788</v>
      </c>
      <c r="B1749" s="6" t="s">
        <v>6866</v>
      </c>
      <c r="C1749" s="6"/>
      <c r="D1749" s="6" t="s">
        <v>3594</v>
      </c>
      <c r="E1749" s="6" t="s">
        <v>3595</v>
      </c>
      <c r="F1749" s="6" t="s">
        <v>13</v>
      </c>
      <c r="G1749" s="6"/>
      <c r="H1749" s="6"/>
      <c r="I1749" s="6" t="s">
        <v>1736</v>
      </c>
      <c r="J1749" s="6"/>
      <c r="K1749" s="6"/>
      <c r="L1749" s="6" t="s">
        <v>3596</v>
      </c>
      <c r="M1749" s="6"/>
      <c r="N1749" s="6" t="s">
        <v>3597</v>
      </c>
      <c r="O1749" s="6" t="str">
        <f>HYPERLINK("https://ceds.ed.gov/cedselementdetails.aspx?termid=6158")</f>
        <v>https://ceds.ed.gov/cedselementdetails.aspx?termid=6158</v>
      </c>
      <c r="P1749" s="6" t="str">
        <f>HYPERLINK("https://ceds.ed.gov/elementComment.aspx?elementName=Learning Resource Copyright Year &amp;elementID=6158", "Click here to submit comment")</f>
        <v>Click here to submit comment</v>
      </c>
    </row>
    <row r="1750" spans="1:16" ht="30">
      <c r="A1750" s="6" t="s">
        <v>6788</v>
      </c>
      <c r="B1750" s="6" t="s">
        <v>6866</v>
      </c>
      <c r="C1750" s="6"/>
      <c r="D1750" s="6" t="s">
        <v>3598</v>
      </c>
      <c r="E1750" s="6" t="s">
        <v>3599</v>
      </c>
      <c r="F1750" s="6" t="s">
        <v>13</v>
      </c>
      <c r="G1750" s="6"/>
      <c r="H1750" s="6"/>
      <c r="I1750" s="6" t="s">
        <v>106</v>
      </c>
      <c r="J1750" s="6"/>
      <c r="K1750" s="6"/>
      <c r="L1750" s="6" t="s">
        <v>3600</v>
      </c>
      <c r="M1750" s="6"/>
      <c r="N1750" s="6" t="s">
        <v>3601</v>
      </c>
      <c r="O1750" s="6" t="str">
        <f>HYPERLINK("https://ceds.ed.gov/cedselementdetails.aspx?termid=5918")</f>
        <v>https://ceds.ed.gov/cedselementdetails.aspx?termid=5918</v>
      </c>
      <c r="P1750" s="6" t="str">
        <f>HYPERLINK("https://ceds.ed.gov/elementComment.aspx?elementName=Learning Resource Creator &amp;elementID=5918", "Click here to submit comment")</f>
        <v>Click here to submit comment</v>
      </c>
    </row>
    <row r="1751" spans="1:16" ht="30">
      <c r="A1751" s="6" t="s">
        <v>6788</v>
      </c>
      <c r="B1751" s="6" t="s">
        <v>6866</v>
      </c>
      <c r="C1751" s="6"/>
      <c r="D1751" s="6" t="s">
        <v>3602</v>
      </c>
      <c r="E1751" s="6" t="s">
        <v>3603</v>
      </c>
      <c r="F1751" s="6" t="s">
        <v>13</v>
      </c>
      <c r="G1751" s="6"/>
      <c r="H1751" s="6"/>
      <c r="I1751" s="6" t="s">
        <v>73</v>
      </c>
      <c r="J1751" s="6"/>
      <c r="K1751" s="6"/>
      <c r="L1751" s="6" t="s">
        <v>3604</v>
      </c>
      <c r="M1751" s="6"/>
      <c r="N1751" s="6" t="s">
        <v>3605</v>
      </c>
      <c r="O1751" s="6" t="str">
        <f>HYPERLINK("https://ceds.ed.gov/cedselementdetails.aspx?termid=5916")</f>
        <v>https://ceds.ed.gov/cedselementdetails.aspx?termid=5916</v>
      </c>
      <c r="P1751" s="6" t="str">
        <f>HYPERLINK("https://ceds.ed.gov/elementComment.aspx?elementName=Learning Resource Date Created &amp;elementID=5916", "Click here to submit comment")</f>
        <v>Click here to submit comment</v>
      </c>
    </row>
    <row r="1752" spans="1:16" ht="30">
      <c r="A1752" s="6" t="s">
        <v>6788</v>
      </c>
      <c r="B1752" s="6" t="s">
        <v>6866</v>
      </c>
      <c r="C1752" s="6"/>
      <c r="D1752" s="6" t="s">
        <v>3606</v>
      </c>
      <c r="E1752" s="6" t="s">
        <v>3607</v>
      </c>
      <c r="F1752" s="6" t="s">
        <v>13</v>
      </c>
      <c r="G1752" s="6"/>
      <c r="H1752" s="6"/>
      <c r="I1752" s="6" t="s">
        <v>93</v>
      </c>
      <c r="J1752" s="6"/>
      <c r="K1752" s="6"/>
      <c r="L1752" s="6" t="s">
        <v>3608</v>
      </c>
      <c r="M1752" s="6"/>
      <c r="N1752" s="6" t="s">
        <v>3609</v>
      </c>
      <c r="O1752" s="6" t="str">
        <f>HYPERLINK("https://ceds.ed.gov/cedselementdetails.aspx?termid=6156")</f>
        <v>https://ceds.ed.gov/cedselementdetails.aspx?termid=6156</v>
      </c>
      <c r="P1752" s="6" t="str">
        <f>HYPERLINK("https://ceds.ed.gov/elementComment.aspx?elementName=Learning Resource Description &amp;elementID=6156", "Click here to submit comment")</f>
        <v>Click here to submit comment</v>
      </c>
    </row>
    <row r="1753" spans="1:16" ht="135">
      <c r="A1753" s="6" t="s">
        <v>6788</v>
      </c>
      <c r="B1753" s="6" t="s">
        <v>6866</v>
      </c>
      <c r="C1753" s="6"/>
      <c r="D1753" s="6" t="s">
        <v>3610</v>
      </c>
      <c r="E1753" s="6" t="s">
        <v>3611</v>
      </c>
      <c r="F1753" s="6" t="s">
        <v>3612</v>
      </c>
      <c r="G1753" s="6"/>
      <c r="H1753" s="6" t="s">
        <v>54</v>
      </c>
      <c r="I1753" s="6"/>
      <c r="J1753" s="6"/>
      <c r="K1753" s="6"/>
      <c r="L1753" s="6" t="s">
        <v>3613</v>
      </c>
      <c r="M1753" s="6"/>
      <c r="N1753" s="6" t="s">
        <v>3614</v>
      </c>
      <c r="O1753" s="6" t="str">
        <f>HYPERLINK("https://ceds.ed.gov/cedselementdetails.aspx?termid=6365")</f>
        <v>https://ceds.ed.gov/cedselementdetails.aspx?termid=6365</v>
      </c>
      <c r="P1753" s="6" t="str">
        <f>HYPERLINK("https://ceds.ed.gov/elementComment.aspx?elementName=Learning Resource Digital Media Sub Type &amp;elementID=6365", "Click here to submit comment")</f>
        <v>Click here to submit comment</v>
      </c>
    </row>
    <row r="1754" spans="1:16" ht="150">
      <c r="A1754" s="6" t="s">
        <v>6788</v>
      </c>
      <c r="B1754" s="6" t="s">
        <v>6866</v>
      </c>
      <c r="C1754" s="6"/>
      <c r="D1754" s="6" t="s">
        <v>3615</v>
      </c>
      <c r="E1754" s="6" t="s">
        <v>3616</v>
      </c>
      <c r="F1754" s="6" t="s">
        <v>6233</v>
      </c>
      <c r="G1754" s="6"/>
      <c r="H1754" s="6" t="s">
        <v>54</v>
      </c>
      <c r="I1754" s="6"/>
      <c r="J1754" s="6"/>
      <c r="K1754" s="6"/>
      <c r="L1754" s="6" t="s">
        <v>3617</v>
      </c>
      <c r="M1754" s="6"/>
      <c r="N1754" s="6" t="s">
        <v>3618</v>
      </c>
      <c r="O1754" s="6" t="str">
        <f>HYPERLINK("https://ceds.ed.gov/cedselementdetails.aspx?termid=6366")</f>
        <v>https://ceds.ed.gov/cedselementdetails.aspx?termid=6366</v>
      </c>
      <c r="P1754" s="6" t="str">
        <f>HYPERLINK("https://ceds.ed.gov/elementComment.aspx?elementName=Learning Resource Digital Media Type &amp;elementID=6366", "Click here to submit comment")</f>
        <v>Click here to submit comment</v>
      </c>
    </row>
    <row r="1755" spans="1:16" ht="409.5">
      <c r="A1755" s="6" t="s">
        <v>6788</v>
      </c>
      <c r="B1755" s="6" t="s">
        <v>6866</v>
      </c>
      <c r="C1755" s="6"/>
      <c r="D1755" s="6" t="s">
        <v>3619</v>
      </c>
      <c r="E1755" s="6" t="s">
        <v>3620</v>
      </c>
      <c r="F1755" s="15" t="s">
        <v>10060</v>
      </c>
      <c r="G1755" s="6"/>
      <c r="H1755" s="6" t="s">
        <v>66</v>
      </c>
      <c r="I1755" s="6"/>
      <c r="J1755" s="6" t="s">
        <v>3621</v>
      </c>
      <c r="K1755" s="6"/>
      <c r="L1755" s="6" t="s">
        <v>3622</v>
      </c>
      <c r="M1755" s="6"/>
      <c r="N1755" s="6" t="s">
        <v>3623</v>
      </c>
      <c r="O1755" s="6" t="str">
        <f>HYPERLINK("https://ceds.ed.gov/cedselementdetails.aspx?termid=6212")</f>
        <v>https://ceds.ed.gov/cedselementdetails.aspx?termid=6212</v>
      </c>
      <c r="P1755" s="6" t="str">
        <f>HYPERLINK("https://ceds.ed.gov/elementComment.aspx?elementName=Learning Resource Education Level  &amp;elementID=6212", "Click here to submit comment")</f>
        <v>Click here to submit comment</v>
      </c>
    </row>
    <row r="1756" spans="1:16" ht="120">
      <c r="A1756" s="6" t="s">
        <v>6788</v>
      </c>
      <c r="B1756" s="6" t="s">
        <v>6866</v>
      </c>
      <c r="C1756" s="6"/>
      <c r="D1756" s="6" t="s">
        <v>3624</v>
      </c>
      <c r="E1756" s="6" t="s">
        <v>3625</v>
      </c>
      <c r="F1756" s="7" t="s">
        <v>6565</v>
      </c>
      <c r="G1756" s="6"/>
      <c r="H1756" s="6" t="s">
        <v>66</v>
      </c>
      <c r="I1756" s="6"/>
      <c r="J1756" s="6" t="s">
        <v>3626</v>
      </c>
      <c r="K1756" s="6"/>
      <c r="L1756" s="6" t="s">
        <v>3627</v>
      </c>
      <c r="M1756" s="6"/>
      <c r="N1756" s="6" t="s">
        <v>3628</v>
      </c>
      <c r="O1756" s="6" t="str">
        <f>HYPERLINK("https://ceds.ed.gov/cedselementdetails.aspx?termid=6005")</f>
        <v>https://ceds.ed.gov/cedselementdetails.aspx?termid=6005</v>
      </c>
      <c r="P1756" s="6" t="str">
        <f>HYPERLINK("https://ceds.ed.gov/elementComment.aspx?elementName=Learning Resource Educational Use &amp;elementID=6005", "Click here to submit comment")</f>
        <v>Click here to submit comment</v>
      </c>
    </row>
    <row r="1757" spans="1:16" ht="150">
      <c r="A1757" s="6" t="s">
        <v>6788</v>
      </c>
      <c r="B1757" s="6" t="s">
        <v>6866</v>
      </c>
      <c r="C1757" s="6"/>
      <c r="D1757" s="6" t="s">
        <v>3629</v>
      </c>
      <c r="E1757" s="6" t="s">
        <v>3630</v>
      </c>
      <c r="F1757" s="6" t="s">
        <v>6235</v>
      </c>
      <c r="G1757" s="6"/>
      <c r="H1757" s="6"/>
      <c r="I1757" s="6"/>
      <c r="J1757" s="6"/>
      <c r="K1757" s="6"/>
      <c r="L1757" s="6" t="s">
        <v>3631</v>
      </c>
      <c r="M1757" s="6"/>
      <c r="N1757" s="6" t="s">
        <v>3632</v>
      </c>
      <c r="O1757" s="6" t="str">
        <f>HYPERLINK("https://ceds.ed.gov/cedselementdetails.aspx?termid=5924")</f>
        <v>https://ceds.ed.gov/cedselementdetails.aspx?termid=5924</v>
      </c>
      <c r="P1757" s="6" t="str">
        <f>HYPERLINK("https://ceds.ed.gov/elementComment.aspx?elementName=Learning Resource Intended End User Role &amp;elementID=5924", "Click here to submit comment")</f>
        <v>Click here to submit comment</v>
      </c>
    </row>
    <row r="1758" spans="1:16" ht="60">
      <c r="A1758" s="6" t="s">
        <v>6788</v>
      </c>
      <c r="B1758" s="6" t="s">
        <v>6866</v>
      </c>
      <c r="C1758" s="6"/>
      <c r="D1758" s="6" t="s">
        <v>3633</v>
      </c>
      <c r="E1758" s="6" t="s">
        <v>3634</v>
      </c>
      <c r="F1758" s="6" t="s">
        <v>6236</v>
      </c>
      <c r="G1758" s="6"/>
      <c r="H1758" s="6"/>
      <c r="I1758" s="6"/>
      <c r="J1758" s="6"/>
      <c r="K1758" s="6"/>
      <c r="L1758" s="6" t="s">
        <v>3635</v>
      </c>
      <c r="M1758" s="6"/>
      <c r="N1758" s="6" t="s">
        <v>3636</v>
      </c>
      <c r="O1758" s="6" t="str">
        <f>HYPERLINK("https://ceds.ed.gov/cedselementdetails.aspx?termid=5928")</f>
        <v>https://ceds.ed.gov/cedselementdetails.aspx?termid=5928</v>
      </c>
      <c r="P1758" s="6" t="str">
        <f>HYPERLINK("https://ceds.ed.gov/elementComment.aspx?elementName=Learning Resource Interactivity Type &amp;elementID=5928", "Click here to submit comment")</f>
        <v>Click here to submit comment</v>
      </c>
    </row>
    <row r="1759" spans="1:16" ht="150">
      <c r="A1759" s="6" t="s">
        <v>6788</v>
      </c>
      <c r="B1759" s="6" t="s">
        <v>6866</v>
      </c>
      <c r="C1759" s="6"/>
      <c r="D1759" s="6" t="s">
        <v>3637</v>
      </c>
      <c r="E1759" s="6" t="s">
        <v>3638</v>
      </c>
      <c r="F1759" s="5" t="s">
        <v>939</v>
      </c>
      <c r="G1759" s="6"/>
      <c r="H1759" s="6" t="s">
        <v>66</v>
      </c>
      <c r="I1759" s="6"/>
      <c r="J1759" s="6" t="s">
        <v>3639</v>
      </c>
      <c r="K1759" s="6" t="s">
        <v>3640</v>
      </c>
      <c r="L1759" s="6" t="s">
        <v>3641</v>
      </c>
      <c r="M1759" s="6"/>
      <c r="N1759" s="6" t="s">
        <v>3642</v>
      </c>
      <c r="O1759" s="6" t="str">
        <f>HYPERLINK("https://ceds.ed.gov/cedselementdetails.aspx?termid=5920")</f>
        <v>https://ceds.ed.gov/cedselementdetails.aspx?termid=5920</v>
      </c>
      <c r="P1759" s="6" t="str">
        <f>HYPERLINK("https://ceds.ed.gov/elementComment.aspx?elementName=Learning Resource Language &amp;elementID=5920", "Click here to submit comment")</f>
        <v>Click here to submit comment</v>
      </c>
    </row>
    <row r="1760" spans="1:16" ht="315">
      <c r="A1760" s="6" t="s">
        <v>6788</v>
      </c>
      <c r="B1760" s="6" t="s">
        <v>6866</v>
      </c>
      <c r="C1760" s="6"/>
      <c r="D1760" s="6" t="s">
        <v>3643</v>
      </c>
      <c r="E1760" s="6" t="s">
        <v>3644</v>
      </c>
      <c r="F1760" s="6" t="s">
        <v>6237</v>
      </c>
      <c r="G1760" s="6"/>
      <c r="H1760" s="6" t="s">
        <v>54</v>
      </c>
      <c r="I1760" s="6"/>
      <c r="J1760" s="6"/>
      <c r="K1760" s="6" t="s">
        <v>3645</v>
      </c>
      <c r="L1760" s="6" t="s">
        <v>3646</v>
      </c>
      <c r="M1760" s="6"/>
      <c r="N1760" s="6" t="s">
        <v>3647</v>
      </c>
      <c r="O1760" s="6" t="str">
        <f>HYPERLINK("https://ceds.ed.gov/cedselementdetails.aspx?termid=6368")</f>
        <v>https://ceds.ed.gov/cedselementdetails.aspx?termid=6368</v>
      </c>
      <c r="P1760" s="6" t="str">
        <f>HYPERLINK("https://ceds.ed.gov/elementComment.aspx?elementName=Learning Resource Media Feature Type &amp;elementID=6368", "Click here to submit comment")</f>
        <v>Click here to submit comment</v>
      </c>
    </row>
    <row r="1761" spans="1:16" ht="60">
      <c r="A1761" s="6" t="s">
        <v>6788</v>
      </c>
      <c r="B1761" s="6" t="s">
        <v>6866</v>
      </c>
      <c r="C1761" s="6"/>
      <c r="D1761" s="6" t="s">
        <v>3653</v>
      </c>
      <c r="E1761" s="6" t="s">
        <v>3654</v>
      </c>
      <c r="F1761" s="6" t="s">
        <v>13</v>
      </c>
      <c r="G1761" s="6"/>
      <c r="H1761" s="6" t="s">
        <v>54</v>
      </c>
      <c r="I1761" s="6" t="s">
        <v>575</v>
      </c>
      <c r="J1761" s="6"/>
      <c r="K1761" s="6"/>
      <c r="L1761" s="6" t="s">
        <v>3655</v>
      </c>
      <c r="M1761" s="6"/>
      <c r="N1761" s="6" t="s">
        <v>3656</v>
      </c>
      <c r="O1761" s="6" t="str">
        <f>HYPERLINK("https://ceds.ed.gov/cedselementdetails.aspx?termid=6369")</f>
        <v>https://ceds.ed.gov/cedselementdetails.aspx?termid=6369</v>
      </c>
      <c r="P1761" s="6" t="str">
        <f>HYPERLINK("https://ceds.ed.gov/elementComment.aspx?elementName=Learning Resource Peer Rating Sample Size &amp;elementID=6369", "Click here to submit comment")</f>
        <v>Click here to submit comment</v>
      </c>
    </row>
    <row r="1762" spans="1:16" ht="90">
      <c r="A1762" s="6" t="s">
        <v>6788</v>
      </c>
      <c r="B1762" s="6" t="s">
        <v>6866</v>
      </c>
      <c r="C1762" s="6"/>
      <c r="D1762" s="6" t="s">
        <v>3657</v>
      </c>
      <c r="E1762" s="6" t="s">
        <v>3658</v>
      </c>
      <c r="F1762" s="6" t="s">
        <v>13</v>
      </c>
      <c r="G1762" s="6"/>
      <c r="H1762" s="6"/>
      <c r="I1762" s="6" t="s">
        <v>957</v>
      </c>
      <c r="J1762" s="6"/>
      <c r="K1762" s="6"/>
      <c r="L1762" s="6" t="s">
        <v>3659</v>
      </c>
      <c r="M1762" s="6"/>
      <c r="N1762" s="6" t="s">
        <v>3660</v>
      </c>
      <c r="O1762" s="6" t="str">
        <f>HYPERLINK("https://ceds.ed.gov/cedselementdetails.aspx?termid=6161")</f>
        <v>https://ceds.ed.gov/cedselementdetails.aspx?termid=6161</v>
      </c>
      <c r="P1762" s="6" t="str">
        <f>HYPERLINK("https://ceds.ed.gov/elementComment.aspx?elementName=Learning Resource Peer Rating Value &amp;elementID=6161", "Click here to submit comment")</f>
        <v>Click here to submit comment</v>
      </c>
    </row>
    <row r="1763" spans="1:16" ht="409.5">
      <c r="A1763" s="6" t="s">
        <v>6788</v>
      </c>
      <c r="B1763" s="6" t="s">
        <v>6866</v>
      </c>
      <c r="C1763" s="6"/>
      <c r="D1763" s="6" t="s">
        <v>3661</v>
      </c>
      <c r="E1763" s="6" t="s">
        <v>3662</v>
      </c>
      <c r="F1763" s="7" t="s">
        <v>6566</v>
      </c>
      <c r="G1763" s="6"/>
      <c r="H1763" s="6" t="s">
        <v>54</v>
      </c>
      <c r="I1763" s="6"/>
      <c r="J1763" s="6"/>
      <c r="K1763" s="6"/>
      <c r="L1763" s="6" t="s">
        <v>3663</v>
      </c>
      <c r="M1763" s="6"/>
      <c r="N1763" s="6" t="s">
        <v>3664</v>
      </c>
      <c r="O1763" s="6" t="str">
        <f>HYPERLINK("https://ceds.ed.gov/cedselementdetails.aspx?termid=6370")</f>
        <v>https://ceds.ed.gov/cedselementdetails.aspx?termid=6370</v>
      </c>
      <c r="P1763" s="6" t="str">
        <f>HYPERLINK("https://ceds.ed.gov/elementComment.aspx?elementName=Learning Resource Physical Media Type &amp;elementID=6370", "Click here to submit comment")</f>
        <v>Click here to submit comment</v>
      </c>
    </row>
    <row r="1764" spans="1:16" ht="30">
      <c r="A1764" s="6" t="s">
        <v>6788</v>
      </c>
      <c r="B1764" s="6" t="s">
        <v>6866</v>
      </c>
      <c r="C1764" s="6"/>
      <c r="D1764" s="6" t="s">
        <v>3669</v>
      </c>
      <c r="E1764" s="6" t="s">
        <v>3670</v>
      </c>
      <c r="F1764" s="6" t="s">
        <v>13</v>
      </c>
      <c r="G1764" s="6"/>
      <c r="H1764" s="6"/>
      <c r="I1764" s="6" t="s">
        <v>106</v>
      </c>
      <c r="J1764" s="6"/>
      <c r="K1764" s="6"/>
      <c r="L1764" s="6" t="s">
        <v>3671</v>
      </c>
      <c r="M1764" s="6"/>
      <c r="N1764" s="6" t="s">
        <v>3672</v>
      </c>
      <c r="O1764" s="6" t="str">
        <f>HYPERLINK("https://ceds.ed.gov/cedselementdetails.aspx?termid=5919")</f>
        <v>https://ceds.ed.gov/cedselementdetails.aspx?termid=5919</v>
      </c>
      <c r="P1764" s="6" t="str">
        <f>HYPERLINK("https://ceds.ed.gov/elementComment.aspx?elementName=Learning Resource Publisher Name &amp;elementID=5919", "Click here to submit comment")</f>
        <v>Click here to submit comment</v>
      </c>
    </row>
    <row r="1765" spans="1:16" ht="60">
      <c r="A1765" s="6" t="s">
        <v>6788</v>
      </c>
      <c r="B1765" s="6" t="s">
        <v>6866</v>
      </c>
      <c r="C1765" s="6"/>
      <c r="D1765" s="6" t="s">
        <v>3673</v>
      </c>
      <c r="E1765" s="6" t="s">
        <v>3674</v>
      </c>
      <c r="F1765" s="6" t="s">
        <v>13</v>
      </c>
      <c r="G1765" s="6"/>
      <c r="H1765" s="6"/>
      <c r="I1765" s="6" t="s">
        <v>100</v>
      </c>
      <c r="J1765" s="6"/>
      <c r="K1765" s="6" t="s">
        <v>3675</v>
      </c>
      <c r="L1765" s="6" t="s">
        <v>3676</v>
      </c>
      <c r="M1765" s="6"/>
      <c r="N1765" s="6" t="s">
        <v>3677</v>
      </c>
      <c r="O1765" s="6" t="str">
        <f>HYPERLINK("https://ceds.ed.gov/cedselementdetails.aspx?termid=5914")</f>
        <v>https://ceds.ed.gov/cedselementdetails.aspx?termid=5914</v>
      </c>
      <c r="P1765" s="6" t="str">
        <f>HYPERLINK("https://ceds.ed.gov/elementComment.aspx?elementName=Learning Resource Subject Code &amp;elementID=5914", "Click here to submit comment")</f>
        <v>Click here to submit comment</v>
      </c>
    </row>
    <row r="1766" spans="1:16" ht="60">
      <c r="A1766" s="6" t="s">
        <v>6788</v>
      </c>
      <c r="B1766" s="6" t="s">
        <v>6866</v>
      </c>
      <c r="C1766" s="6"/>
      <c r="D1766" s="6" t="s">
        <v>3678</v>
      </c>
      <c r="E1766" s="6" t="s">
        <v>3679</v>
      </c>
      <c r="F1766" s="6" t="s">
        <v>13</v>
      </c>
      <c r="G1766" s="6"/>
      <c r="H1766" s="6"/>
      <c r="I1766" s="6" t="s">
        <v>100</v>
      </c>
      <c r="J1766" s="6"/>
      <c r="K1766" s="6" t="s">
        <v>3680</v>
      </c>
      <c r="L1766" s="6" t="s">
        <v>3681</v>
      </c>
      <c r="M1766" s="6"/>
      <c r="N1766" s="6" t="s">
        <v>3682</v>
      </c>
      <c r="O1766" s="6" t="str">
        <f>HYPERLINK("https://ceds.ed.gov/cedselementdetails.aspx?termid=5915")</f>
        <v>https://ceds.ed.gov/cedselementdetails.aspx?termid=5915</v>
      </c>
      <c r="P1766" s="6" t="str">
        <f>HYPERLINK("https://ceds.ed.gov/elementComment.aspx?elementName=Learning Resource Subject Code System &amp;elementID=5915", "Click here to submit comment")</f>
        <v>Click here to submit comment</v>
      </c>
    </row>
    <row r="1767" spans="1:16" ht="30">
      <c r="A1767" s="6" t="s">
        <v>6788</v>
      </c>
      <c r="B1767" s="6" t="s">
        <v>6866</v>
      </c>
      <c r="C1767" s="6"/>
      <c r="D1767" s="6" t="s">
        <v>3683</v>
      </c>
      <c r="E1767" s="6" t="s">
        <v>3684</v>
      </c>
      <c r="F1767" s="6" t="s">
        <v>13</v>
      </c>
      <c r="G1767" s="6"/>
      <c r="H1767" s="6"/>
      <c r="I1767" s="6" t="s">
        <v>100</v>
      </c>
      <c r="J1767" s="6"/>
      <c r="K1767" s="6"/>
      <c r="L1767" s="6" t="s">
        <v>3685</v>
      </c>
      <c r="M1767" s="6"/>
      <c r="N1767" s="6" t="s">
        <v>3686</v>
      </c>
      <c r="O1767" s="6" t="str">
        <f>HYPERLINK("https://ceds.ed.gov/cedselementdetails.aspx?termid=5913")</f>
        <v>https://ceds.ed.gov/cedselementdetails.aspx?termid=5913</v>
      </c>
      <c r="P1767" s="6" t="str">
        <f>HYPERLINK("https://ceds.ed.gov/elementComment.aspx?elementName=Learning Resource Subject Name &amp;elementID=5913", "Click here to submit comment")</f>
        <v>Click here to submit comment</v>
      </c>
    </row>
    <row r="1768" spans="1:16" ht="45">
      <c r="A1768" s="6" t="s">
        <v>6788</v>
      </c>
      <c r="B1768" s="6" t="s">
        <v>6866</v>
      </c>
      <c r="C1768" s="6"/>
      <c r="D1768" s="6" t="s">
        <v>3687</v>
      </c>
      <c r="E1768" s="6" t="s">
        <v>3688</v>
      </c>
      <c r="F1768" s="6" t="s">
        <v>13</v>
      </c>
      <c r="G1768" s="6"/>
      <c r="H1768" s="6"/>
      <c r="I1768" s="6" t="s">
        <v>100</v>
      </c>
      <c r="J1768" s="6"/>
      <c r="K1768" s="6"/>
      <c r="L1768" s="6" t="s">
        <v>3689</v>
      </c>
      <c r="M1768" s="6"/>
      <c r="N1768" s="6" t="s">
        <v>3690</v>
      </c>
      <c r="O1768" s="6" t="str">
        <f>HYPERLINK("https://ceds.ed.gov/cedselementdetails.aspx?termid=5931")</f>
        <v>https://ceds.ed.gov/cedselementdetails.aspx?termid=5931</v>
      </c>
      <c r="P1768" s="6" t="str">
        <f>HYPERLINK("https://ceds.ed.gov/elementComment.aspx?elementName=Learning Resource Text Complexity System &amp;elementID=5931", "Click here to submit comment")</f>
        <v>Click here to submit comment</v>
      </c>
    </row>
    <row r="1769" spans="1:16" ht="45">
      <c r="A1769" s="6" t="s">
        <v>6788</v>
      </c>
      <c r="B1769" s="6" t="s">
        <v>6866</v>
      </c>
      <c r="C1769" s="6"/>
      <c r="D1769" s="6" t="s">
        <v>3691</v>
      </c>
      <c r="E1769" s="6" t="s">
        <v>3692</v>
      </c>
      <c r="F1769" s="6" t="s">
        <v>13</v>
      </c>
      <c r="G1769" s="6"/>
      <c r="H1769" s="6"/>
      <c r="I1769" s="6" t="s">
        <v>100</v>
      </c>
      <c r="J1769" s="6"/>
      <c r="K1769" s="6"/>
      <c r="L1769" s="6" t="s">
        <v>3693</v>
      </c>
      <c r="M1769" s="6"/>
      <c r="N1769" s="6" t="s">
        <v>3694</v>
      </c>
      <c r="O1769" s="6" t="str">
        <f>HYPERLINK("https://ceds.ed.gov/cedselementdetails.aspx?termid=5930")</f>
        <v>https://ceds.ed.gov/cedselementdetails.aspx?termid=5930</v>
      </c>
      <c r="P1769" s="6" t="str">
        <f>HYPERLINK("https://ceds.ed.gov/elementComment.aspx?elementName=Learning Resource Text Complexity Value &amp;elementID=5930", "Click here to submit comment")</f>
        <v>Click here to submit comment</v>
      </c>
    </row>
    <row r="1770" spans="1:16" ht="60">
      <c r="A1770" s="6" t="s">
        <v>6788</v>
      </c>
      <c r="B1770" s="6" t="s">
        <v>6866</v>
      </c>
      <c r="C1770" s="6"/>
      <c r="D1770" s="6" t="s">
        <v>3695</v>
      </c>
      <c r="E1770" s="6" t="s">
        <v>3696</v>
      </c>
      <c r="F1770" s="6" t="s">
        <v>13</v>
      </c>
      <c r="G1770" s="6"/>
      <c r="H1770" s="6" t="s">
        <v>66</v>
      </c>
      <c r="I1770" s="6" t="s">
        <v>3697</v>
      </c>
      <c r="J1770" s="6" t="s">
        <v>3698</v>
      </c>
      <c r="K1770" s="6"/>
      <c r="L1770" s="6" t="s">
        <v>3699</v>
      </c>
      <c r="M1770" s="6"/>
      <c r="N1770" s="6" t="s">
        <v>3700</v>
      </c>
      <c r="O1770" s="6" t="str">
        <f>HYPERLINK("https://ceds.ed.gov/cedselementdetails.aspx?termid=5925")</f>
        <v>https://ceds.ed.gov/cedselementdetails.aspx?termid=5925</v>
      </c>
      <c r="P1770" s="6" t="str">
        <f>HYPERLINK("https://ceds.ed.gov/elementComment.aspx?elementName=Learning Resource Time Required &amp;elementID=5925", "Click here to submit comment")</f>
        <v>Click here to submit comment</v>
      </c>
    </row>
    <row r="1771" spans="1:16" ht="30">
      <c r="A1771" s="6" t="s">
        <v>6788</v>
      </c>
      <c r="B1771" s="6" t="s">
        <v>6866</v>
      </c>
      <c r="C1771" s="6"/>
      <c r="D1771" s="6" t="s">
        <v>3701</v>
      </c>
      <c r="E1771" s="6" t="s">
        <v>3702</v>
      </c>
      <c r="F1771" s="6" t="s">
        <v>13</v>
      </c>
      <c r="G1771" s="6"/>
      <c r="H1771" s="6"/>
      <c r="I1771" s="6" t="s">
        <v>100</v>
      </c>
      <c r="J1771" s="6"/>
      <c r="K1771" s="6"/>
      <c r="L1771" s="6" t="s">
        <v>3703</v>
      </c>
      <c r="M1771" s="6"/>
      <c r="N1771" s="6" t="s">
        <v>3704</v>
      </c>
      <c r="O1771" s="6" t="str">
        <f>HYPERLINK("https://ceds.ed.gov/cedselementdetails.aspx?termid=5912")</f>
        <v>https://ceds.ed.gov/cedselementdetails.aspx?termid=5912</v>
      </c>
      <c r="P1771" s="6" t="str">
        <f>HYPERLINK("https://ceds.ed.gov/elementComment.aspx?elementName=Learning Resource Title &amp;elementID=5912", "Click here to submit comment")</f>
        <v>Click here to submit comment</v>
      </c>
    </row>
    <row r="1772" spans="1:16" ht="409.5">
      <c r="A1772" s="6" t="s">
        <v>6788</v>
      </c>
      <c r="B1772" s="6" t="s">
        <v>6866</v>
      </c>
      <c r="C1772" s="6"/>
      <c r="D1772" s="6" t="s">
        <v>3705</v>
      </c>
      <c r="E1772" s="6" t="s">
        <v>3706</v>
      </c>
      <c r="F1772" s="7" t="s">
        <v>6567</v>
      </c>
      <c r="G1772" s="6"/>
      <c r="H1772" s="6" t="s">
        <v>66</v>
      </c>
      <c r="I1772" s="6"/>
      <c r="J1772" s="6" t="s">
        <v>3621</v>
      </c>
      <c r="K1772" s="6" t="s">
        <v>3707</v>
      </c>
      <c r="L1772" s="6" t="s">
        <v>3708</v>
      </c>
      <c r="M1772" s="6"/>
      <c r="N1772" s="6" t="s">
        <v>3709</v>
      </c>
      <c r="O1772" s="6" t="str">
        <f>HYPERLINK("https://ceds.ed.gov/cedselementdetails.aspx?termid=5929")</f>
        <v>https://ceds.ed.gov/cedselementdetails.aspx?termid=5929</v>
      </c>
      <c r="P1772" s="6" t="str">
        <f>HYPERLINK("https://ceds.ed.gov/elementComment.aspx?elementName=Learning Resource Type &amp;elementID=5929", "Click here to submit comment")</f>
        <v>Click here to submit comment</v>
      </c>
    </row>
    <row r="1773" spans="1:16" ht="45">
      <c r="A1773" s="6" t="s">
        <v>6788</v>
      </c>
      <c r="B1773" s="6" t="s">
        <v>6866</v>
      </c>
      <c r="C1773" s="6"/>
      <c r="D1773" s="6" t="s">
        <v>3710</v>
      </c>
      <c r="E1773" s="6" t="s">
        <v>3711</v>
      </c>
      <c r="F1773" s="6" t="s">
        <v>13</v>
      </c>
      <c r="G1773" s="6"/>
      <c r="H1773" s="6"/>
      <c r="I1773" s="6" t="s">
        <v>308</v>
      </c>
      <c r="J1773" s="6"/>
      <c r="K1773" s="6"/>
      <c r="L1773" s="6" t="s">
        <v>3712</v>
      </c>
      <c r="M1773" s="6"/>
      <c r="N1773" s="6" t="s">
        <v>3713</v>
      </c>
      <c r="O1773" s="6" t="str">
        <f>HYPERLINK("https://ceds.ed.gov/cedselementdetails.aspx?termid=5927")</f>
        <v>https://ceds.ed.gov/cedselementdetails.aspx?termid=5927</v>
      </c>
      <c r="P1773" s="6" t="str">
        <f>HYPERLINK("https://ceds.ed.gov/elementComment.aspx?elementName=Learning Resource Typical Age Range Maximum &amp;elementID=5927", "Click here to submit comment")</f>
        <v>Click here to submit comment</v>
      </c>
    </row>
    <row r="1774" spans="1:16" ht="45">
      <c r="A1774" s="6" t="s">
        <v>6788</v>
      </c>
      <c r="B1774" s="6" t="s">
        <v>6866</v>
      </c>
      <c r="C1774" s="6"/>
      <c r="D1774" s="6" t="s">
        <v>3714</v>
      </c>
      <c r="E1774" s="6" t="s">
        <v>3715</v>
      </c>
      <c r="F1774" s="6" t="s">
        <v>13</v>
      </c>
      <c r="G1774" s="6"/>
      <c r="H1774" s="6"/>
      <c r="I1774" s="6" t="s">
        <v>308</v>
      </c>
      <c r="J1774" s="6"/>
      <c r="K1774" s="6"/>
      <c r="L1774" s="6" t="s">
        <v>3716</v>
      </c>
      <c r="M1774" s="6"/>
      <c r="N1774" s="6" t="s">
        <v>3717</v>
      </c>
      <c r="O1774" s="6" t="str">
        <f>HYPERLINK("https://ceds.ed.gov/cedselementdetails.aspx?termid=5926")</f>
        <v>https://ceds.ed.gov/cedselementdetails.aspx?termid=5926</v>
      </c>
      <c r="P1774" s="6" t="str">
        <f>HYPERLINK("https://ceds.ed.gov/elementComment.aspx?elementName=Learning Resource Typical Age Range Minimum &amp;elementID=5926", "Click here to submit comment")</f>
        <v>Click here to submit comment</v>
      </c>
    </row>
    <row r="1775" spans="1:16" ht="75">
      <c r="A1775" s="6" t="s">
        <v>6788</v>
      </c>
      <c r="B1775" s="6" t="s">
        <v>6866</v>
      </c>
      <c r="C1775" s="6"/>
      <c r="D1775" s="6" t="s">
        <v>3718</v>
      </c>
      <c r="E1775" s="6" t="s">
        <v>3719</v>
      </c>
      <c r="F1775" s="6" t="s">
        <v>13</v>
      </c>
      <c r="G1775" s="6"/>
      <c r="H1775" s="6"/>
      <c r="I1775" s="6" t="s">
        <v>93</v>
      </c>
      <c r="J1775" s="6"/>
      <c r="K1775" s="6"/>
      <c r="L1775" s="6" t="s">
        <v>3720</v>
      </c>
      <c r="M1775" s="6"/>
      <c r="N1775" s="6" t="s">
        <v>3721</v>
      </c>
      <c r="O1775" s="6" t="str">
        <f>HYPERLINK("https://ceds.ed.gov/cedselementdetails.aspx?termid=5911")</f>
        <v>https://ceds.ed.gov/cedselementdetails.aspx?termid=5911</v>
      </c>
      <c r="P1775" s="6" t="str">
        <f>HYPERLINK("https://ceds.ed.gov/elementComment.aspx?elementName=Learning Resource URL &amp;elementID=5911", "Click here to submit comment")</f>
        <v>Click here to submit comment</v>
      </c>
    </row>
    <row r="1776" spans="1:16" ht="45">
      <c r="A1776" s="6" t="s">
        <v>6788</v>
      </c>
      <c r="B1776" s="6" t="s">
        <v>6866</v>
      </c>
      <c r="C1776" s="6"/>
      <c r="D1776" s="6" t="s">
        <v>3722</v>
      </c>
      <c r="E1776" s="6" t="s">
        <v>3723</v>
      </c>
      <c r="F1776" s="6" t="s">
        <v>13</v>
      </c>
      <c r="G1776" s="6"/>
      <c r="H1776" s="6"/>
      <c r="I1776" s="6" t="s">
        <v>93</v>
      </c>
      <c r="J1776" s="6"/>
      <c r="K1776" s="6" t="s">
        <v>3724</v>
      </c>
      <c r="L1776" s="6" t="s">
        <v>3725</v>
      </c>
      <c r="M1776" s="6"/>
      <c r="N1776" s="6" t="s">
        <v>3726</v>
      </c>
      <c r="O1776" s="6" t="str">
        <f>HYPERLINK("https://ceds.ed.gov/cedselementdetails.aspx?termid=5922")</f>
        <v>https://ceds.ed.gov/cedselementdetails.aspx?termid=5922</v>
      </c>
      <c r="P1776" s="6" t="str">
        <f>HYPERLINK("https://ceds.ed.gov/elementComment.aspx?elementName=Learning Resource Use Rights URL &amp;elementID=5922", "Click here to submit comment")</f>
        <v>Click here to submit comment</v>
      </c>
    </row>
    <row r="1777" spans="1:16" ht="30">
      <c r="A1777" s="6" t="s">
        <v>6788</v>
      </c>
      <c r="B1777" s="6" t="s">
        <v>6866</v>
      </c>
      <c r="C1777" s="6"/>
      <c r="D1777" s="6" t="s">
        <v>3727</v>
      </c>
      <c r="E1777" s="6" t="s">
        <v>3728</v>
      </c>
      <c r="F1777" s="6" t="s">
        <v>13</v>
      </c>
      <c r="G1777" s="6"/>
      <c r="H1777" s="6" t="s">
        <v>66</v>
      </c>
      <c r="I1777" s="6" t="s">
        <v>100</v>
      </c>
      <c r="J1777" s="6" t="s">
        <v>1820</v>
      </c>
      <c r="K1777" s="6"/>
      <c r="L1777" s="6" t="s">
        <v>3729</v>
      </c>
      <c r="M1777" s="6"/>
      <c r="N1777" s="6" t="s">
        <v>3730</v>
      </c>
      <c r="O1777" s="6" t="str">
        <f>HYPERLINK("https://ceds.ed.gov/cedselementdetails.aspx?termid=6182")</f>
        <v>https://ceds.ed.gov/cedselementdetails.aspx?termid=6182</v>
      </c>
      <c r="P1777" s="6" t="str">
        <f>HYPERLINK("https://ceds.ed.gov/elementComment.aspx?elementName=Learning Resource Version &amp;elementID=6182", "Click here to submit comment")</f>
        <v>Click here to submit comment</v>
      </c>
    </row>
    <row r="1778" spans="1:16" ht="30">
      <c r="A1778" s="6" t="s">
        <v>6788</v>
      </c>
      <c r="B1778" s="6" t="s">
        <v>6866</v>
      </c>
      <c r="C1778" s="6" t="s">
        <v>6867</v>
      </c>
      <c r="D1778" s="6" t="s">
        <v>4435</v>
      </c>
      <c r="E1778" s="6" t="s">
        <v>4436</v>
      </c>
      <c r="F1778" s="6" t="s">
        <v>13</v>
      </c>
      <c r="G1778" s="6"/>
      <c r="H1778" s="6"/>
      <c r="I1778" s="6" t="s">
        <v>73</v>
      </c>
      <c r="J1778" s="6"/>
      <c r="K1778" s="6"/>
      <c r="L1778" s="6" t="s">
        <v>4437</v>
      </c>
      <c r="M1778" s="6"/>
      <c r="N1778" s="6" t="s">
        <v>4438</v>
      </c>
      <c r="O1778" s="6" t="str">
        <f>HYPERLINK("https://ceds.ed.gov/cedselementdetails.aspx?termid=6171")</f>
        <v>https://ceds.ed.gov/cedselementdetails.aspx?termid=6171</v>
      </c>
      <c r="P1778" s="6" t="str">
        <f>HYPERLINK("https://ceds.ed.gov/elementComment.aspx?elementName=Peer Rating Date &amp;elementID=6171", "Click here to submit comment")</f>
        <v>Click here to submit comment</v>
      </c>
    </row>
    <row r="1779" spans="1:16" ht="45">
      <c r="A1779" s="6" t="s">
        <v>6788</v>
      </c>
      <c r="B1779" s="6" t="s">
        <v>6866</v>
      </c>
      <c r="C1779" s="6" t="s">
        <v>6868</v>
      </c>
      <c r="D1779" s="6" t="s">
        <v>4439</v>
      </c>
      <c r="E1779" s="6" t="s">
        <v>4440</v>
      </c>
      <c r="F1779" s="6" t="s">
        <v>13</v>
      </c>
      <c r="G1779" s="6"/>
      <c r="H1779" s="6"/>
      <c r="I1779" s="6" t="s">
        <v>957</v>
      </c>
      <c r="J1779" s="6"/>
      <c r="K1779" s="6"/>
      <c r="L1779" s="6" t="s">
        <v>4441</v>
      </c>
      <c r="M1779" s="6"/>
      <c r="N1779" s="6" t="s">
        <v>4442</v>
      </c>
      <c r="O1779" s="6" t="str">
        <f>HYPERLINK("https://ceds.ed.gov/cedselementdetails.aspx?termid=6162")</f>
        <v>https://ceds.ed.gov/cedselementdetails.aspx?termid=6162</v>
      </c>
      <c r="P1779" s="6" t="str">
        <f>HYPERLINK("https://ceds.ed.gov/elementComment.aspx?elementName=Peer Rating System Maximum Value &amp;elementID=6162", "Click here to submit comment")</f>
        <v>Click here to submit comment</v>
      </c>
    </row>
    <row r="1780" spans="1:16" ht="45">
      <c r="A1780" s="6" t="s">
        <v>6788</v>
      </c>
      <c r="B1780" s="6" t="s">
        <v>6866</v>
      </c>
      <c r="C1780" s="6" t="s">
        <v>6868</v>
      </c>
      <c r="D1780" s="6" t="s">
        <v>4443</v>
      </c>
      <c r="E1780" s="6" t="s">
        <v>4444</v>
      </c>
      <c r="F1780" s="6" t="s">
        <v>13</v>
      </c>
      <c r="G1780" s="6"/>
      <c r="H1780" s="6"/>
      <c r="I1780" s="6" t="s">
        <v>957</v>
      </c>
      <c r="J1780" s="6"/>
      <c r="K1780" s="6"/>
      <c r="L1780" s="6" t="s">
        <v>4445</v>
      </c>
      <c r="M1780" s="6"/>
      <c r="N1780" s="6" t="s">
        <v>4446</v>
      </c>
      <c r="O1780" s="6" t="str">
        <f>HYPERLINK("https://ceds.ed.gov/cedselementdetails.aspx?termid=6163")</f>
        <v>https://ceds.ed.gov/cedselementdetails.aspx?termid=6163</v>
      </c>
      <c r="P1780" s="6" t="str">
        <f>HYPERLINK("https://ceds.ed.gov/elementComment.aspx?elementName=Peer Rating System Minimum Value &amp;elementID=6163", "Click here to submit comment")</f>
        <v>Click here to submit comment</v>
      </c>
    </row>
    <row r="1781" spans="1:16" ht="30">
      <c r="A1781" s="6" t="s">
        <v>6788</v>
      </c>
      <c r="B1781" s="6" t="s">
        <v>6866</v>
      </c>
      <c r="C1781" s="6" t="s">
        <v>6868</v>
      </c>
      <c r="D1781" s="6" t="s">
        <v>4447</v>
      </c>
      <c r="E1781" s="6" t="s">
        <v>4448</v>
      </c>
      <c r="F1781" s="6" t="s">
        <v>13</v>
      </c>
      <c r="G1781" s="6"/>
      <c r="H1781" s="6"/>
      <c r="I1781" s="6" t="s">
        <v>106</v>
      </c>
      <c r="J1781" s="6"/>
      <c r="K1781" s="6"/>
      <c r="L1781" s="6" t="s">
        <v>4449</v>
      </c>
      <c r="M1781" s="6"/>
      <c r="N1781" s="6" t="s">
        <v>4450</v>
      </c>
      <c r="O1781" s="6" t="str">
        <f>HYPERLINK("https://ceds.ed.gov/cedselementdetails.aspx?termid=6160")</f>
        <v>https://ceds.ed.gov/cedselementdetails.aspx?termid=6160</v>
      </c>
      <c r="P1781" s="6" t="str">
        <f>HYPERLINK("https://ceds.ed.gov/elementComment.aspx?elementName=Peer Rating System Name &amp;elementID=6160", "Click here to submit comment")</f>
        <v>Click here to submit comment</v>
      </c>
    </row>
    <row r="1782" spans="1:16" ht="75">
      <c r="A1782" s="6" t="s">
        <v>6788</v>
      </c>
      <c r="B1782" s="6" t="s">
        <v>6866</v>
      </c>
      <c r="C1782" s="6" t="s">
        <v>6868</v>
      </c>
      <c r="D1782" s="6" t="s">
        <v>4451</v>
      </c>
      <c r="E1782" s="6" t="s">
        <v>4452</v>
      </c>
      <c r="F1782" s="6" t="s">
        <v>13</v>
      </c>
      <c r="G1782" s="6"/>
      <c r="H1782" s="6"/>
      <c r="I1782" s="6" t="s">
        <v>957</v>
      </c>
      <c r="J1782" s="6"/>
      <c r="K1782" s="6"/>
      <c r="L1782" s="6" t="s">
        <v>4453</v>
      </c>
      <c r="M1782" s="6"/>
      <c r="N1782" s="6" t="s">
        <v>4454</v>
      </c>
      <c r="O1782" s="6" t="str">
        <f>HYPERLINK("https://ceds.ed.gov/cedselementdetails.aspx?termid=6164")</f>
        <v>https://ceds.ed.gov/cedselementdetails.aspx?termid=6164</v>
      </c>
      <c r="P1782" s="6" t="str">
        <f>HYPERLINK("https://ceds.ed.gov/elementComment.aspx?elementName=Peer Rating System Optimum Value &amp;elementID=6164", "Click here to submit comment")</f>
        <v>Click here to submit comment</v>
      </c>
    </row>
    <row r="1783" spans="1:16" ht="30">
      <c r="A1783" s="6" t="s">
        <v>6788</v>
      </c>
      <c r="B1783" s="6" t="s">
        <v>6855</v>
      </c>
      <c r="C1783" s="6"/>
      <c r="D1783" s="6" t="s">
        <v>3528</v>
      </c>
      <c r="E1783" s="6" t="s">
        <v>3529</v>
      </c>
      <c r="F1783" s="6" t="s">
        <v>13</v>
      </c>
      <c r="G1783" s="6"/>
      <c r="H1783" s="6"/>
      <c r="I1783" s="6" t="s">
        <v>73</v>
      </c>
      <c r="J1783" s="6"/>
      <c r="K1783" s="6"/>
      <c r="L1783" s="6" t="s">
        <v>3530</v>
      </c>
      <c r="M1783" s="6"/>
      <c r="N1783" s="6" t="s">
        <v>3531</v>
      </c>
      <c r="O1783" s="6" t="str">
        <f>HYPERLINK("https://ceds.ed.gov/cedselementdetails.aspx?termid=6170")</f>
        <v>https://ceds.ed.gov/cedselementdetails.aspx?termid=6170</v>
      </c>
      <c r="P1783" s="6" t="str">
        <f>HYPERLINK("https://ceds.ed.gov/elementComment.aspx?elementName=Learning Goal End Date &amp;elementID=6170", "Click here to submit comment")</f>
        <v>Click here to submit comment</v>
      </c>
    </row>
    <row r="1784" spans="1:16" ht="30">
      <c r="A1784" s="6" t="s">
        <v>6788</v>
      </c>
      <c r="B1784" s="6" t="s">
        <v>6855</v>
      </c>
      <c r="C1784" s="6"/>
      <c r="D1784" s="6" t="s">
        <v>3532</v>
      </c>
      <c r="E1784" s="6" t="s">
        <v>3533</v>
      </c>
      <c r="F1784" s="6" t="s">
        <v>13</v>
      </c>
      <c r="G1784" s="6"/>
      <c r="H1784" s="6"/>
      <c r="I1784" s="6" t="s">
        <v>73</v>
      </c>
      <c r="J1784" s="6"/>
      <c r="K1784" s="6"/>
      <c r="L1784" s="6" t="s">
        <v>3534</v>
      </c>
      <c r="M1784" s="6"/>
      <c r="N1784" s="6" t="s">
        <v>3535</v>
      </c>
      <c r="O1784" s="6" t="str">
        <f>HYPERLINK("https://ceds.ed.gov/cedselementdetails.aspx?termid=6169")</f>
        <v>https://ceds.ed.gov/cedselementdetails.aspx?termid=6169</v>
      </c>
      <c r="P1784" s="6" t="str">
        <f>HYPERLINK("https://ceds.ed.gov/elementComment.aspx?elementName=Learning Goal Start Date &amp;elementID=6169", "Click here to submit comment")</f>
        <v>Click here to submit comment</v>
      </c>
    </row>
    <row r="1785" spans="1:16" ht="30">
      <c r="A1785" s="6" t="s">
        <v>6788</v>
      </c>
      <c r="B1785" s="6" t="s">
        <v>6854</v>
      </c>
      <c r="C1785" s="6"/>
      <c r="D1785" s="6" t="s">
        <v>143</v>
      </c>
      <c r="E1785" s="6" t="s">
        <v>144</v>
      </c>
      <c r="F1785" s="6" t="s">
        <v>13</v>
      </c>
      <c r="G1785" s="6"/>
      <c r="H1785" s="6"/>
      <c r="I1785" s="6" t="s">
        <v>93</v>
      </c>
      <c r="J1785" s="6"/>
      <c r="K1785" s="6"/>
      <c r="L1785" s="6" t="s">
        <v>145</v>
      </c>
      <c r="M1785" s="6"/>
      <c r="N1785" s="6" t="s">
        <v>146</v>
      </c>
      <c r="O1785" s="6" t="str">
        <f>HYPERLINK("https://ceds.ed.gov/cedselementdetails.aspx?termid=5893")</f>
        <v>https://ceds.ed.gov/cedselementdetails.aspx?termid=5893</v>
      </c>
      <c r="P1785" s="6" t="str">
        <f>HYPERLINK("https://ceds.ed.gov/elementComment.aspx?elementName=Achievement Title &amp;elementID=5893", "Click here to submit comment")</f>
        <v>Click here to submit comment</v>
      </c>
    </row>
    <row r="1786" spans="1:16" ht="30">
      <c r="A1786" s="6" t="s">
        <v>6788</v>
      </c>
      <c r="B1786" s="6" t="s">
        <v>6854</v>
      </c>
      <c r="C1786" s="6"/>
      <c r="D1786" s="6" t="s">
        <v>122</v>
      </c>
      <c r="E1786" s="6" t="s">
        <v>123</v>
      </c>
      <c r="F1786" s="6" t="s">
        <v>13</v>
      </c>
      <c r="G1786" s="6"/>
      <c r="H1786" s="6"/>
      <c r="I1786" s="6" t="s">
        <v>93</v>
      </c>
      <c r="J1786" s="6"/>
      <c r="K1786" s="6"/>
      <c r="L1786" s="6" t="s">
        <v>124</v>
      </c>
      <c r="M1786" s="6"/>
      <c r="N1786" s="6" t="s">
        <v>125</v>
      </c>
      <c r="O1786" s="6" t="str">
        <f>HYPERLINK("https://ceds.ed.gov/cedselementdetails.aspx?termid=5895")</f>
        <v>https://ceds.ed.gov/cedselementdetails.aspx?termid=5895</v>
      </c>
      <c r="P1786" s="6" t="str">
        <f>HYPERLINK("https://ceds.ed.gov/elementComment.aspx?elementName=Achievement Description &amp;elementID=5895", "Click here to submit comment")</f>
        <v>Click here to submit comment</v>
      </c>
    </row>
    <row r="1787" spans="1:16" ht="30">
      <c r="A1787" s="6" t="s">
        <v>6788</v>
      </c>
      <c r="B1787" s="6" t="s">
        <v>6854</v>
      </c>
      <c r="C1787" s="6"/>
      <c r="D1787" s="6" t="s">
        <v>139</v>
      </c>
      <c r="E1787" s="6" t="s">
        <v>140</v>
      </c>
      <c r="F1787" s="6" t="s">
        <v>13</v>
      </c>
      <c r="G1787" s="6"/>
      <c r="H1787" s="6"/>
      <c r="I1787" s="6" t="s">
        <v>73</v>
      </c>
      <c r="J1787" s="6"/>
      <c r="K1787" s="6"/>
      <c r="L1787" s="6" t="s">
        <v>141</v>
      </c>
      <c r="M1787" s="6"/>
      <c r="N1787" s="6" t="s">
        <v>142</v>
      </c>
      <c r="O1787" s="6" t="str">
        <f>HYPERLINK("https://ceds.ed.gov/cedselementdetails.aspx?termid=6120")</f>
        <v>https://ceds.ed.gov/cedselementdetails.aspx?termid=6120</v>
      </c>
      <c r="P1787" s="6" t="str">
        <f>HYPERLINK("https://ceds.ed.gov/elementComment.aspx?elementName=Achievement Start Date &amp;elementID=6120", "Click here to submit comment")</f>
        <v>Click here to submit comment</v>
      </c>
    </row>
    <row r="1788" spans="1:16" ht="45">
      <c r="A1788" s="6" t="s">
        <v>6788</v>
      </c>
      <c r="B1788" s="6" t="s">
        <v>6854</v>
      </c>
      <c r="C1788" s="6"/>
      <c r="D1788" s="6" t="s">
        <v>126</v>
      </c>
      <c r="E1788" s="6" t="s">
        <v>127</v>
      </c>
      <c r="F1788" s="6" t="s">
        <v>13</v>
      </c>
      <c r="G1788" s="6"/>
      <c r="H1788" s="6"/>
      <c r="I1788" s="6" t="s">
        <v>73</v>
      </c>
      <c r="J1788" s="6"/>
      <c r="K1788" s="6"/>
      <c r="L1788" s="6" t="s">
        <v>128</v>
      </c>
      <c r="M1788" s="6"/>
      <c r="N1788" s="6" t="s">
        <v>129</v>
      </c>
      <c r="O1788" s="6" t="str">
        <f>HYPERLINK("https://ceds.ed.gov/cedselementdetails.aspx?termid=6121")</f>
        <v>https://ceds.ed.gov/cedselementdetails.aspx?termid=6121</v>
      </c>
      <c r="P1788" s="6" t="str">
        <f>HYPERLINK("https://ceds.ed.gov/elementComment.aspx?elementName=Achievement End Date &amp;elementID=6121", "Click here to submit comment")</f>
        <v>Click here to submit comment</v>
      </c>
    </row>
    <row r="1789" spans="1:16" ht="45">
      <c r="A1789" s="6" t="s">
        <v>6788</v>
      </c>
      <c r="B1789" s="6" t="s">
        <v>6854</v>
      </c>
      <c r="C1789" s="6"/>
      <c r="D1789" s="6" t="s">
        <v>86</v>
      </c>
      <c r="E1789" s="6" t="s">
        <v>87</v>
      </c>
      <c r="F1789" s="6" t="s">
        <v>13</v>
      </c>
      <c r="G1789" s="6"/>
      <c r="H1789" s="6"/>
      <c r="I1789" s="6" t="s">
        <v>88</v>
      </c>
      <c r="J1789" s="6"/>
      <c r="K1789" s="6"/>
      <c r="L1789" s="6" t="s">
        <v>89</v>
      </c>
      <c r="M1789" s="6"/>
      <c r="N1789" s="6" t="s">
        <v>90</v>
      </c>
      <c r="O1789" s="6" t="str">
        <f>HYPERLINK("https://ceds.ed.gov/cedselementdetails.aspx?termid=5898")</f>
        <v>https://ceds.ed.gov/cedselementdetails.aspx?termid=5898</v>
      </c>
      <c r="P1789" s="6" t="str">
        <f>HYPERLINK("https://ceds.ed.gov/elementComment.aspx?elementName=Achievement Award Issuer Name &amp;elementID=5898", "Click here to submit comment")</f>
        <v>Click here to submit comment</v>
      </c>
    </row>
    <row r="1790" spans="1:16" ht="45">
      <c r="A1790" s="6" t="s">
        <v>6788</v>
      </c>
      <c r="B1790" s="6" t="s">
        <v>6854</v>
      </c>
      <c r="C1790" s="6"/>
      <c r="D1790" s="6" t="s">
        <v>91</v>
      </c>
      <c r="E1790" s="6" t="s">
        <v>92</v>
      </c>
      <c r="F1790" s="6" t="s">
        <v>13</v>
      </c>
      <c r="G1790" s="6"/>
      <c r="H1790" s="6" t="s">
        <v>66</v>
      </c>
      <c r="I1790" s="6" t="s">
        <v>93</v>
      </c>
      <c r="J1790" s="6" t="s">
        <v>94</v>
      </c>
      <c r="K1790" s="6" t="s">
        <v>95</v>
      </c>
      <c r="L1790" s="6" t="s">
        <v>96</v>
      </c>
      <c r="M1790" s="6"/>
      <c r="N1790" s="6" t="s">
        <v>97</v>
      </c>
      <c r="O1790" s="6" t="str">
        <f>HYPERLINK("https://ceds.ed.gov/cedselementdetails.aspx?termid=5900")</f>
        <v>https://ceds.ed.gov/cedselementdetails.aspx?termid=5900</v>
      </c>
      <c r="P1790" s="6" t="str">
        <f>HYPERLINK("https://ceds.ed.gov/elementComment.aspx?elementName=Achievement Award Issuer Origin URL &amp;elementID=5900", "Click here to submit comment")</f>
        <v>Click here to submit comment</v>
      </c>
    </row>
    <row r="1791" spans="1:16" ht="75">
      <c r="A1791" s="6" t="s">
        <v>6788</v>
      </c>
      <c r="B1791" s="6" t="s">
        <v>6854</v>
      </c>
      <c r="C1791" s="6"/>
      <c r="D1791" s="6" t="s">
        <v>98</v>
      </c>
      <c r="E1791" s="6" t="s">
        <v>99</v>
      </c>
      <c r="F1791" s="6" t="s">
        <v>13</v>
      </c>
      <c r="G1791" s="6"/>
      <c r="H1791" s="6"/>
      <c r="I1791" s="6" t="s">
        <v>100</v>
      </c>
      <c r="J1791" s="6"/>
      <c r="K1791" s="6" t="s">
        <v>101</v>
      </c>
      <c r="L1791" s="6" t="s">
        <v>102</v>
      </c>
      <c r="M1791" s="6"/>
      <c r="N1791" s="6" t="s">
        <v>103</v>
      </c>
      <c r="O1791" s="6" t="str">
        <f>HYPERLINK("https://ceds.ed.gov/cedselementdetails.aspx?termid=6211")</f>
        <v>https://ceds.ed.gov/cedselementdetails.aspx?termid=6211</v>
      </c>
      <c r="P1791" s="6" t="str">
        <f>HYPERLINK("https://ceds.ed.gov/elementComment.aspx?elementName=Achievement Category System &amp;elementID=6211", "Click here to submit comment")</f>
        <v>Click here to submit comment</v>
      </c>
    </row>
    <row r="1792" spans="1:16" ht="270">
      <c r="A1792" s="6" t="s">
        <v>6788</v>
      </c>
      <c r="B1792" s="6" t="s">
        <v>6854</v>
      </c>
      <c r="C1792" s="6"/>
      <c r="D1792" s="6" t="s">
        <v>104</v>
      </c>
      <c r="E1792" s="6" t="s">
        <v>105</v>
      </c>
      <c r="F1792" s="6" t="s">
        <v>13</v>
      </c>
      <c r="G1792" s="6"/>
      <c r="H1792" s="6"/>
      <c r="I1792" s="6" t="s">
        <v>106</v>
      </c>
      <c r="J1792" s="6"/>
      <c r="K1792" s="6" t="s">
        <v>107</v>
      </c>
      <c r="L1792" s="6" t="s">
        <v>108</v>
      </c>
      <c r="M1792" s="6"/>
      <c r="N1792" s="6" t="s">
        <v>109</v>
      </c>
      <c r="O1792" s="6" t="str">
        <f>HYPERLINK("https://ceds.ed.gov/cedselementdetails.aspx?termid=5892")</f>
        <v>https://ceds.ed.gov/cedselementdetails.aspx?termid=5892</v>
      </c>
      <c r="P1792" s="6" t="str">
        <f>HYPERLINK("https://ceds.ed.gov/elementComment.aspx?elementName=Achievement Category Type &amp;elementID=5892", "Click here to submit comment")</f>
        <v>Click here to submit comment</v>
      </c>
    </row>
    <row r="1793" spans="1:16" ht="60">
      <c r="A1793" s="6" t="s">
        <v>6788</v>
      </c>
      <c r="B1793" s="6" t="s">
        <v>6854</v>
      </c>
      <c r="C1793" s="6"/>
      <c r="D1793" s="6" t="s">
        <v>134</v>
      </c>
      <c r="E1793" s="6" t="s">
        <v>135</v>
      </c>
      <c r="F1793" s="6" t="s">
        <v>13</v>
      </c>
      <c r="G1793" s="6"/>
      <c r="H1793" s="6"/>
      <c r="I1793" s="6" t="s">
        <v>93</v>
      </c>
      <c r="J1793" s="6"/>
      <c r="K1793" s="6" t="s">
        <v>136</v>
      </c>
      <c r="L1793" s="6" t="s">
        <v>137</v>
      </c>
      <c r="M1793" s="6"/>
      <c r="N1793" s="6" t="s">
        <v>138</v>
      </c>
      <c r="O1793" s="6" t="str">
        <f>HYPERLINK("https://ceds.ed.gov/cedselementdetails.aspx?termid=5894")</f>
        <v>https://ceds.ed.gov/cedselementdetails.aspx?termid=5894</v>
      </c>
      <c r="P1793" s="6" t="str">
        <f>HYPERLINK("https://ceds.ed.gov/elementComment.aspx?elementName=Achievement Image URL &amp;elementID=5894", "Click here to submit comment")</f>
        <v>Click here to submit comment</v>
      </c>
    </row>
    <row r="1794" spans="1:16" ht="30">
      <c r="A1794" s="6" t="s">
        <v>6788</v>
      </c>
      <c r="B1794" s="6" t="s">
        <v>6854</v>
      </c>
      <c r="C1794" s="6"/>
      <c r="D1794" s="6" t="s">
        <v>110</v>
      </c>
      <c r="E1794" s="6" t="s">
        <v>111</v>
      </c>
      <c r="F1794" s="6" t="s">
        <v>13</v>
      </c>
      <c r="G1794" s="6"/>
      <c r="H1794" s="6"/>
      <c r="I1794" s="6" t="s">
        <v>93</v>
      </c>
      <c r="J1794" s="6"/>
      <c r="K1794" s="6"/>
      <c r="L1794" s="6" t="s">
        <v>112</v>
      </c>
      <c r="M1794" s="6"/>
      <c r="N1794" s="6" t="s">
        <v>113</v>
      </c>
      <c r="O1794" s="6" t="str">
        <f>HYPERLINK("https://ceds.ed.gov/cedselementdetails.aspx?termid=5896")</f>
        <v>https://ceds.ed.gov/cedselementdetails.aspx?termid=5896</v>
      </c>
      <c r="P1794" s="6" t="str">
        <f>HYPERLINK("https://ceds.ed.gov/elementComment.aspx?elementName=Achievement Criteria &amp;elementID=5896", "Click here to submit comment")</f>
        <v>Click here to submit comment</v>
      </c>
    </row>
    <row r="1795" spans="1:16" ht="75">
      <c r="A1795" s="6" t="s">
        <v>6788</v>
      </c>
      <c r="B1795" s="6" t="s">
        <v>6854</v>
      </c>
      <c r="C1795" s="6"/>
      <c r="D1795" s="6" t="s">
        <v>114</v>
      </c>
      <c r="E1795" s="6" t="s">
        <v>115</v>
      </c>
      <c r="F1795" s="6" t="s">
        <v>13</v>
      </c>
      <c r="G1795" s="6"/>
      <c r="H1795" s="6"/>
      <c r="I1795" s="6" t="s">
        <v>93</v>
      </c>
      <c r="J1795" s="6"/>
      <c r="K1795" s="6"/>
      <c r="L1795" s="6" t="s">
        <v>116</v>
      </c>
      <c r="M1795" s="6"/>
      <c r="N1795" s="6" t="s">
        <v>117</v>
      </c>
      <c r="O1795" s="6" t="str">
        <f>HYPERLINK("https://ceds.ed.gov/cedselementdetails.aspx?termid=6113")</f>
        <v>https://ceds.ed.gov/cedselementdetails.aspx?termid=6113</v>
      </c>
      <c r="P1795" s="6" t="str">
        <f>HYPERLINK("https://ceds.ed.gov/elementComment.aspx?elementName=Achievement Criteria URL &amp;elementID=6113", "Click here to submit comment")</f>
        <v>Click here to submit comment</v>
      </c>
    </row>
    <row r="1796" spans="1:16" ht="60">
      <c r="A1796" s="6" t="s">
        <v>6788</v>
      </c>
      <c r="B1796" s="6" t="s">
        <v>6854</v>
      </c>
      <c r="C1796" s="6"/>
      <c r="D1796" s="6" t="s">
        <v>130</v>
      </c>
      <c r="E1796" s="6" t="s">
        <v>131</v>
      </c>
      <c r="F1796" s="6" t="s">
        <v>13</v>
      </c>
      <c r="G1796" s="6"/>
      <c r="H1796" s="6"/>
      <c r="I1796" s="6" t="s">
        <v>93</v>
      </c>
      <c r="J1796" s="6"/>
      <c r="K1796" s="6"/>
      <c r="L1796" s="6" t="s">
        <v>132</v>
      </c>
      <c r="M1796" s="6"/>
      <c r="N1796" s="6" t="s">
        <v>133</v>
      </c>
      <c r="O1796" s="6" t="str">
        <f>HYPERLINK("https://ceds.ed.gov/cedselementdetails.aspx?termid=5901")</f>
        <v>https://ceds.ed.gov/cedselementdetails.aspx?termid=5901</v>
      </c>
      <c r="P1796" s="6" t="str">
        <f>HYPERLINK("https://ceds.ed.gov/elementComment.aspx?elementName=Achievement Evidence Statement &amp;elementID=5901", "Click here to submit comment")</f>
        <v>Click here to submit comment</v>
      </c>
    </row>
    <row r="1797" spans="1:16" ht="120">
      <c r="A1797" s="6" t="s">
        <v>6788</v>
      </c>
      <c r="B1797" s="6" t="s">
        <v>6754</v>
      </c>
      <c r="C1797" s="6"/>
      <c r="D1797" s="6" t="s">
        <v>2598</v>
      </c>
      <c r="E1797" s="6" t="s">
        <v>2599</v>
      </c>
      <c r="F1797" s="6" t="s">
        <v>13</v>
      </c>
      <c r="G1797" s="6"/>
      <c r="H1797" s="6"/>
      <c r="I1797" s="6" t="s">
        <v>149</v>
      </c>
      <c r="J1797" s="6"/>
      <c r="K1797" s="6"/>
      <c r="L1797" s="6" t="s">
        <v>2600</v>
      </c>
      <c r="M1797" s="6"/>
      <c r="N1797" s="6" t="s">
        <v>2601</v>
      </c>
      <c r="O1797" s="6" t="str">
        <f>HYPERLINK("https://ceds.ed.gov/cedselementdetails.aspx?termid=5495")</f>
        <v>https://ceds.ed.gov/cedselementdetails.aspx?termid=5495</v>
      </c>
      <c r="P1797" s="6" t="str">
        <f>HYPERLINK("https://ceds.ed.gov/elementComment.aspx?elementName=Facilities Identifier &amp;elementID=5495", "Click here to submit comment")</f>
        <v>Click here to submit comment</v>
      </c>
    </row>
    <row r="1798" spans="1:16" ht="45">
      <c r="A1798" s="6" t="s">
        <v>6788</v>
      </c>
      <c r="B1798" s="6" t="s">
        <v>6754</v>
      </c>
      <c r="C1798" s="6"/>
      <c r="D1798" s="6" t="s">
        <v>4349</v>
      </c>
      <c r="E1798" s="6" t="s">
        <v>4350</v>
      </c>
      <c r="F1798" s="6" t="s">
        <v>13</v>
      </c>
      <c r="G1798" s="6" t="s">
        <v>202</v>
      </c>
      <c r="H1798" s="6" t="s">
        <v>3</v>
      </c>
      <c r="I1798" s="6" t="s">
        <v>106</v>
      </c>
      <c r="J1798" s="6"/>
      <c r="K1798" s="6"/>
      <c r="L1798" s="6" t="s">
        <v>4351</v>
      </c>
      <c r="M1798" s="6"/>
      <c r="N1798" s="6" t="s">
        <v>4352</v>
      </c>
      <c r="O1798" s="6" t="str">
        <f>HYPERLINK("https://ceds.ed.gov/cedselementdetails.aspx?termid=5204")</f>
        <v>https://ceds.ed.gov/cedselementdetails.aspx?termid=5204</v>
      </c>
      <c r="P1798" s="6" t="str">
        <f>HYPERLINK("https://ceds.ed.gov/elementComment.aspx?elementName=Organization Name &amp;elementID=5204", "Click here to submit comment")</f>
        <v>Click here to submit comment</v>
      </c>
    </row>
    <row r="1799" spans="1:16" ht="60">
      <c r="A1799" s="6" t="s">
        <v>6788</v>
      </c>
      <c r="B1799" s="6" t="s">
        <v>6754</v>
      </c>
      <c r="C1799" s="6"/>
      <c r="D1799" s="6" t="s">
        <v>4341</v>
      </c>
      <c r="E1799" s="6" t="s">
        <v>4342</v>
      </c>
      <c r="F1799" s="6" t="s">
        <v>13</v>
      </c>
      <c r="G1799" s="6" t="s">
        <v>65</v>
      </c>
      <c r="H1799" s="6" t="s">
        <v>3</v>
      </c>
      <c r="I1799" s="6" t="s">
        <v>100</v>
      </c>
      <c r="J1799" s="6"/>
      <c r="K1799" s="6"/>
      <c r="L1799" s="6" t="s">
        <v>4343</v>
      </c>
      <c r="M1799" s="6"/>
      <c r="N1799" s="6" t="s">
        <v>4344</v>
      </c>
      <c r="O1799" s="6" t="str">
        <f>HYPERLINK("https://ceds.ed.gov/cedselementdetails.aspx?termid=5825")</f>
        <v>https://ceds.ed.gov/cedselementdetails.aspx?termid=5825</v>
      </c>
      <c r="P1799" s="6" t="str">
        <f>HYPERLINK("https://ceds.ed.gov/elementComment.aspx?elementName=Organization Identifier &amp;elementID=5825", "Click here to submit comment")</f>
        <v>Click here to submit comment</v>
      </c>
    </row>
    <row r="1800" spans="1:16" ht="315">
      <c r="A1800" s="6" t="s">
        <v>6788</v>
      </c>
      <c r="B1800" s="6" t="s">
        <v>6754</v>
      </c>
      <c r="C1800" s="6"/>
      <c r="D1800" s="6" t="s">
        <v>4337</v>
      </c>
      <c r="E1800" s="6" t="s">
        <v>4338</v>
      </c>
      <c r="F1800" s="7" t="s">
        <v>6364</v>
      </c>
      <c r="G1800" s="6" t="s">
        <v>65</v>
      </c>
      <c r="H1800" s="6" t="s">
        <v>66</v>
      </c>
      <c r="I1800" s="6"/>
      <c r="J1800" s="6" t="s">
        <v>2309</v>
      </c>
      <c r="K1800" s="6"/>
      <c r="L1800" s="6" t="s">
        <v>4339</v>
      </c>
      <c r="M1800" s="6"/>
      <c r="N1800" s="6" t="s">
        <v>4340</v>
      </c>
      <c r="O1800" s="6" t="str">
        <f>HYPERLINK("https://ceds.ed.gov/cedselementdetails.aspx?termid=5827")</f>
        <v>https://ceds.ed.gov/cedselementdetails.aspx?termid=5827</v>
      </c>
      <c r="P1800" s="6" t="str">
        <f>HYPERLINK("https://ceds.ed.gov/elementComment.aspx?elementName=Organization Identification System &amp;elementID=5827", "Click here to submit comment")</f>
        <v>Click here to submit comment</v>
      </c>
    </row>
    <row r="1801" spans="1:16" ht="90">
      <c r="A1801" s="6" t="s">
        <v>6788</v>
      </c>
      <c r="B1801" s="6" t="s">
        <v>6754</v>
      </c>
      <c r="C1801" s="6"/>
      <c r="D1801" s="6" t="s">
        <v>196</v>
      </c>
      <c r="E1801" s="6" t="s">
        <v>197</v>
      </c>
      <c r="F1801" s="7" t="s">
        <v>6354</v>
      </c>
      <c r="G1801" s="6" t="s">
        <v>5968</v>
      </c>
      <c r="H1801" s="6" t="s">
        <v>3</v>
      </c>
      <c r="I1801" s="6" t="s">
        <v>100</v>
      </c>
      <c r="J1801" s="6"/>
      <c r="K1801" s="6"/>
      <c r="L1801" s="6" t="s">
        <v>198</v>
      </c>
      <c r="M1801" s="6"/>
      <c r="N1801" s="6" t="s">
        <v>199</v>
      </c>
      <c r="O1801" s="6" t="str">
        <f>HYPERLINK("https://ceds.ed.gov/cedselementdetails.aspx?termid=5644")</f>
        <v>https://ceds.ed.gov/cedselementdetails.aspx?termid=5644</v>
      </c>
      <c r="P1801" s="6" t="str">
        <f>HYPERLINK("https://ceds.ed.gov/elementComment.aspx?elementName=Address Type for Organization &amp;elementID=5644", "Click here to submit comment")</f>
        <v>Click here to submit comment</v>
      </c>
    </row>
    <row r="1802" spans="1:16" ht="225">
      <c r="A1802" s="6" t="s">
        <v>6788</v>
      </c>
      <c r="B1802" s="6" t="s">
        <v>6754</v>
      </c>
      <c r="C1802" s="6"/>
      <c r="D1802" s="6" t="s">
        <v>187</v>
      </c>
      <c r="E1802" s="6" t="s">
        <v>188</v>
      </c>
      <c r="F1802" s="6" t="s">
        <v>13</v>
      </c>
      <c r="G1802" s="6" t="s">
        <v>5973</v>
      </c>
      <c r="H1802" s="6" t="s">
        <v>3</v>
      </c>
      <c r="I1802" s="6" t="s">
        <v>149</v>
      </c>
      <c r="J1802" s="6"/>
      <c r="K1802" s="6"/>
      <c r="L1802" s="6" t="s">
        <v>189</v>
      </c>
      <c r="M1802" s="6"/>
      <c r="N1802" s="6" t="s">
        <v>190</v>
      </c>
      <c r="O1802" s="6" t="str">
        <f>HYPERLINK("https://ceds.ed.gov/cedselementdetails.aspx?termid=5269")</f>
        <v>https://ceds.ed.gov/cedselementdetails.aspx?termid=5269</v>
      </c>
      <c r="P1802" s="6" t="str">
        <f>HYPERLINK("https://ceds.ed.gov/elementComment.aspx?elementName=Address Street Number and Name &amp;elementID=5269", "Click here to submit comment")</f>
        <v>Click here to submit comment</v>
      </c>
    </row>
    <row r="1803" spans="1:16" ht="225">
      <c r="A1803" s="6" t="s">
        <v>6788</v>
      </c>
      <c r="B1803" s="6" t="s">
        <v>6754</v>
      </c>
      <c r="C1803" s="6"/>
      <c r="D1803" s="6" t="s">
        <v>170</v>
      </c>
      <c r="E1803" s="6" t="s">
        <v>171</v>
      </c>
      <c r="F1803" s="6" t="s">
        <v>13</v>
      </c>
      <c r="G1803" s="6" t="s">
        <v>5973</v>
      </c>
      <c r="H1803" s="6" t="s">
        <v>3</v>
      </c>
      <c r="I1803" s="6" t="s">
        <v>100</v>
      </c>
      <c r="J1803" s="6"/>
      <c r="K1803" s="6"/>
      <c r="L1803" s="6" t="s">
        <v>172</v>
      </c>
      <c r="M1803" s="6"/>
      <c r="N1803" s="6" t="s">
        <v>173</v>
      </c>
      <c r="O1803" s="6" t="str">
        <f>HYPERLINK("https://ceds.ed.gov/cedselementdetails.aspx?termid=5019")</f>
        <v>https://ceds.ed.gov/cedselementdetails.aspx?termid=5019</v>
      </c>
      <c r="P1803" s="6" t="str">
        <f>HYPERLINK("https://ceds.ed.gov/elementComment.aspx?elementName=Address Apartment Room or Suite Number &amp;elementID=5019", "Click here to submit comment")</f>
        <v>Click here to submit comment</v>
      </c>
    </row>
    <row r="1804" spans="1:16" ht="225">
      <c r="A1804" s="6" t="s">
        <v>6788</v>
      </c>
      <c r="B1804" s="6" t="s">
        <v>6754</v>
      </c>
      <c r="C1804" s="6"/>
      <c r="D1804" s="6" t="s">
        <v>174</v>
      </c>
      <c r="E1804" s="6" t="s">
        <v>175</v>
      </c>
      <c r="F1804" s="6" t="s">
        <v>13</v>
      </c>
      <c r="G1804" s="6" t="s">
        <v>5973</v>
      </c>
      <c r="H1804" s="6" t="s">
        <v>3</v>
      </c>
      <c r="I1804" s="6" t="s">
        <v>100</v>
      </c>
      <c r="J1804" s="6"/>
      <c r="K1804" s="6"/>
      <c r="L1804" s="6" t="s">
        <v>176</v>
      </c>
      <c r="M1804" s="6"/>
      <c r="N1804" s="6" t="s">
        <v>177</v>
      </c>
      <c r="O1804" s="6" t="str">
        <f>HYPERLINK("https://ceds.ed.gov/cedselementdetails.aspx?termid=5040")</f>
        <v>https://ceds.ed.gov/cedselementdetails.aspx?termid=5040</v>
      </c>
      <c r="P1804" s="6" t="str">
        <f>HYPERLINK("https://ceds.ed.gov/elementComment.aspx?elementName=Address City &amp;elementID=5040", "Click here to submit comment")</f>
        <v>Click here to submit comment</v>
      </c>
    </row>
    <row r="1805" spans="1:16" ht="409.5">
      <c r="A1805" s="6" t="s">
        <v>6788</v>
      </c>
      <c r="B1805" s="6" t="s">
        <v>6754</v>
      </c>
      <c r="C1805" s="6"/>
      <c r="D1805" s="6" t="s">
        <v>5533</v>
      </c>
      <c r="E1805" s="6" t="s">
        <v>5534</v>
      </c>
      <c r="F1805" s="7" t="s">
        <v>6633</v>
      </c>
      <c r="G1805" s="6" t="s">
        <v>6324</v>
      </c>
      <c r="H1805" s="6" t="s">
        <v>3</v>
      </c>
      <c r="I1805" s="6"/>
      <c r="J1805" s="6"/>
      <c r="K1805" s="6"/>
      <c r="L1805" s="6" t="s">
        <v>5535</v>
      </c>
      <c r="M1805" s="6"/>
      <c r="N1805" s="6" t="s">
        <v>5536</v>
      </c>
      <c r="O1805" s="6" t="str">
        <f>HYPERLINK("https://ceds.ed.gov/cedselementdetails.aspx?termid=5267")</f>
        <v>https://ceds.ed.gov/cedselementdetails.aspx?termid=5267</v>
      </c>
      <c r="P1805" s="6" t="str">
        <f>HYPERLINK("https://ceds.ed.gov/elementComment.aspx?elementName=State Abbreviation &amp;elementID=5267", "Click here to submit comment")</f>
        <v>Click here to submit comment</v>
      </c>
    </row>
    <row r="1806" spans="1:16" ht="225">
      <c r="A1806" s="6" t="s">
        <v>6788</v>
      </c>
      <c r="B1806" s="6" t="s">
        <v>6754</v>
      </c>
      <c r="C1806" s="6"/>
      <c r="D1806" s="6" t="s">
        <v>182</v>
      </c>
      <c r="E1806" s="6" t="s">
        <v>183</v>
      </c>
      <c r="F1806" s="6" t="s">
        <v>13</v>
      </c>
      <c r="G1806" s="6" t="s">
        <v>5973</v>
      </c>
      <c r="H1806" s="6" t="s">
        <v>3</v>
      </c>
      <c r="I1806" s="6" t="s">
        <v>184</v>
      </c>
      <c r="J1806" s="6"/>
      <c r="K1806" s="6"/>
      <c r="L1806" s="6" t="s">
        <v>185</v>
      </c>
      <c r="M1806" s="6"/>
      <c r="N1806" s="6" t="s">
        <v>186</v>
      </c>
      <c r="O1806" s="6" t="str">
        <f>HYPERLINK("https://ceds.ed.gov/cedselementdetails.aspx?termid=5214")</f>
        <v>https://ceds.ed.gov/cedselementdetails.aspx?termid=5214</v>
      </c>
      <c r="P1806" s="6" t="str">
        <f>HYPERLINK("https://ceds.ed.gov/elementComment.aspx?elementName=Address Postal Code &amp;elementID=5214", "Click here to submit comment")</f>
        <v>Click here to submit comment</v>
      </c>
    </row>
    <row r="1807" spans="1:16" ht="225">
      <c r="A1807" s="6" t="s">
        <v>6788</v>
      </c>
      <c r="B1807" s="6" t="s">
        <v>6754</v>
      </c>
      <c r="C1807" s="6"/>
      <c r="D1807" s="6" t="s">
        <v>178</v>
      </c>
      <c r="E1807" s="6" t="s">
        <v>179</v>
      </c>
      <c r="F1807" s="6" t="s">
        <v>13</v>
      </c>
      <c r="G1807" s="6" t="s">
        <v>5973</v>
      </c>
      <c r="H1807" s="6" t="s">
        <v>3</v>
      </c>
      <c r="I1807" s="6" t="s">
        <v>100</v>
      </c>
      <c r="J1807" s="6"/>
      <c r="K1807" s="6"/>
      <c r="L1807" s="6" t="s">
        <v>180</v>
      </c>
      <c r="M1807" s="6"/>
      <c r="N1807" s="6" t="s">
        <v>181</v>
      </c>
      <c r="O1807" s="6" t="str">
        <f>HYPERLINK("https://ceds.ed.gov/cedselementdetails.aspx?termid=5190")</f>
        <v>https://ceds.ed.gov/cedselementdetails.aspx?termid=5190</v>
      </c>
      <c r="P1807" s="6" t="str">
        <f>HYPERLINK("https://ceds.ed.gov/elementComment.aspx?elementName=Address County Name &amp;elementID=5190", "Click here to submit comment")</f>
        <v>Click here to submit comment</v>
      </c>
    </row>
    <row r="1808" spans="1:16" ht="30">
      <c r="A1808" s="6" t="s">
        <v>6788</v>
      </c>
      <c r="B1808" s="6" t="s">
        <v>6754</v>
      </c>
      <c r="C1808" s="6"/>
      <c r="D1808" s="6" t="s">
        <v>2602</v>
      </c>
      <c r="E1808" s="6" t="s">
        <v>2603</v>
      </c>
      <c r="F1808" s="6" t="s">
        <v>13</v>
      </c>
      <c r="G1808" s="6"/>
      <c r="H1808" s="6"/>
      <c r="I1808" s="6" t="s">
        <v>106</v>
      </c>
      <c r="J1808" s="6"/>
      <c r="K1808" s="6"/>
      <c r="L1808" s="6" t="s">
        <v>2604</v>
      </c>
      <c r="M1808" s="6"/>
      <c r="N1808" s="6" t="s">
        <v>2605</v>
      </c>
      <c r="O1808" s="6" t="str">
        <f>HYPERLINK("https://ceds.ed.gov/cedselementdetails.aspx?termid=6172")</f>
        <v>https://ceds.ed.gov/cedselementdetails.aspx?termid=6172</v>
      </c>
      <c r="P1808" s="6" t="str">
        <f>HYPERLINK("https://ceds.ed.gov/elementComment.aspx?elementName=Facility Building Name &amp;elementID=6172", "Click here to submit comment")</f>
        <v>Click here to submit comment</v>
      </c>
    </row>
    <row r="1809" spans="1:16" ht="409.5">
      <c r="A1809" s="6" t="s">
        <v>6788</v>
      </c>
      <c r="B1809" s="6" t="s">
        <v>6754</v>
      </c>
      <c r="C1809" s="6"/>
      <c r="D1809" s="6" t="s">
        <v>1507</v>
      </c>
      <c r="E1809" s="6" t="s">
        <v>1508</v>
      </c>
      <c r="F1809" s="7" t="s">
        <v>6411</v>
      </c>
      <c r="G1809" s="6"/>
      <c r="H1809" s="6"/>
      <c r="I1809" s="6"/>
      <c r="J1809" s="6"/>
      <c r="K1809" s="6"/>
      <c r="L1809" s="6" t="s">
        <v>1510</v>
      </c>
      <c r="M1809" s="6"/>
      <c r="N1809" s="6" t="s">
        <v>1511</v>
      </c>
      <c r="O1809" s="6" t="str">
        <f>HYPERLINK("https://ceds.ed.gov/cedselementdetails.aspx?termid=6173")</f>
        <v>https://ceds.ed.gov/cedselementdetails.aspx?termid=6173</v>
      </c>
      <c r="P1809" s="6" t="str">
        <f>HYPERLINK("https://ceds.ed.gov/elementComment.aspx?elementName=Building Use Type &amp;elementID=6173", "Click here to submit comment")</f>
        <v>Click here to submit comment</v>
      </c>
    </row>
    <row r="1810" spans="1:16" ht="45">
      <c r="A1810" s="6" t="s">
        <v>6788</v>
      </c>
      <c r="B1810" s="6" t="s">
        <v>6754</v>
      </c>
      <c r="C1810" s="6"/>
      <c r="D1810" s="6" t="s">
        <v>2615</v>
      </c>
      <c r="E1810" s="6" t="s">
        <v>2616</v>
      </c>
      <c r="F1810" s="6" t="s">
        <v>13</v>
      </c>
      <c r="G1810" s="6"/>
      <c r="H1810" s="6"/>
      <c r="I1810" s="6" t="s">
        <v>93</v>
      </c>
      <c r="J1810" s="6"/>
      <c r="K1810" s="6"/>
      <c r="L1810" s="6" t="s">
        <v>2617</v>
      </c>
      <c r="M1810" s="6"/>
      <c r="N1810" s="6" t="s">
        <v>2618</v>
      </c>
      <c r="O1810" s="6" t="str">
        <f>HYPERLINK("https://ceds.ed.gov/cedselementdetails.aspx?termid=6174")</f>
        <v>https://ceds.ed.gov/cedselementdetails.aspx?termid=6174</v>
      </c>
      <c r="P1810" s="6" t="str">
        <f>HYPERLINK("https://ceds.ed.gov/elementComment.aspx?elementName=Facility Space Description &amp;elementID=6174", "Click here to submit comment")</f>
        <v>Click here to submit comment</v>
      </c>
    </row>
    <row r="1811" spans="1:16" ht="315">
      <c r="A1811" s="6" t="s">
        <v>6788</v>
      </c>
      <c r="B1811" s="6" t="s">
        <v>6754</v>
      </c>
      <c r="C1811" s="6"/>
      <c r="D1811" s="6" t="s">
        <v>2619</v>
      </c>
      <c r="E1811" s="6" t="s">
        <v>2620</v>
      </c>
      <c r="F1811" s="7" t="s">
        <v>6504</v>
      </c>
      <c r="G1811" s="6"/>
      <c r="H1811" s="6"/>
      <c r="I1811" s="6"/>
      <c r="J1811" s="6"/>
      <c r="K1811" s="6"/>
      <c r="L1811" s="6" t="s">
        <v>2621</v>
      </c>
      <c r="M1811" s="6"/>
      <c r="N1811" s="6" t="s">
        <v>2622</v>
      </c>
      <c r="O1811" s="6" t="str">
        <f>HYPERLINK("https://ceds.ed.gov/cedselementdetails.aspx?termid=6175")</f>
        <v>https://ceds.ed.gov/cedselementdetails.aspx?termid=6175</v>
      </c>
      <c r="P1811" s="6" t="str">
        <f>HYPERLINK("https://ceds.ed.gov/elementComment.aspx?elementName=Facility Space Use Type &amp;elementID=6175", "Click here to submit comment")</f>
        <v>Click here to submit comment</v>
      </c>
    </row>
    <row r="1812" spans="1:16" ht="225">
      <c r="A1812" s="6" t="s">
        <v>6869</v>
      </c>
      <c r="B1812" s="6" t="s">
        <v>6870</v>
      </c>
      <c r="C1812" s="6" t="s">
        <v>6790</v>
      </c>
      <c r="D1812" s="6" t="s">
        <v>4189</v>
      </c>
      <c r="E1812" s="6" t="s">
        <v>4190</v>
      </c>
      <c r="F1812" s="6" t="s">
        <v>13</v>
      </c>
      <c r="G1812" s="6" t="s">
        <v>6257</v>
      </c>
      <c r="H1812" s="6"/>
      <c r="I1812" s="6" t="s">
        <v>106</v>
      </c>
      <c r="J1812" s="6"/>
      <c r="K1812" s="6"/>
      <c r="L1812" s="6" t="s">
        <v>4191</v>
      </c>
      <c r="M1812" s="6"/>
      <c r="N1812" s="6" t="s">
        <v>4192</v>
      </c>
      <c r="O1812" s="6" t="str">
        <f>HYPERLINK("https://ceds.ed.gov/cedselementdetails.aspx?termid=5191")</f>
        <v>https://ceds.ed.gov/cedselementdetails.aspx?termid=5191</v>
      </c>
      <c r="P1812" s="6" t="str">
        <f>HYPERLINK("https://ceds.ed.gov/elementComment.aspx?elementName=Name of Institution &amp;elementID=5191", "Click here to submit comment")</f>
        <v>Click here to submit comment</v>
      </c>
    </row>
    <row r="1813" spans="1:16" ht="180">
      <c r="A1813" s="6" t="s">
        <v>6869</v>
      </c>
      <c r="B1813" s="6" t="s">
        <v>6870</v>
      </c>
      <c r="C1813" s="6" t="s">
        <v>6790</v>
      </c>
      <c r="D1813" s="6" t="s">
        <v>4312</v>
      </c>
      <c r="E1813" s="6" t="s">
        <v>4313</v>
      </c>
      <c r="F1813" s="6" t="s">
        <v>13</v>
      </c>
      <c r="G1813" s="6"/>
      <c r="H1813" s="6"/>
      <c r="I1813" s="6" t="s">
        <v>4314</v>
      </c>
      <c r="J1813" s="6"/>
      <c r="K1813" s="6"/>
      <c r="L1813" s="6" t="s">
        <v>4315</v>
      </c>
      <c r="M1813" s="6" t="s">
        <v>4316</v>
      </c>
      <c r="N1813" s="6" t="s">
        <v>4316</v>
      </c>
      <c r="O1813" s="6" t="str">
        <f>HYPERLINK("https://ceds.ed.gov/cedselementdetails.aspx?termid=5203")</f>
        <v>https://ceds.ed.gov/cedselementdetails.aspx?termid=5203</v>
      </c>
      <c r="P1813" s="6" t="str">
        <f>HYPERLINK("https://ceds.ed.gov/elementComment.aspx?elementName=Office of Postsecondary Education Identifier &amp;elementID=5203", "Click here to submit comment")</f>
        <v>Click here to submit comment</v>
      </c>
    </row>
    <row r="1814" spans="1:16" ht="135">
      <c r="A1814" s="6" t="s">
        <v>6869</v>
      </c>
      <c r="B1814" s="6" t="s">
        <v>6870</v>
      </c>
      <c r="C1814" s="6" t="s">
        <v>6790</v>
      </c>
      <c r="D1814" s="6" t="s">
        <v>2665</v>
      </c>
      <c r="E1814" s="6" t="s">
        <v>2666</v>
      </c>
      <c r="F1814" s="6" t="s">
        <v>2667</v>
      </c>
      <c r="G1814" s="6" t="s">
        <v>1537</v>
      </c>
      <c r="H1814" s="6"/>
      <c r="I1814" s="6"/>
      <c r="J1814" s="6"/>
      <c r="K1814" s="6"/>
      <c r="L1814" s="6" t="s">
        <v>2668</v>
      </c>
      <c r="M1814" s="6"/>
      <c r="N1814" s="6" t="s">
        <v>2669</v>
      </c>
      <c r="O1814" s="6" t="str">
        <f>HYPERLINK("https://ceds.ed.gov/cedselementdetails.aspx?termid=5111")</f>
        <v>https://ceds.ed.gov/cedselementdetails.aspx?termid=5111</v>
      </c>
      <c r="P1814" s="6" t="str">
        <f>HYPERLINK("https://ceds.ed.gov/elementComment.aspx?elementName=Federal School Code &amp;elementID=5111", "Click here to submit comment")</f>
        <v>Click here to submit comment</v>
      </c>
    </row>
    <row r="1815" spans="1:16" ht="105">
      <c r="A1815" s="6" t="s">
        <v>6869</v>
      </c>
      <c r="B1815" s="6" t="s">
        <v>6870</v>
      </c>
      <c r="C1815" s="6" t="s">
        <v>6790</v>
      </c>
      <c r="D1815" s="6" t="s">
        <v>3963</v>
      </c>
      <c r="E1815" s="6" t="s">
        <v>3964</v>
      </c>
      <c r="F1815" s="7" t="s">
        <v>6572</v>
      </c>
      <c r="G1815" s="6" t="s">
        <v>6093</v>
      </c>
      <c r="H1815" s="6"/>
      <c r="I1815" s="6"/>
      <c r="J1815" s="6"/>
      <c r="K1815" s="6"/>
      <c r="L1815" s="6" t="s">
        <v>3965</v>
      </c>
      <c r="M1815" s="6"/>
      <c r="N1815" s="6" t="s">
        <v>3966</v>
      </c>
      <c r="O1815" s="6" t="str">
        <f>HYPERLINK("https://ceds.ed.gov/cedselementdetails.aspx?termid=5178")</f>
        <v>https://ceds.ed.gov/cedselementdetails.aspx?termid=5178</v>
      </c>
      <c r="P1815" s="6" t="str">
        <f>HYPERLINK("https://ceds.ed.gov/elementComment.aspx?elementName=Level of Institution &amp;elementID=5178", "Click here to submit comment")</f>
        <v>Click here to submit comment</v>
      </c>
    </row>
    <row r="1816" spans="1:16" ht="105">
      <c r="A1816" s="6" t="s">
        <v>6869</v>
      </c>
      <c r="B1816" s="6" t="s">
        <v>6870</v>
      </c>
      <c r="C1816" s="6" t="s">
        <v>6790</v>
      </c>
      <c r="D1816" s="6" t="s">
        <v>1788</v>
      </c>
      <c r="E1816" s="6" t="s">
        <v>1789</v>
      </c>
      <c r="F1816" s="7" t="s">
        <v>6430</v>
      </c>
      <c r="G1816" s="6" t="s">
        <v>6093</v>
      </c>
      <c r="H1816" s="6"/>
      <c r="I1816" s="6"/>
      <c r="J1816" s="6"/>
      <c r="K1816" s="6"/>
      <c r="L1816" s="6" t="s">
        <v>1790</v>
      </c>
      <c r="M1816" s="6"/>
      <c r="N1816" s="6" t="s">
        <v>1791</v>
      </c>
      <c r="O1816" s="6" t="str">
        <f>HYPERLINK("https://ceds.ed.gov/cedselementdetails.aspx?termid=5048")</f>
        <v>https://ceds.ed.gov/cedselementdetails.aspx?termid=5048</v>
      </c>
      <c r="P1816" s="6" t="str">
        <f>HYPERLINK("https://ceds.ed.gov/elementComment.aspx?elementName=Control of Institution &amp;elementID=5048", "Click here to submit comment")</f>
        <v>Click here to submit comment</v>
      </c>
    </row>
    <row r="1817" spans="1:16" ht="409.5">
      <c r="A1817" s="6" t="s">
        <v>6869</v>
      </c>
      <c r="B1817" s="6" t="s">
        <v>6870</v>
      </c>
      <c r="C1817" s="6" t="s">
        <v>6790</v>
      </c>
      <c r="D1817" s="6" t="s">
        <v>1604</v>
      </c>
      <c r="E1817" s="6" t="s">
        <v>1605</v>
      </c>
      <c r="F1817" s="7" t="s">
        <v>6418</v>
      </c>
      <c r="G1817" s="6" t="s">
        <v>6093</v>
      </c>
      <c r="H1817" s="6" t="s">
        <v>66</v>
      </c>
      <c r="I1817" s="6"/>
      <c r="J1817" s="6" t="s">
        <v>1607</v>
      </c>
      <c r="K1817" s="6"/>
      <c r="L1817" s="6" t="s">
        <v>1608</v>
      </c>
      <c r="M1817" s="6"/>
      <c r="N1817" s="6" t="s">
        <v>1609</v>
      </c>
      <c r="O1817" s="6" t="str">
        <f>HYPERLINK("https://ceds.ed.gov/cedselementdetails.aspx?termid=5038")</f>
        <v>https://ceds.ed.gov/cedselementdetails.aspx?termid=5038</v>
      </c>
      <c r="P1817" s="6" t="str">
        <f>HYPERLINK("https://ceds.ed.gov/elementComment.aspx?elementName=Carnegie Basic Classification &amp;elementID=5038", "Click here to submit comment")</f>
        <v>Click here to submit comment</v>
      </c>
    </row>
    <row r="1818" spans="1:16" ht="30">
      <c r="A1818" s="6" t="s">
        <v>6869</v>
      </c>
      <c r="B1818" s="6" t="s">
        <v>6870</v>
      </c>
      <c r="C1818" s="6" t="s">
        <v>6790</v>
      </c>
      <c r="D1818" s="6" t="s">
        <v>5325</v>
      </c>
      <c r="E1818" s="6" t="s">
        <v>5326</v>
      </c>
      <c r="F1818" s="6" t="s">
        <v>13</v>
      </c>
      <c r="G1818" s="6" t="s">
        <v>6093</v>
      </c>
      <c r="H1818" s="6"/>
      <c r="I1818" s="6" t="s">
        <v>2191</v>
      </c>
      <c r="J1818" s="6"/>
      <c r="K1818" s="6"/>
      <c r="L1818" s="6" t="s">
        <v>5327</v>
      </c>
      <c r="M1818" s="6"/>
      <c r="N1818" s="6" t="s">
        <v>5328</v>
      </c>
      <c r="O1818" s="6" t="str">
        <f>HYPERLINK("https://ceds.ed.gov/cedselementdetails.aspx?termid=5252")</f>
        <v>https://ceds.ed.gov/cedselementdetails.aspx?termid=5252</v>
      </c>
      <c r="P1818" s="6" t="str">
        <f>HYPERLINK("https://ceds.ed.gov/elementComment.aspx?elementName=Session Designator &amp;elementID=5252", "Click here to submit comment")</f>
        <v>Click here to submit comment</v>
      </c>
    </row>
    <row r="1819" spans="1:16" ht="180">
      <c r="A1819" s="6" t="s">
        <v>6869</v>
      </c>
      <c r="B1819" s="6" t="s">
        <v>6870</v>
      </c>
      <c r="C1819" s="6" t="s">
        <v>6790</v>
      </c>
      <c r="D1819" s="6" t="s">
        <v>4554</v>
      </c>
      <c r="E1819" s="6" t="s">
        <v>4555</v>
      </c>
      <c r="F1819" s="7" t="s">
        <v>6603</v>
      </c>
      <c r="G1819" s="6" t="s">
        <v>6283</v>
      </c>
      <c r="H1819" s="6"/>
      <c r="I1819" s="6"/>
      <c r="J1819" s="6"/>
      <c r="K1819" s="6" t="s">
        <v>4556</v>
      </c>
      <c r="L1819" s="6" t="s">
        <v>4557</v>
      </c>
      <c r="M1819" s="6"/>
      <c r="N1819" s="6" t="s">
        <v>4558</v>
      </c>
      <c r="O1819" s="6" t="str">
        <f>HYPERLINK("https://ceds.ed.gov/cedselementdetails.aspx?termid=5705")</f>
        <v>https://ceds.ed.gov/cedselementdetails.aspx?termid=5705</v>
      </c>
      <c r="P1819" s="6" t="str">
        <f>HYPERLINK("https://ceds.ed.gov/elementComment.aspx?elementName=Predominant Calendar System &amp;elementID=5705", "Click here to submit comment")</f>
        <v>Click here to submit comment</v>
      </c>
    </row>
    <row r="1820" spans="1:16" ht="45">
      <c r="A1820" s="6" t="s">
        <v>6869</v>
      </c>
      <c r="B1820" s="6" t="s">
        <v>6870</v>
      </c>
      <c r="C1820" s="6" t="s">
        <v>6790</v>
      </c>
      <c r="D1820" s="6" t="s">
        <v>5736</v>
      </c>
      <c r="E1820" s="6" t="s">
        <v>5737</v>
      </c>
      <c r="F1820" s="6" t="s">
        <v>5963</v>
      </c>
      <c r="G1820" s="6" t="s">
        <v>36</v>
      </c>
      <c r="H1820" s="6"/>
      <c r="I1820" s="6"/>
      <c r="J1820" s="6"/>
      <c r="K1820" s="6"/>
      <c r="L1820" s="6" t="s">
        <v>5738</v>
      </c>
      <c r="M1820" s="6"/>
      <c r="N1820" s="6" t="s">
        <v>5739</v>
      </c>
      <c r="O1820" s="6" t="str">
        <f>HYPERLINK("https://ceds.ed.gov/cedselementdetails.aspx?termid=5715")</f>
        <v>https://ceds.ed.gov/cedselementdetails.aspx?termid=5715</v>
      </c>
      <c r="P1820" s="6" t="str">
        <f>HYPERLINK("https://ceds.ed.gov/elementComment.aspx?elementName=Tenure System &amp;elementID=5715", "Click here to submit comment")</f>
        <v>Click here to submit comment</v>
      </c>
    </row>
    <row r="1821" spans="1:16" ht="90">
      <c r="A1821" s="6" t="s">
        <v>6869</v>
      </c>
      <c r="B1821" s="6" t="s">
        <v>6870</v>
      </c>
      <c r="C1821" s="6" t="s">
        <v>6790</v>
      </c>
      <c r="D1821" s="6" t="s">
        <v>5361</v>
      </c>
      <c r="E1821" s="6" t="s">
        <v>5362</v>
      </c>
      <c r="F1821" s="6" t="s">
        <v>13</v>
      </c>
      <c r="G1821" s="6"/>
      <c r="H1821" s="6" t="s">
        <v>54</v>
      </c>
      <c r="I1821" s="6" t="s">
        <v>100</v>
      </c>
      <c r="J1821" s="6"/>
      <c r="K1821" s="6" t="s">
        <v>5363</v>
      </c>
      <c r="L1821" s="6" t="s">
        <v>5364</v>
      </c>
      <c r="M1821" s="6"/>
      <c r="N1821" s="6" t="s">
        <v>5365</v>
      </c>
      <c r="O1821" s="6" t="str">
        <f>HYPERLINK("https://ceds.ed.gov/cedselementdetails.aspx?termid=6459")</f>
        <v>https://ceds.ed.gov/cedselementdetails.aspx?termid=6459</v>
      </c>
      <c r="P1821" s="6" t="str">
        <f>HYPERLINK("https://ceds.ed.gov/elementComment.aspx?elementName=Short Name of Institution &amp;elementID=6459", "Click here to submit comment")</f>
        <v>Click here to submit comment</v>
      </c>
    </row>
    <row r="1822" spans="1:16" ht="105">
      <c r="A1822" s="6" t="s">
        <v>6869</v>
      </c>
      <c r="B1822" s="6" t="s">
        <v>6870</v>
      </c>
      <c r="C1822" s="6" t="s">
        <v>6790</v>
      </c>
      <c r="D1822" s="6" t="s">
        <v>5875</v>
      </c>
      <c r="E1822" s="6" t="s">
        <v>5876</v>
      </c>
      <c r="F1822" s="6" t="s">
        <v>5963</v>
      </c>
      <c r="G1822" s="6"/>
      <c r="H1822" s="6"/>
      <c r="I1822" s="6"/>
      <c r="J1822" s="6"/>
      <c r="K1822" s="6"/>
      <c r="L1822" s="6" t="s">
        <v>5877</v>
      </c>
      <c r="M1822" s="6"/>
      <c r="N1822" s="6" t="s">
        <v>5878</v>
      </c>
      <c r="O1822" s="6" t="str">
        <f>HYPERLINK("https://ceds.ed.gov/cedselementdetails.aspx?termid=6167")</f>
        <v>https://ceds.ed.gov/cedselementdetails.aspx?termid=6167</v>
      </c>
      <c r="P1822" s="6" t="str">
        <f>HYPERLINK("https://ceds.ed.gov/elementComment.aspx?elementName=Virtual Indicator &amp;elementID=6167", "Click here to submit comment")</f>
        <v>Click here to submit comment</v>
      </c>
    </row>
    <row r="1823" spans="1:16" ht="90">
      <c r="A1823" s="6" t="s">
        <v>6869</v>
      </c>
      <c r="B1823" s="6" t="s">
        <v>6870</v>
      </c>
      <c r="C1823" s="6" t="s">
        <v>6749</v>
      </c>
      <c r="D1823" s="6" t="s">
        <v>196</v>
      </c>
      <c r="E1823" s="6" t="s">
        <v>197</v>
      </c>
      <c r="F1823" s="7" t="s">
        <v>6354</v>
      </c>
      <c r="G1823" s="6" t="s">
        <v>5968</v>
      </c>
      <c r="H1823" s="6" t="s">
        <v>3</v>
      </c>
      <c r="I1823" s="6" t="s">
        <v>100</v>
      </c>
      <c r="J1823" s="6"/>
      <c r="K1823" s="6"/>
      <c r="L1823" s="6" t="s">
        <v>198</v>
      </c>
      <c r="M1823" s="6"/>
      <c r="N1823" s="6" t="s">
        <v>199</v>
      </c>
      <c r="O1823" s="6" t="str">
        <f>HYPERLINK("https://ceds.ed.gov/cedselementdetails.aspx?termid=5644")</f>
        <v>https://ceds.ed.gov/cedselementdetails.aspx?termid=5644</v>
      </c>
      <c r="P1823" s="6" t="str">
        <f>HYPERLINK("https://ceds.ed.gov/elementComment.aspx?elementName=Address Type for Organization &amp;elementID=5644", "Click here to submit comment")</f>
        <v>Click here to submit comment</v>
      </c>
    </row>
    <row r="1824" spans="1:16" ht="225">
      <c r="A1824" s="6" t="s">
        <v>6869</v>
      </c>
      <c r="B1824" s="6" t="s">
        <v>6870</v>
      </c>
      <c r="C1824" s="6" t="s">
        <v>6749</v>
      </c>
      <c r="D1824" s="6" t="s">
        <v>187</v>
      </c>
      <c r="E1824" s="6" t="s">
        <v>188</v>
      </c>
      <c r="F1824" s="6" t="s">
        <v>13</v>
      </c>
      <c r="G1824" s="6" t="s">
        <v>5973</v>
      </c>
      <c r="H1824" s="6" t="s">
        <v>3</v>
      </c>
      <c r="I1824" s="6" t="s">
        <v>149</v>
      </c>
      <c r="J1824" s="6"/>
      <c r="K1824" s="6"/>
      <c r="L1824" s="6" t="s">
        <v>189</v>
      </c>
      <c r="M1824" s="6"/>
      <c r="N1824" s="6" t="s">
        <v>190</v>
      </c>
      <c r="O1824" s="6" t="str">
        <f>HYPERLINK("https://ceds.ed.gov/cedselementdetails.aspx?termid=5269")</f>
        <v>https://ceds.ed.gov/cedselementdetails.aspx?termid=5269</v>
      </c>
      <c r="P1824" s="6" t="str">
        <f>HYPERLINK("https://ceds.ed.gov/elementComment.aspx?elementName=Address Street Number and Name &amp;elementID=5269", "Click here to submit comment")</f>
        <v>Click here to submit comment</v>
      </c>
    </row>
    <row r="1825" spans="1:16" ht="225">
      <c r="A1825" s="6" t="s">
        <v>6869</v>
      </c>
      <c r="B1825" s="6" t="s">
        <v>6870</v>
      </c>
      <c r="C1825" s="6" t="s">
        <v>6749</v>
      </c>
      <c r="D1825" s="6" t="s">
        <v>170</v>
      </c>
      <c r="E1825" s="6" t="s">
        <v>171</v>
      </c>
      <c r="F1825" s="6" t="s">
        <v>13</v>
      </c>
      <c r="G1825" s="6" t="s">
        <v>5973</v>
      </c>
      <c r="H1825" s="6" t="s">
        <v>3</v>
      </c>
      <c r="I1825" s="6" t="s">
        <v>100</v>
      </c>
      <c r="J1825" s="6"/>
      <c r="K1825" s="6"/>
      <c r="L1825" s="6" t="s">
        <v>172</v>
      </c>
      <c r="M1825" s="6"/>
      <c r="N1825" s="6" t="s">
        <v>173</v>
      </c>
      <c r="O1825" s="6" t="str">
        <f>HYPERLINK("https://ceds.ed.gov/cedselementdetails.aspx?termid=5019")</f>
        <v>https://ceds.ed.gov/cedselementdetails.aspx?termid=5019</v>
      </c>
      <c r="P1825" s="6" t="str">
        <f>HYPERLINK("https://ceds.ed.gov/elementComment.aspx?elementName=Address Apartment Room or Suite Number &amp;elementID=5019", "Click here to submit comment")</f>
        <v>Click here to submit comment</v>
      </c>
    </row>
    <row r="1826" spans="1:16" ht="225">
      <c r="A1826" s="6" t="s">
        <v>6869</v>
      </c>
      <c r="B1826" s="6" t="s">
        <v>6870</v>
      </c>
      <c r="C1826" s="6" t="s">
        <v>6749</v>
      </c>
      <c r="D1826" s="6" t="s">
        <v>174</v>
      </c>
      <c r="E1826" s="6" t="s">
        <v>175</v>
      </c>
      <c r="F1826" s="6" t="s">
        <v>13</v>
      </c>
      <c r="G1826" s="6" t="s">
        <v>5973</v>
      </c>
      <c r="H1826" s="6" t="s">
        <v>3</v>
      </c>
      <c r="I1826" s="6" t="s">
        <v>100</v>
      </c>
      <c r="J1826" s="6"/>
      <c r="K1826" s="6"/>
      <c r="L1826" s="6" t="s">
        <v>176</v>
      </c>
      <c r="M1826" s="6"/>
      <c r="N1826" s="6" t="s">
        <v>177</v>
      </c>
      <c r="O1826" s="6" t="str">
        <f>HYPERLINK("https://ceds.ed.gov/cedselementdetails.aspx?termid=5040")</f>
        <v>https://ceds.ed.gov/cedselementdetails.aspx?termid=5040</v>
      </c>
      <c r="P1826" s="6" t="str">
        <f>HYPERLINK("https://ceds.ed.gov/elementComment.aspx?elementName=Address City &amp;elementID=5040", "Click here to submit comment")</f>
        <v>Click here to submit comment</v>
      </c>
    </row>
    <row r="1827" spans="1:16" ht="409.5">
      <c r="A1827" s="6" t="s">
        <v>6869</v>
      </c>
      <c r="B1827" s="6" t="s">
        <v>6870</v>
      </c>
      <c r="C1827" s="6" t="s">
        <v>6749</v>
      </c>
      <c r="D1827" s="6" t="s">
        <v>5533</v>
      </c>
      <c r="E1827" s="6" t="s">
        <v>5534</v>
      </c>
      <c r="F1827" s="7" t="s">
        <v>6633</v>
      </c>
      <c r="G1827" s="6" t="s">
        <v>6324</v>
      </c>
      <c r="H1827" s="6" t="s">
        <v>3</v>
      </c>
      <c r="I1827" s="6"/>
      <c r="J1827" s="6"/>
      <c r="K1827" s="6"/>
      <c r="L1827" s="6" t="s">
        <v>5535</v>
      </c>
      <c r="M1827" s="6"/>
      <c r="N1827" s="6" t="s">
        <v>5536</v>
      </c>
      <c r="O1827" s="6" t="str">
        <f>HYPERLINK("https://ceds.ed.gov/cedselementdetails.aspx?termid=5267")</f>
        <v>https://ceds.ed.gov/cedselementdetails.aspx?termid=5267</v>
      </c>
      <c r="P1827" s="6" t="str">
        <f>HYPERLINK("https://ceds.ed.gov/elementComment.aspx?elementName=State Abbreviation &amp;elementID=5267", "Click here to submit comment")</f>
        <v>Click here to submit comment</v>
      </c>
    </row>
    <row r="1828" spans="1:16" ht="225">
      <c r="A1828" s="6" t="s">
        <v>6869</v>
      </c>
      <c r="B1828" s="6" t="s">
        <v>6870</v>
      </c>
      <c r="C1828" s="6" t="s">
        <v>6749</v>
      </c>
      <c r="D1828" s="6" t="s">
        <v>182</v>
      </c>
      <c r="E1828" s="6" t="s">
        <v>183</v>
      </c>
      <c r="F1828" s="6" t="s">
        <v>13</v>
      </c>
      <c r="G1828" s="6" t="s">
        <v>5973</v>
      </c>
      <c r="H1828" s="6" t="s">
        <v>3</v>
      </c>
      <c r="I1828" s="6" t="s">
        <v>184</v>
      </c>
      <c r="J1828" s="6"/>
      <c r="K1828" s="6"/>
      <c r="L1828" s="6" t="s">
        <v>185</v>
      </c>
      <c r="M1828" s="6"/>
      <c r="N1828" s="6" t="s">
        <v>186</v>
      </c>
      <c r="O1828" s="6" t="str">
        <f>HYPERLINK("https://ceds.ed.gov/cedselementdetails.aspx?termid=5214")</f>
        <v>https://ceds.ed.gov/cedselementdetails.aspx?termid=5214</v>
      </c>
      <c r="P1828" s="6" t="str">
        <f>HYPERLINK("https://ceds.ed.gov/elementComment.aspx?elementName=Address Postal Code &amp;elementID=5214", "Click here to submit comment")</f>
        <v>Click here to submit comment</v>
      </c>
    </row>
    <row r="1829" spans="1:16" ht="225">
      <c r="A1829" s="6" t="s">
        <v>6869</v>
      </c>
      <c r="B1829" s="6" t="s">
        <v>6870</v>
      </c>
      <c r="C1829" s="6" t="s">
        <v>6749</v>
      </c>
      <c r="D1829" s="6" t="s">
        <v>178</v>
      </c>
      <c r="E1829" s="6" t="s">
        <v>179</v>
      </c>
      <c r="F1829" s="6" t="s">
        <v>13</v>
      </c>
      <c r="G1829" s="6" t="s">
        <v>5973</v>
      </c>
      <c r="H1829" s="6" t="s">
        <v>3</v>
      </c>
      <c r="I1829" s="6" t="s">
        <v>100</v>
      </c>
      <c r="J1829" s="6"/>
      <c r="K1829" s="6"/>
      <c r="L1829" s="6" t="s">
        <v>180</v>
      </c>
      <c r="M1829" s="6"/>
      <c r="N1829" s="6" t="s">
        <v>181</v>
      </c>
      <c r="O1829" s="6" t="str">
        <f>HYPERLINK("https://ceds.ed.gov/cedselementdetails.aspx?termid=5190")</f>
        <v>https://ceds.ed.gov/cedselementdetails.aspx?termid=5190</v>
      </c>
      <c r="P1829" s="6" t="str">
        <f>HYPERLINK("https://ceds.ed.gov/elementComment.aspx?elementName=Address County Name &amp;elementID=5190", "Click here to submit comment")</f>
        <v>Click here to submit comment</v>
      </c>
    </row>
    <row r="1830" spans="1:16" ht="180">
      <c r="A1830" s="6" t="s">
        <v>6869</v>
      </c>
      <c r="B1830" s="6" t="s">
        <v>6870</v>
      </c>
      <c r="C1830" s="6" t="s">
        <v>6749</v>
      </c>
      <c r="D1830" s="6" t="s">
        <v>1817</v>
      </c>
      <c r="E1830" s="6" t="s">
        <v>1818</v>
      </c>
      <c r="F1830" s="6" t="s">
        <v>13</v>
      </c>
      <c r="G1830" s="6"/>
      <c r="H1830" s="6" t="s">
        <v>66</v>
      </c>
      <c r="I1830" s="6" t="s">
        <v>1819</v>
      </c>
      <c r="J1830" s="6" t="s">
        <v>1820</v>
      </c>
      <c r="K1830" s="6"/>
      <c r="L1830" s="6" t="s">
        <v>1821</v>
      </c>
      <c r="M1830" s="6"/>
      <c r="N1830" s="6" t="s">
        <v>1822</v>
      </c>
      <c r="O1830" s="6" t="str">
        <f>HYPERLINK("https://ceds.ed.gov/cedselementdetails.aspx?termid=6176")</f>
        <v>https://ceds.ed.gov/cedselementdetails.aspx?termid=6176</v>
      </c>
      <c r="P1830" s="6" t="str">
        <f>HYPERLINK("https://ceds.ed.gov/elementComment.aspx?elementName=County ANSI Code &amp;elementID=6176", "Click here to submit comment")</f>
        <v>Click here to submit comment</v>
      </c>
    </row>
    <row r="1831" spans="1:16" ht="75">
      <c r="A1831" s="6" t="s">
        <v>6869</v>
      </c>
      <c r="B1831" s="6" t="s">
        <v>6870</v>
      </c>
      <c r="C1831" s="6" t="s">
        <v>6749</v>
      </c>
      <c r="D1831" s="6" t="s">
        <v>3436</v>
      </c>
      <c r="E1831" s="6" t="s">
        <v>3437</v>
      </c>
      <c r="F1831" s="6" t="s">
        <v>13</v>
      </c>
      <c r="G1831" s="6"/>
      <c r="H1831" s="6"/>
      <c r="I1831" s="6" t="s">
        <v>1127</v>
      </c>
      <c r="J1831" s="6"/>
      <c r="K1831" s="6"/>
      <c r="L1831" s="6" t="s">
        <v>3438</v>
      </c>
      <c r="M1831" s="6"/>
      <c r="N1831" s="6" t="s">
        <v>3436</v>
      </c>
      <c r="O1831" s="6" t="str">
        <f>HYPERLINK("https://ceds.ed.gov/cedselementdetails.aspx?termid=5599")</f>
        <v>https://ceds.ed.gov/cedselementdetails.aspx?termid=5599</v>
      </c>
      <c r="P1831" s="6" t="str">
        <f>HYPERLINK("https://ceds.ed.gov/elementComment.aspx?elementName=Latitude &amp;elementID=5599", "Click here to submit comment")</f>
        <v>Click here to submit comment</v>
      </c>
    </row>
    <row r="1832" spans="1:16" ht="75">
      <c r="A1832" s="6" t="s">
        <v>6869</v>
      </c>
      <c r="B1832" s="6" t="s">
        <v>6870</v>
      </c>
      <c r="C1832" s="6" t="s">
        <v>6749</v>
      </c>
      <c r="D1832" s="6" t="s">
        <v>4053</v>
      </c>
      <c r="E1832" s="6" t="s">
        <v>4054</v>
      </c>
      <c r="F1832" s="6" t="s">
        <v>13</v>
      </c>
      <c r="G1832" s="6"/>
      <c r="H1832" s="6"/>
      <c r="I1832" s="6" t="s">
        <v>1127</v>
      </c>
      <c r="J1832" s="6"/>
      <c r="K1832" s="6"/>
      <c r="L1832" s="6" t="s">
        <v>4055</v>
      </c>
      <c r="M1832" s="6"/>
      <c r="N1832" s="6" t="s">
        <v>4053</v>
      </c>
      <c r="O1832" s="6" t="str">
        <f>HYPERLINK("https://ceds.ed.gov/cedselementdetails.aspx?termid=5600")</f>
        <v>https://ceds.ed.gov/cedselementdetails.aspx?termid=5600</v>
      </c>
      <c r="P1832" s="6" t="str">
        <f>HYPERLINK("https://ceds.ed.gov/elementComment.aspx?elementName=Longitude &amp;elementID=5600", "Click here to submit comment")</f>
        <v>Click here to submit comment</v>
      </c>
    </row>
    <row r="1833" spans="1:16" ht="75">
      <c r="A1833" s="6" t="s">
        <v>6869</v>
      </c>
      <c r="B1833" s="6" t="s">
        <v>6870</v>
      </c>
      <c r="C1833" s="6" t="s">
        <v>6871</v>
      </c>
      <c r="D1833" s="6" t="s">
        <v>3283</v>
      </c>
      <c r="E1833" s="6" t="s">
        <v>3284</v>
      </c>
      <c r="F1833" s="6" t="s">
        <v>13</v>
      </c>
      <c r="G1833" s="6" t="s">
        <v>5976</v>
      </c>
      <c r="H1833" s="6"/>
      <c r="I1833" s="6" t="s">
        <v>3285</v>
      </c>
      <c r="J1833" s="6"/>
      <c r="K1833" s="6"/>
      <c r="L1833" s="6" t="s">
        <v>3286</v>
      </c>
      <c r="M1833" s="6" t="s">
        <v>3287</v>
      </c>
      <c r="N1833" s="6" t="s">
        <v>3288</v>
      </c>
      <c r="O1833" s="6" t="str">
        <f>HYPERLINK("https://ceds.ed.gov/cedselementdetails.aspx?termid=5166")</f>
        <v>https://ceds.ed.gov/cedselementdetails.aspx?termid=5166</v>
      </c>
      <c r="P1833" s="6" t="str">
        <f>HYPERLINK("https://ceds.ed.gov/elementComment.aspx?elementName=Institution IPEDS UnitID &amp;elementID=5166", "Click here to submit comment")</f>
        <v>Click here to submit comment</v>
      </c>
    </row>
    <row r="1834" spans="1:16" ht="90">
      <c r="A1834" s="6" t="s">
        <v>6869</v>
      </c>
      <c r="B1834" s="6" t="s">
        <v>6870</v>
      </c>
      <c r="C1834" s="6" t="s">
        <v>6871</v>
      </c>
      <c r="D1834" s="6" t="s">
        <v>5841</v>
      </c>
      <c r="E1834" s="6" t="s">
        <v>5842</v>
      </c>
      <c r="F1834" s="6" t="s">
        <v>13</v>
      </c>
      <c r="G1834" s="6" t="s">
        <v>1495</v>
      </c>
      <c r="H1834" s="6"/>
      <c r="I1834" s="6" t="s">
        <v>1461</v>
      </c>
      <c r="J1834" s="6"/>
      <c r="K1834" s="6" t="s">
        <v>5843</v>
      </c>
      <c r="L1834" s="6" t="s">
        <v>5844</v>
      </c>
      <c r="M1834" s="6"/>
      <c r="N1834" s="6" t="s">
        <v>5845</v>
      </c>
      <c r="O1834" s="6" t="str">
        <f>HYPERLINK("https://ceds.ed.gov/cedselementdetails.aspx?termid=5723")</f>
        <v>https://ceds.ed.gov/cedselementdetails.aspx?termid=5723</v>
      </c>
      <c r="P1834" s="6" t="str">
        <f>HYPERLINK("https://ceds.ed.gov/elementComment.aspx?elementName=Tuition - Published &amp;elementID=5723", "Click here to submit comment")</f>
        <v>Click here to submit comment</v>
      </c>
    </row>
    <row r="1835" spans="1:16" ht="90">
      <c r="A1835" s="6" t="s">
        <v>6869</v>
      </c>
      <c r="B1835" s="6" t="s">
        <v>6870</v>
      </c>
      <c r="C1835" s="6" t="s">
        <v>6871</v>
      </c>
      <c r="D1835" s="6" t="s">
        <v>5850</v>
      </c>
      <c r="E1835" s="6" t="s">
        <v>5851</v>
      </c>
      <c r="F1835" s="7" t="s">
        <v>6687</v>
      </c>
      <c r="G1835" s="6" t="s">
        <v>1495</v>
      </c>
      <c r="H1835" s="6"/>
      <c r="I1835" s="6"/>
      <c r="J1835" s="6"/>
      <c r="K1835" s="6" t="s">
        <v>358</v>
      </c>
      <c r="L1835" s="6" t="s">
        <v>5852</v>
      </c>
      <c r="M1835" s="6"/>
      <c r="N1835" s="6" t="s">
        <v>5853</v>
      </c>
      <c r="O1835" s="6" t="str">
        <f>HYPERLINK("https://ceds.ed.gov/cedselementdetails.aspx?termid=5725")</f>
        <v>https://ceds.ed.gov/cedselementdetails.aspx?termid=5725</v>
      </c>
      <c r="P1835" s="6" t="str">
        <f>HYPERLINK("https://ceds.ed.gov/elementComment.aspx?elementName=Tuition Unit &amp;elementID=5725", "Click here to submit comment")</f>
        <v>Click here to submit comment</v>
      </c>
    </row>
    <row r="1836" spans="1:16" ht="45">
      <c r="A1836" s="6" t="s">
        <v>6869</v>
      </c>
      <c r="B1836" s="6" t="s">
        <v>6870</v>
      </c>
      <c r="C1836" s="6" t="s">
        <v>6871</v>
      </c>
      <c r="D1836" s="6" t="s">
        <v>1492</v>
      </c>
      <c r="E1836" s="6" t="s">
        <v>1493</v>
      </c>
      <c r="F1836" s="6" t="s">
        <v>13</v>
      </c>
      <c r="G1836" s="6" t="s">
        <v>1495</v>
      </c>
      <c r="H1836" s="6"/>
      <c r="I1836" s="6" t="s">
        <v>1461</v>
      </c>
      <c r="J1836" s="6"/>
      <c r="K1836" s="6" t="s">
        <v>358</v>
      </c>
      <c r="L1836" s="6" t="s">
        <v>1496</v>
      </c>
      <c r="M1836" s="6"/>
      <c r="N1836" s="6" t="s">
        <v>1497</v>
      </c>
      <c r="O1836" s="6" t="str">
        <f>HYPERLINK("https://ceds.ed.gov/cedselementdetails.aspx?termid=5729")</f>
        <v>https://ceds.ed.gov/cedselementdetails.aspx?termid=5729</v>
      </c>
      <c r="P1836" s="6" t="str">
        <f>HYPERLINK("https://ceds.ed.gov/elementComment.aspx?elementName=Board Charges &amp;elementID=5729", "Click here to submit comment")</f>
        <v>Click here to submit comment</v>
      </c>
    </row>
    <row r="1837" spans="1:16" ht="60">
      <c r="A1837" s="6" t="s">
        <v>6869</v>
      </c>
      <c r="B1837" s="6" t="s">
        <v>6870</v>
      </c>
      <c r="C1837" s="6" t="s">
        <v>6871</v>
      </c>
      <c r="D1837" s="6" t="s">
        <v>5078</v>
      </c>
      <c r="E1837" s="6" t="s">
        <v>5079</v>
      </c>
      <c r="F1837" s="6" t="s">
        <v>13</v>
      </c>
      <c r="G1837" s="6" t="s">
        <v>1495</v>
      </c>
      <c r="H1837" s="6"/>
      <c r="I1837" s="6" t="s">
        <v>1461</v>
      </c>
      <c r="J1837" s="6"/>
      <c r="K1837" s="6" t="s">
        <v>358</v>
      </c>
      <c r="L1837" s="6" t="s">
        <v>5080</v>
      </c>
      <c r="M1837" s="6"/>
      <c r="N1837" s="6" t="s">
        <v>5081</v>
      </c>
      <c r="O1837" s="6" t="str">
        <f>HYPERLINK("https://ceds.ed.gov/cedselementdetails.aspx?termid=5728")</f>
        <v>https://ceds.ed.gov/cedselementdetails.aspx?termid=5728</v>
      </c>
      <c r="P1837" s="6" t="str">
        <f>HYPERLINK("https://ceds.ed.gov/elementComment.aspx?elementName=Room Charges &amp;elementID=5728", "Click here to submit comment")</f>
        <v>Click here to submit comment</v>
      </c>
    </row>
    <row r="1838" spans="1:16" ht="120">
      <c r="A1838" s="6" t="s">
        <v>6869</v>
      </c>
      <c r="B1838" s="6" t="s">
        <v>6870</v>
      </c>
      <c r="C1838" s="6" t="s">
        <v>6871</v>
      </c>
      <c r="D1838" s="6" t="s">
        <v>1498</v>
      </c>
      <c r="E1838" s="6" t="s">
        <v>1499</v>
      </c>
      <c r="F1838" s="6" t="s">
        <v>13</v>
      </c>
      <c r="G1838" s="6" t="s">
        <v>1495</v>
      </c>
      <c r="H1838" s="6"/>
      <c r="I1838" s="6" t="s">
        <v>1461</v>
      </c>
      <c r="J1838" s="6"/>
      <c r="K1838" s="6" t="s">
        <v>358</v>
      </c>
      <c r="L1838" s="6" t="s">
        <v>1500</v>
      </c>
      <c r="M1838" s="6"/>
      <c r="N1838" s="6" t="s">
        <v>1501</v>
      </c>
      <c r="O1838" s="6" t="str">
        <f>HYPERLINK("https://ceds.ed.gov/cedselementdetails.aspx?termid=5730")</f>
        <v>https://ceds.ed.gov/cedselementdetails.aspx?termid=5730</v>
      </c>
      <c r="P1838" s="6" t="str">
        <f>HYPERLINK("https://ceds.ed.gov/elementComment.aspx?elementName=Books and Supplies Costs &amp;elementID=5730", "Click here to submit comment")</f>
        <v>Click here to submit comment</v>
      </c>
    </row>
    <row r="1839" spans="1:16" ht="75">
      <c r="A1839" s="6" t="s">
        <v>6869</v>
      </c>
      <c r="B1839" s="6" t="s">
        <v>6870</v>
      </c>
      <c r="C1839" s="6" t="s">
        <v>6871</v>
      </c>
      <c r="D1839" s="6" t="s">
        <v>5037</v>
      </c>
      <c r="E1839" s="6" t="s">
        <v>5038</v>
      </c>
      <c r="F1839" s="6" t="s">
        <v>13</v>
      </c>
      <c r="G1839" s="6" t="s">
        <v>1495</v>
      </c>
      <c r="H1839" s="6"/>
      <c r="I1839" s="6" t="s">
        <v>1461</v>
      </c>
      <c r="J1839" s="6"/>
      <c r="K1839" s="6" t="s">
        <v>358</v>
      </c>
      <c r="L1839" s="6" t="s">
        <v>5039</v>
      </c>
      <c r="M1839" s="6"/>
      <c r="N1839" s="6" t="s">
        <v>5040</v>
      </c>
      <c r="O1839" s="6" t="str">
        <f>HYPERLINK("https://ceds.ed.gov/cedselementdetails.aspx?termid=5726")</f>
        <v>https://ceds.ed.gov/cedselementdetails.aspx?termid=5726</v>
      </c>
      <c r="P1839" s="6" t="str">
        <f>HYPERLINK("https://ceds.ed.gov/elementComment.aspx?elementName=Required Student Fees &amp;elementID=5726", "Click here to submit comment")</f>
        <v>Click here to submit comment</v>
      </c>
    </row>
    <row r="1840" spans="1:16" ht="90">
      <c r="A1840" s="6" t="s">
        <v>6869</v>
      </c>
      <c r="B1840" s="6" t="s">
        <v>6870</v>
      </c>
      <c r="C1840" s="6" t="s">
        <v>6871</v>
      </c>
      <c r="D1840" s="6" t="s">
        <v>1753</v>
      </c>
      <c r="E1840" s="6" t="s">
        <v>1754</v>
      </c>
      <c r="F1840" s="6" t="s">
        <v>13</v>
      </c>
      <c r="G1840" s="6" t="s">
        <v>1495</v>
      </c>
      <c r="H1840" s="6"/>
      <c r="I1840" s="6" t="s">
        <v>1461</v>
      </c>
      <c r="J1840" s="6"/>
      <c r="K1840" s="6" t="s">
        <v>358</v>
      </c>
      <c r="L1840" s="6" t="s">
        <v>1755</v>
      </c>
      <c r="M1840" s="6"/>
      <c r="N1840" s="6" t="s">
        <v>1756</v>
      </c>
      <c r="O1840" s="6" t="str">
        <f>HYPERLINK("https://ceds.ed.gov/cedselementdetails.aspx?termid=5733")</f>
        <v>https://ceds.ed.gov/cedselementdetails.aspx?termid=5733</v>
      </c>
      <c r="P1840" s="6" t="str">
        <f>HYPERLINK("https://ceds.ed.gov/elementComment.aspx?elementName=Comprehensive Fee &amp;elementID=5733", "Click here to submit comment")</f>
        <v>Click here to submit comment</v>
      </c>
    </row>
    <row r="1841" spans="1:16" ht="75">
      <c r="A1841" s="6" t="s">
        <v>6869</v>
      </c>
      <c r="B1841" s="6" t="s">
        <v>6870</v>
      </c>
      <c r="C1841" s="6" t="s">
        <v>6871</v>
      </c>
      <c r="D1841" s="6" t="s">
        <v>4403</v>
      </c>
      <c r="E1841" s="6" t="s">
        <v>4404</v>
      </c>
      <c r="F1841" s="6" t="s">
        <v>13</v>
      </c>
      <c r="G1841" s="6" t="s">
        <v>1495</v>
      </c>
      <c r="H1841" s="6"/>
      <c r="I1841" s="6" t="s">
        <v>1461</v>
      </c>
      <c r="J1841" s="6"/>
      <c r="K1841" s="6" t="s">
        <v>358</v>
      </c>
      <c r="L1841" s="6" t="s">
        <v>4405</v>
      </c>
      <c r="M1841" s="6"/>
      <c r="N1841" s="6" t="s">
        <v>4406</v>
      </c>
      <c r="O1841" s="6" t="str">
        <f>HYPERLINK("https://ceds.ed.gov/cedselementdetails.aspx?termid=5731")</f>
        <v>https://ceds.ed.gov/cedselementdetails.aspx?termid=5731</v>
      </c>
      <c r="P1841" s="6" t="str">
        <f>HYPERLINK("https://ceds.ed.gov/elementComment.aspx?elementName=Other Student Expenses &amp;elementID=5731", "Click here to submit comment")</f>
        <v>Click here to submit comment</v>
      </c>
    </row>
    <row r="1842" spans="1:16" ht="180">
      <c r="A1842" s="6" t="s">
        <v>6869</v>
      </c>
      <c r="B1842" s="6" t="s">
        <v>6870</v>
      </c>
      <c r="C1842" s="6" t="s">
        <v>6871</v>
      </c>
      <c r="D1842" s="6" t="s">
        <v>4575</v>
      </c>
      <c r="E1842" s="6" t="s">
        <v>4576</v>
      </c>
      <c r="F1842" s="6" t="s">
        <v>13</v>
      </c>
      <c r="G1842" s="6" t="s">
        <v>1495</v>
      </c>
      <c r="H1842" s="6"/>
      <c r="I1842" s="6" t="s">
        <v>1461</v>
      </c>
      <c r="J1842" s="6"/>
      <c r="K1842" s="6" t="s">
        <v>358</v>
      </c>
      <c r="L1842" s="6" t="s">
        <v>4577</v>
      </c>
      <c r="M1842" s="6"/>
      <c r="N1842" s="6" t="s">
        <v>4578</v>
      </c>
      <c r="O1842" s="6" t="str">
        <f>HYPERLINK("https://ceds.ed.gov/cedselementdetails.aspx?termid=5732")</f>
        <v>https://ceds.ed.gov/cedselementdetails.aspx?termid=5732</v>
      </c>
      <c r="P1842" s="6" t="str">
        <f>HYPERLINK("https://ceds.ed.gov/elementComment.aspx?elementName=Price of Attendance &amp;elementID=5732", "Click here to submit comment")</f>
        <v>Click here to submit comment</v>
      </c>
    </row>
    <row r="1843" spans="1:16" ht="105">
      <c r="A1843" s="6" t="s">
        <v>6869</v>
      </c>
      <c r="B1843" s="6" t="s">
        <v>6870</v>
      </c>
      <c r="C1843" s="6" t="s">
        <v>6871</v>
      </c>
      <c r="D1843" s="6" t="s">
        <v>3293</v>
      </c>
      <c r="E1843" s="6" t="s">
        <v>3294</v>
      </c>
      <c r="F1843" s="6" t="s">
        <v>5963</v>
      </c>
      <c r="G1843" s="6" t="s">
        <v>1495</v>
      </c>
      <c r="H1843" s="6"/>
      <c r="I1843" s="6"/>
      <c r="J1843" s="6"/>
      <c r="K1843" s="6" t="s">
        <v>358</v>
      </c>
      <c r="L1843" s="6" t="s">
        <v>3295</v>
      </c>
      <c r="M1843" s="6"/>
      <c r="N1843" s="6" t="s">
        <v>3296</v>
      </c>
      <c r="O1843" s="6" t="str">
        <f>HYPERLINK("https://ceds.ed.gov/cedselementdetails.aspx?termid=5727")</f>
        <v>https://ceds.ed.gov/cedselementdetails.aspx?termid=5727</v>
      </c>
      <c r="P1843" s="6" t="str">
        <f>HYPERLINK("https://ceds.ed.gov/elementComment.aspx?elementName=Institutionally Controlled Housing Status &amp;elementID=5727", "Click here to submit comment")</f>
        <v>Click here to submit comment</v>
      </c>
    </row>
    <row r="1844" spans="1:16" ht="409.5">
      <c r="A1844" s="6" t="s">
        <v>6869</v>
      </c>
      <c r="B1844" s="6" t="s">
        <v>6872</v>
      </c>
      <c r="C1844" s="6"/>
      <c r="D1844" s="6" t="s">
        <v>51</v>
      </c>
      <c r="E1844" s="6" t="s">
        <v>52</v>
      </c>
      <c r="F1844" s="7" t="s">
        <v>6350</v>
      </c>
      <c r="G1844" s="6"/>
      <c r="H1844" s="6" t="s">
        <v>54</v>
      </c>
      <c r="I1844" s="6"/>
      <c r="J1844" s="6"/>
      <c r="K1844" s="6"/>
      <c r="L1844" s="6" t="s">
        <v>55</v>
      </c>
      <c r="M1844" s="6"/>
      <c r="N1844" s="6" t="s">
        <v>56</v>
      </c>
      <c r="O1844" s="6" t="str">
        <f>HYPERLINK("https://ceds.ed.gov/cedselementdetails.aspx?termid=6243")</f>
        <v>https://ceds.ed.gov/cedselementdetails.aspx?termid=6243</v>
      </c>
      <c r="P1844" s="6" t="str">
        <f>HYPERLINK("https://ceds.ed.gov/elementComment.aspx?elementName=Accommodations Needed Type &amp;elementID=6243", "Click here to submit comment")</f>
        <v>Click here to submit comment</v>
      </c>
    </row>
    <row r="1845" spans="1:16" ht="105">
      <c r="A1845" s="6" t="s">
        <v>6869</v>
      </c>
      <c r="B1845" s="6" t="s">
        <v>6872</v>
      </c>
      <c r="C1845" s="6"/>
      <c r="D1845" s="6" t="s">
        <v>2194</v>
      </c>
      <c r="E1845" s="6" t="s">
        <v>2195</v>
      </c>
      <c r="F1845" s="7" t="s">
        <v>6458</v>
      </c>
      <c r="G1845" s="6"/>
      <c r="H1845" s="6" t="s">
        <v>54</v>
      </c>
      <c r="I1845" s="6"/>
      <c r="J1845" s="6"/>
      <c r="K1845" s="6"/>
      <c r="L1845" s="6" t="s">
        <v>2196</v>
      </c>
      <c r="M1845" s="6" t="s">
        <v>2197</v>
      </c>
      <c r="N1845" s="6" t="s">
        <v>2198</v>
      </c>
      <c r="O1845" s="6" t="str">
        <f>HYPERLINK("https://ceds.ed.gov/cedselementdetails.aspx?termid=6285")</f>
        <v>https://ceds.ed.gov/cedselementdetails.aspx?termid=6285</v>
      </c>
      <c r="P1845" s="6" t="str">
        <f>HYPERLINK("https://ceds.ed.gov/elementComment.aspx?elementName=Disability Condition Status Type &amp;elementID=6285", "Click here to submit comment")</f>
        <v>Click here to submit comment</v>
      </c>
    </row>
    <row r="1846" spans="1:16" ht="409.5">
      <c r="A1846" s="6" t="s">
        <v>6869</v>
      </c>
      <c r="B1846" s="6" t="s">
        <v>6872</v>
      </c>
      <c r="C1846" s="6"/>
      <c r="D1846" s="6" t="s">
        <v>2199</v>
      </c>
      <c r="E1846" s="6" t="s">
        <v>2200</v>
      </c>
      <c r="F1846" s="7" t="s">
        <v>6459</v>
      </c>
      <c r="G1846" s="6"/>
      <c r="H1846" s="6" t="s">
        <v>54</v>
      </c>
      <c r="I1846" s="6"/>
      <c r="J1846" s="6"/>
      <c r="K1846" s="6" t="s">
        <v>2201</v>
      </c>
      <c r="L1846" s="6" t="s">
        <v>2202</v>
      </c>
      <c r="M1846" s="6"/>
      <c r="N1846" s="6" t="s">
        <v>2203</v>
      </c>
      <c r="O1846" s="6" t="str">
        <f>HYPERLINK("https://ceds.ed.gov/cedselementdetails.aspx?termid=6286")</f>
        <v>https://ceds.ed.gov/cedselementdetails.aspx?termid=6286</v>
      </c>
      <c r="P1846" s="6" t="str">
        <f>HYPERLINK("https://ceds.ed.gov/elementComment.aspx?elementName=Disability Condition Type &amp;elementID=6286", "Click here to submit comment")</f>
        <v>Click here to submit comment</v>
      </c>
    </row>
    <row r="1847" spans="1:16" ht="255">
      <c r="A1847" s="6" t="s">
        <v>6869</v>
      </c>
      <c r="B1847" s="6" t="s">
        <v>6872</v>
      </c>
      <c r="C1847" s="6"/>
      <c r="D1847" s="6" t="s">
        <v>2204</v>
      </c>
      <c r="E1847" s="6" t="s">
        <v>2205</v>
      </c>
      <c r="F1847" s="7" t="s">
        <v>6460</v>
      </c>
      <c r="G1847" s="6"/>
      <c r="H1847" s="6" t="s">
        <v>54</v>
      </c>
      <c r="I1847" s="6"/>
      <c r="J1847" s="6"/>
      <c r="K1847" s="6" t="s">
        <v>2201</v>
      </c>
      <c r="L1847" s="6" t="s">
        <v>2206</v>
      </c>
      <c r="M1847" s="6"/>
      <c r="N1847" s="6" t="s">
        <v>2207</v>
      </c>
      <c r="O1847" s="6" t="str">
        <f>HYPERLINK("https://ceds.ed.gov/cedselementdetails.aspx?termid=6287")</f>
        <v>https://ceds.ed.gov/cedselementdetails.aspx?termid=6287</v>
      </c>
      <c r="P1847" s="6" t="str">
        <f>HYPERLINK("https://ceds.ed.gov/elementComment.aspx?elementName=Disability Determination Source Type &amp;elementID=6287", "Click here to submit comment")</f>
        <v>Click here to submit comment</v>
      </c>
    </row>
    <row r="1848" spans="1:16" ht="45">
      <c r="A1848" s="6" t="s">
        <v>6869</v>
      </c>
      <c r="B1848" s="6" t="s">
        <v>6872</v>
      </c>
      <c r="C1848" s="6"/>
      <c r="D1848" s="6" t="s">
        <v>2208</v>
      </c>
      <c r="E1848" s="6" t="s">
        <v>2209</v>
      </c>
      <c r="F1848" s="6" t="s">
        <v>5963</v>
      </c>
      <c r="G1848" s="6" t="s">
        <v>218</v>
      </c>
      <c r="H1848" s="6" t="s">
        <v>3</v>
      </c>
      <c r="I1848" s="6"/>
      <c r="J1848" s="6"/>
      <c r="K1848" s="6"/>
      <c r="L1848" s="6" t="s">
        <v>2210</v>
      </c>
      <c r="M1848" s="6"/>
      <c r="N1848" s="6" t="s">
        <v>2211</v>
      </c>
      <c r="O1848" s="6" t="str">
        <f>HYPERLINK("https://ceds.ed.gov/cedselementdetails.aspx?termid=5569")</f>
        <v>https://ceds.ed.gov/cedselementdetails.aspx?termid=5569</v>
      </c>
      <c r="P1848" s="6" t="str">
        <f>HYPERLINK("https://ceds.ed.gov/elementComment.aspx?elementName=Disability Status &amp;elementID=5569", "Click here to submit comment")</f>
        <v>Click here to submit comment</v>
      </c>
    </row>
    <row r="1849" spans="1:16" ht="285">
      <c r="A1849" s="6" t="s">
        <v>6869</v>
      </c>
      <c r="B1849" s="6" t="s">
        <v>6872</v>
      </c>
      <c r="C1849" s="6"/>
      <c r="D1849" s="6" t="s">
        <v>3040</v>
      </c>
      <c r="E1849" s="6" t="s">
        <v>3041</v>
      </c>
      <c r="F1849" s="6" t="s">
        <v>5963</v>
      </c>
      <c r="G1849" s="6" t="s">
        <v>6200</v>
      </c>
      <c r="H1849" s="6" t="s">
        <v>3</v>
      </c>
      <c r="I1849" s="6"/>
      <c r="J1849" s="6"/>
      <c r="K1849" s="6"/>
      <c r="L1849" s="6" t="s">
        <v>3042</v>
      </c>
      <c r="M1849" s="6"/>
      <c r="N1849" s="6" t="s">
        <v>3043</v>
      </c>
      <c r="O1849" s="6" t="str">
        <f>HYPERLINK("https://ceds.ed.gov/cedselementdetails.aspx?termid=5151")</f>
        <v>https://ceds.ed.gov/cedselementdetails.aspx?termid=5151</v>
      </c>
      <c r="P1849" s="6" t="str">
        <f>HYPERLINK("https://ceds.ed.gov/elementComment.aspx?elementName=IDEA Indicator &amp;elementID=5151", "Click here to submit comment")</f>
        <v>Click here to submit comment</v>
      </c>
    </row>
    <row r="1850" spans="1:16" ht="105">
      <c r="A1850" s="6" t="s">
        <v>6869</v>
      </c>
      <c r="B1850" s="6" t="s">
        <v>6872</v>
      </c>
      <c r="C1850" s="6"/>
      <c r="D1850" s="6" t="s">
        <v>4536</v>
      </c>
      <c r="E1850" s="6" t="s">
        <v>4537</v>
      </c>
      <c r="F1850" s="6" t="s">
        <v>5963</v>
      </c>
      <c r="G1850" s="6"/>
      <c r="H1850" s="6" t="s">
        <v>54</v>
      </c>
      <c r="I1850" s="6"/>
      <c r="J1850" s="6"/>
      <c r="K1850" s="6" t="s">
        <v>4538</v>
      </c>
      <c r="L1850" s="6" t="s">
        <v>4539</v>
      </c>
      <c r="M1850" s="6"/>
      <c r="N1850" s="6" t="s">
        <v>4540</v>
      </c>
      <c r="O1850" s="6" t="str">
        <f>HYPERLINK("https://ceds.ed.gov/cedselementdetails.aspx?termid=6395")</f>
        <v>https://ceds.ed.gov/cedselementdetails.aspx?termid=6395</v>
      </c>
      <c r="P1850" s="6" t="str">
        <f>HYPERLINK("https://ceds.ed.gov/elementComment.aspx?elementName=Postsecondary Entering Student Indicator &amp;elementID=6395", "Click here to submit comment")</f>
        <v>Click here to submit comment</v>
      </c>
    </row>
    <row r="1851" spans="1:16" ht="120">
      <c r="A1851" s="6" t="s">
        <v>6869</v>
      </c>
      <c r="B1851" s="6" t="s">
        <v>6872</v>
      </c>
      <c r="C1851" s="6"/>
      <c r="D1851" s="6" t="s">
        <v>4541</v>
      </c>
      <c r="E1851" s="6" t="s">
        <v>4542</v>
      </c>
      <c r="F1851" s="6" t="s">
        <v>13</v>
      </c>
      <c r="G1851" s="6"/>
      <c r="H1851" s="6" t="s">
        <v>54</v>
      </c>
      <c r="I1851" s="6" t="s">
        <v>100</v>
      </c>
      <c r="J1851" s="6"/>
      <c r="K1851" s="6" t="s">
        <v>4538</v>
      </c>
      <c r="L1851" s="6" t="s">
        <v>4543</v>
      </c>
      <c r="M1851" s="6"/>
      <c r="N1851" s="6" t="s">
        <v>4544</v>
      </c>
      <c r="O1851" s="6" t="str">
        <f>HYPERLINK("https://ceds.ed.gov/cedselementdetails.aspx?termid=6396")</f>
        <v>https://ceds.ed.gov/cedselementdetails.aspx?termid=6396</v>
      </c>
      <c r="P1851" s="6" t="str">
        <f>HYPERLINK("https://ceds.ed.gov/elementComment.aspx?elementName=Postsecondary Student Entering Term &amp;elementID=6396", "Click here to submit comment")</f>
        <v>Click here to submit comment</v>
      </c>
    </row>
    <row r="1852" spans="1:16" ht="315">
      <c r="A1852" s="6" t="s">
        <v>6869</v>
      </c>
      <c r="B1852" s="6" t="s">
        <v>6872</v>
      </c>
      <c r="C1852" s="6"/>
      <c r="D1852" s="6" t="s">
        <v>4587</v>
      </c>
      <c r="E1852" s="6" t="s">
        <v>4588</v>
      </c>
      <c r="F1852" s="7" t="s">
        <v>6607</v>
      </c>
      <c r="G1852" s="6" t="s">
        <v>6286</v>
      </c>
      <c r="H1852" s="6" t="s">
        <v>3</v>
      </c>
      <c r="I1852" s="6"/>
      <c r="J1852" s="6"/>
      <c r="K1852" s="6"/>
      <c r="L1852" s="6" t="s">
        <v>4589</v>
      </c>
      <c r="M1852" s="6"/>
      <c r="N1852" s="6" t="s">
        <v>4590</v>
      </c>
      <c r="O1852" s="6" t="str">
        <f>HYPERLINK("https://ceds.ed.gov/cedselementdetails.aspx?termid=5218")</f>
        <v>https://ceds.ed.gov/cedselementdetails.aspx?termid=5218</v>
      </c>
      <c r="P1852" s="6" t="str">
        <f>HYPERLINK("https://ceds.ed.gov/elementComment.aspx?elementName=Primary Disability Type &amp;elementID=5218", "Click here to submit comment")</f>
        <v>Click here to submit comment</v>
      </c>
    </row>
    <row r="1853" spans="1:16" ht="195">
      <c r="A1853" s="6" t="s">
        <v>6869</v>
      </c>
      <c r="B1853" s="6" t="s">
        <v>6872</v>
      </c>
      <c r="C1853" s="6" t="s">
        <v>6717</v>
      </c>
      <c r="D1853" s="6" t="s">
        <v>2776</v>
      </c>
      <c r="E1853" s="6" t="s">
        <v>2777</v>
      </c>
      <c r="F1853" s="6" t="s">
        <v>13</v>
      </c>
      <c r="G1853" s="6" t="s">
        <v>6176</v>
      </c>
      <c r="H1853" s="6" t="s">
        <v>3</v>
      </c>
      <c r="I1853" s="6" t="s">
        <v>1368</v>
      </c>
      <c r="J1853" s="6"/>
      <c r="K1853" s="6" t="s">
        <v>2778</v>
      </c>
      <c r="L1853" s="6" t="s">
        <v>2779</v>
      </c>
      <c r="M1853" s="6"/>
      <c r="N1853" s="6" t="s">
        <v>2780</v>
      </c>
      <c r="O1853" s="6" t="str">
        <f>HYPERLINK("https://ceds.ed.gov/cedselementdetails.aspx?termid=5115")</f>
        <v>https://ceds.ed.gov/cedselementdetails.aspx?termid=5115</v>
      </c>
      <c r="P1853" s="6" t="str">
        <f>HYPERLINK("https://ceds.ed.gov/elementComment.aspx?elementName=First Name &amp;elementID=5115", "Click here to submit comment")</f>
        <v>Click here to submit comment</v>
      </c>
    </row>
    <row r="1854" spans="1:16" ht="195">
      <c r="A1854" s="6" t="s">
        <v>6869</v>
      </c>
      <c r="B1854" s="6" t="s">
        <v>6872</v>
      </c>
      <c r="C1854" s="6" t="s">
        <v>6717</v>
      </c>
      <c r="D1854" s="6" t="s">
        <v>4088</v>
      </c>
      <c r="E1854" s="6" t="s">
        <v>4089</v>
      </c>
      <c r="F1854" s="6" t="s">
        <v>13</v>
      </c>
      <c r="G1854" s="6" t="s">
        <v>6176</v>
      </c>
      <c r="H1854" s="6" t="s">
        <v>3</v>
      </c>
      <c r="I1854" s="6" t="s">
        <v>1368</v>
      </c>
      <c r="J1854" s="6"/>
      <c r="K1854" s="6" t="s">
        <v>2778</v>
      </c>
      <c r="L1854" s="6" t="s">
        <v>4090</v>
      </c>
      <c r="M1854" s="6"/>
      <c r="N1854" s="6" t="s">
        <v>4091</v>
      </c>
      <c r="O1854" s="6" t="str">
        <f>HYPERLINK("https://ceds.ed.gov/cedselementdetails.aspx?termid=5184")</f>
        <v>https://ceds.ed.gov/cedselementdetails.aspx?termid=5184</v>
      </c>
      <c r="P1854" s="6" t="str">
        <f>HYPERLINK("https://ceds.ed.gov/elementComment.aspx?elementName=Middle Name &amp;elementID=5184", "Click here to submit comment")</f>
        <v>Click here to submit comment</v>
      </c>
    </row>
    <row r="1855" spans="1:16" ht="195">
      <c r="A1855" s="6" t="s">
        <v>6869</v>
      </c>
      <c r="B1855" s="6" t="s">
        <v>6872</v>
      </c>
      <c r="C1855" s="6" t="s">
        <v>6717</v>
      </c>
      <c r="D1855" s="6" t="s">
        <v>3427</v>
      </c>
      <c r="E1855" s="6" t="s">
        <v>3428</v>
      </c>
      <c r="F1855" s="6" t="s">
        <v>13</v>
      </c>
      <c r="G1855" s="6" t="s">
        <v>6176</v>
      </c>
      <c r="H1855" s="6" t="s">
        <v>3</v>
      </c>
      <c r="I1855" s="6" t="s">
        <v>1368</v>
      </c>
      <c r="J1855" s="6"/>
      <c r="K1855" s="6" t="s">
        <v>2778</v>
      </c>
      <c r="L1855" s="6" t="s">
        <v>3429</v>
      </c>
      <c r="M1855" s="6" t="s">
        <v>3430</v>
      </c>
      <c r="N1855" s="6" t="s">
        <v>3431</v>
      </c>
      <c r="O1855" s="6" t="str">
        <f>HYPERLINK("https://ceds.ed.gov/cedselementdetails.aspx?termid=5172")</f>
        <v>https://ceds.ed.gov/cedselementdetails.aspx?termid=5172</v>
      </c>
      <c r="P1855" s="6" t="str">
        <f>HYPERLINK("https://ceds.ed.gov/elementComment.aspx?elementName=Last or Surname &amp;elementID=5172", "Click here to submit comment")</f>
        <v>Click here to submit comment</v>
      </c>
    </row>
    <row r="1856" spans="1:16" ht="150">
      <c r="A1856" s="6" t="s">
        <v>6869</v>
      </c>
      <c r="B1856" s="6" t="s">
        <v>6872</v>
      </c>
      <c r="C1856" s="6" t="s">
        <v>6717</v>
      </c>
      <c r="D1856" s="6" t="s">
        <v>2829</v>
      </c>
      <c r="E1856" s="6" t="s">
        <v>2830</v>
      </c>
      <c r="F1856" s="6" t="s">
        <v>13</v>
      </c>
      <c r="G1856" s="6" t="s">
        <v>6179</v>
      </c>
      <c r="H1856" s="6" t="s">
        <v>3</v>
      </c>
      <c r="I1856" s="6" t="s">
        <v>2031</v>
      </c>
      <c r="J1856" s="6"/>
      <c r="K1856" s="6" t="s">
        <v>2778</v>
      </c>
      <c r="L1856" s="6" t="s">
        <v>2831</v>
      </c>
      <c r="M1856" s="6"/>
      <c r="N1856" s="6" t="s">
        <v>2832</v>
      </c>
      <c r="O1856" s="6" t="str">
        <f>HYPERLINK("https://ceds.ed.gov/cedselementdetails.aspx?termid=5121")</f>
        <v>https://ceds.ed.gov/cedselementdetails.aspx?termid=5121</v>
      </c>
      <c r="P1856" s="6" t="str">
        <f>HYPERLINK("https://ceds.ed.gov/elementComment.aspx?elementName=Generation Code or Suffix &amp;elementID=5121", "Click here to submit comment")</f>
        <v>Click here to submit comment</v>
      </c>
    </row>
    <row r="1857" spans="1:16" ht="105">
      <c r="A1857" s="6" t="s">
        <v>6869</v>
      </c>
      <c r="B1857" s="6" t="s">
        <v>6872</v>
      </c>
      <c r="C1857" s="6" t="s">
        <v>6717</v>
      </c>
      <c r="D1857" s="6" t="s">
        <v>4498</v>
      </c>
      <c r="E1857" s="6" t="s">
        <v>4499</v>
      </c>
      <c r="F1857" s="6" t="s">
        <v>13</v>
      </c>
      <c r="G1857" s="6" t="s">
        <v>6280</v>
      </c>
      <c r="H1857" s="6" t="s">
        <v>3</v>
      </c>
      <c r="I1857" s="6" t="s">
        <v>100</v>
      </c>
      <c r="J1857" s="6"/>
      <c r="K1857" s="6"/>
      <c r="L1857" s="6" t="s">
        <v>4500</v>
      </c>
      <c r="M1857" s="6" t="s">
        <v>4501</v>
      </c>
      <c r="N1857" s="6" t="s">
        <v>4502</v>
      </c>
      <c r="O1857" s="6" t="str">
        <f>HYPERLINK("https://ceds.ed.gov/cedselementdetails.aspx?termid=5212")</f>
        <v>https://ceds.ed.gov/cedselementdetails.aspx?termid=5212</v>
      </c>
      <c r="P1857" s="6" t="str">
        <f>HYPERLINK("https://ceds.ed.gov/elementComment.aspx?elementName=Personal Title or Prefix &amp;elementID=5212", "Click here to submit comment")</f>
        <v>Click here to submit comment</v>
      </c>
    </row>
    <row r="1858" spans="1:16" ht="30">
      <c r="A1858" s="6" t="s">
        <v>6869</v>
      </c>
      <c r="B1858" s="6" t="s">
        <v>6872</v>
      </c>
      <c r="C1858" s="6" t="s">
        <v>6718</v>
      </c>
      <c r="D1858" s="6" t="s">
        <v>4375</v>
      </c>
      <c r="E1858" s="6" t="s">
        <v>4376</v>
      </c>
      <c r="F1858" s="6" t="s">
        <v>13</v>
      </c>
      <c r="G1858" s="6"/>
      <c r="H1858" s="6" t="s">
        <v>54</v>
      </c>
      <c r="I1858" s="6" t="s">
        <v>1368</v>
      </c>
      <c r="J1858" s="6"/>
      <c r="K1858" s="6" t="s">
        <v>4377</v>
      </c>
      <c r="L1858" s="6" t="s">
        <v>4378</v>
      </c>
      <c r="M1858" s="6"/>
      <c r="N1858" s="6" t="s">
        <v>4379</v>
      </c>
      <c r="O1858" s="6" t="str">
        <f>HYPERLINK("https://ceds.ed.gov/cedselementdetails.aspx?termid=6486")</f>
        <v>https://ceds.ed.gov/cedselementdetails.aspx?termid=6486</v>
      </c>
      <c r="P1858" s="6" t="str">
        <f>HYPERLINK("https://ceds.ed.gov/elementComment.aspx?elementName=Other First Name &amp;elementID=6486", "Click here to submit comment")</f>
        <v>Click here to submit comment</v>
      </c>
    </row>
    <row r="1859" spans="1:16" ht="30">
      <c r="A1859" s="6" t="s">
        <v>6869</v>
      </c>
      <c r="B1859" s="6" t="s">
        <v>6872</v>
      </c>
      <c r="C1859" s="6" t="s">
        <v>6718</v>
      </c>
      <c r="D1859" s="6" t="s">
        <v>4380</v>
      </c>
      <c r="E1859" s="6" t="s">
        <v>4381</v>
      </c>
      <c r="F1859" s="6" t="s">
        <v>13</v>
      </c>
      <c r="G1859" s="6"/>
      <c r="H1859" s="6" t="s">
        <v>54</v>
      </c>
      <c r="I1859" s="6" t="s">
        <v>1368</v>
      </c>
      <c r="J1859" s="6"/>
      <c r="K1859" s="6" t="s">
        <v>4382</v>
      </c>
      <c r="L1859" s="6" t="s">
        <v>4383</v>
      </c>
      <c r="M1859" s="6"/>
      <c r="N1859" s="6" t="s">
        <v>4384</v>
      </c>
      <c r="O1859" s="6" t="str">
        <f>HYPERLINK("https://ceds.ed.gov/cedselementdetails.aspx?termid=6485")</f>
        <v>https://ceds.ed.gov/cedselementdetails.aspx?termid=6485</v>
      </c>
      <c r="P1859" s="6" t="str">
        <f>HYPERLINK("https://ceds.ed.gov/elementComment.aspx?elementName=Other Last Name &amp;elementID=6485", "Click here to submit comment")</f>
        <v>Click here to submit comment</v>
      </c>
    </row>
    <row r="1860" spans="1:16" ht="30">
      <c r="A1860" s="6" t="s">
        <v>6869</v>
      </c>
      <c r="B1860" s="6" t="s">
        <v>6872</v>
      </c>
      <c r="C1860" s="6" t="s">
        <v>6718</v>
      </c>
      <c r="D1860" s="6" t="s">
        <v>4385</v>
      </c>
      <c r="E1860" s="6" t="s">
        <v>4386</v>
      </c>
      <c r="F1860" s="6" t="s">
        <v>13</v>
      </c>
      <c r="G1860" s="6"/>
      <c r="H1860" s="6" t="s">
        <v>54</v>
      </c>
      <c r="I1860" s="6" t="s">
        <v>1368</v>
      </c>
      <c r="J1860" s="6"/>
      <c r="K1860" s="6" t="s">
        <v>4387</v>
      </c>
      <c r="L1860" s="6" t="s">
        <v>4388</v>
      </c>
      <c r="M1860" s="6"/>
      <c r="N1860" s="6" t="s">
        <v>4389</v>
      </c>
      <c r="O1860" s="6" t="str">
        <f>HYPERLINK("https://ceds.ed.gov/cedselementdetails.aspx?termid=6487")</f>
        <v>https://ceds.ed.gov/cedselementdetails.aspx?termid=6487</v>
      </c>
      <c r="P1860" s="6" t="str">
        <f>HYPERLINK("https://ceds.ed.gov/elementComment.aspx?elementName=Other Middle Name &amp;elementID=6487", "Click here to submit comment")</f>
        <v>Click here to submit comment</v>
      </c>
    </row>
    <row r="1861" spans="1:16" ht="150">
      <c r="A1861" s="6" t="s">
        <v>6869</v>
      </c>
      <c r="B1861" s="6" t="s">
        <v>6872</v>
      </c>
      <c r="C1861" s="6" t="s">
        <v>6718</v>
      </c>
      <c r="D1861" s="6" t="s">
        <v>4390</v>
      </c>
      <c r="E1861" s="6" t="s">
        <v>4391</v>
      </c>
      <c r="F1861" s="6" t="s">
        <v>13</v>
      </c>
      <c r="G1861" s="6" t="s">
        <v>6179</v>
      </c>
      <c r="H1861" s="6" t="s">
        <v>3</v>
      </c>
      <c r="I1861" s="6" t="s">
        <v>149</v>
      </c>
      <c r="J1861" s="6"/>
      <c r="K1861" s="6"/>
      <c r="L1861" s="6" t="s">
        <v>4392</v>
      </c>
      <c r="M1861" s="6"/>
      <c r="N1861" s="6" t="s">
        <v>4393</v>
      </c>
      <c r="O1861" s="6" t="str">
        <f>HYPERLINK("https://ceds.ed.gov/cedselementdetails.aspx?termid=5206")</f>
        <v>https://ceds.ed.gov/cedselementdetails.aspx?termid=5206</v>
      </c>
      <c r="P1861" s="6" t="str">
        <f>HYPERLINK("https://ceds.ed.gov/elementComment.aspx?elementName=Other Name &amp;elementID=5206", "Click here to submit comment")</f>
        <v>Click here to submit comment</v>
      </c>
    </row>
    <row r="1862" spans="1:16" ht="90">
      <c r="A1862" s="6" t="s">
        <v>6869</v>
      </c>
      <c r="B1862" s="6" t="s">
        <v>6872</v>
      </c>
      <c r="C1862" s="6" t="s">
        <v>6718</v>
      </c>
      <c r="D1862" s="6" t="s">
        <v>4394</v>
      </c>
      <c r="E1862" s="6" t="s">
        <v>4395</v>
      </c>
      <c r="F1862" s="7" t="s">
        <v>6593</v>
      </c>
      <c r="G1862" s="6" t="s">
        <v>6273</v>
      </c>
      <c r="H1862" s="6" t="s">
        <v>3</v>
      </c>
      <c r="I1862" s="6" t="s">
        <v>100</v>
      </c>
      <c r="J1862" s="6"/>
      <c r="K1862" s="6"/>
      <c r="L1862" s="6" t="s">
        <v>4396</v>
      </c>
      <c r="M1862" s="6"/>
      <c r="N1862" s="6" t="s">
        <v>4397</v>
      </c>
      <c r="O1862" s="6" t="str">
        <f>HYPERLINK("https://ceds.ed.gov/cedselementdetails.aspx?termid=5627")</f>
        <v>https://ceds.ed.gov/cedselementdetails.aspx?termid=5627</v>
      </c>
      <c r="P1862" s="6" t="str">
        <f>HYPERLINK("https://ceds.ed.gov/elementComment.aspx?elementName=Other Name Type &amp;elementID=5627", "Click here to submit comment")</f>
        <v>Click here to submit comment</v>
      </c>
    </row>
    <row r="1863" spans="1:16" ht="135">
      <c r="A1863" s="6" t="s">
        <v>6869</v>
      </c>
      <c r="B1863" s="6" t="s">
        <v>6872</v>
      </c>
      <c r="C1863" s="6" t="s">
        <v>6719</v>
      </c>
      <c r="D1863" s="6" t="s">
        <v>5614</v>
      </c>
      <c r="E1863" s="6" t="s">
        <v>5615</v>
      </c>
      <c r="F1863" s="6" t="s">
        <v>13</v>
      </c>
      <c r="G1863" s="6" t="s">
        <v>6330</v>
      </c>
      <c r="H1863" s="6"/>
      <c r="I1863" s="6" t="s">
        <v>100</v>
      </c>
      <c r="J1863" s="6"/>
      <c r="K1863" s="6"/>
      <c r="L1863" s="6" t="s">
        <v>5616</v>
      </c>
      <c r="M1863" s="6"/>
      <c r="N1863" s="6" t="s">
        <v>5617</v>
      </c>
      <c r="O1863" s="6" t="str">
        <f>HYPERLINK("https://ceds.ed.gov/cedselementdetails.aspx?termid=5157")</f>
        <v>https://ceds.ed.gov/cedselementdetails.aspx?termid=5157</v>
      </c>
      <c r="P1863" s="6" t="str">
        <f>HYPERLINK("https://ceds.ed.gov/elementComment.aspx?elementName=Student Identifier &amp;elementID=5157", "Click here to submit comment")</f>
        <v>Click here to submit comment</v>
      </c>
    </row>
    <row r="1864" spans="1:16" ht="285">
      <c r="A1864" s="6" t="s">
        <v>6869</v>
      </c>
      <c r="B1864" s="6" t="s">
        <v>6872</v>
      </c>
      <c r="C1864" s="6" t="s">
        <v>6719</v>
      </c>
      <c r="D1864" s="6" t="s">
        <v>5610</v>
      </c>
      <c r="E1864" s="6" t="s">
        <v>5611</v>
      </c>
      <c r="F1864" s="7" t="s">
        <v>6665</v>
      </c>
      <c r="G1864" s="6" t="s">
        <v>6330</v>
      </c>
      <c r="H1864" s="6"/>
      <c r="I1864" s="6"/>
      <c r="J1864" s="6"/>
      <c r="K1864" s="6"/>
      <c r="L1864" s="6" t="s">
        <v>5612</v>
      </c>
      <c r="M1864" s="6"/>
      <c r="N1864" s="6" t="s">
        <v>5613</v>
      </c>
      <c r="O1864" s="6" t="str">
        <f>HYPERLINK("https://ceds.ed.gov/cedselementdetails.aspx?termid=5163")</f>
        <v>https://ceds.ed.gov/cedselementdetails.aspx?termid=5163</v>
      </c>
      <c r="P1864" s="6" t="str">
        <f>HYPERLINK("https://ceds.ed.gov/elementComment.aspx?elementName=Student Identification System &amp;elementID=5163", "Click here to submit comment")</f>
        <v>Click here to submit comment</v>
      </c>
    </row>
    <row r="1865" spans="1:16" ht="390">
      <c r="A1865" s="6" t="s">
        <v>6869</v>
      </c>
      <c r="B1865" s="6" t="s">
        <v>6872</v>
      </c>
      <c r="C1865" s="6" t="s">
        <v>6719</v>
      </c>
      <c r="D1865" s="6" t="s">
        <v>5383</v>
      </c>
      <c r="E1865" s="6" t="s">
        <v>5384</v>
      </c>
      <c r="F1865" s="6" t="s">
        <v>13</v>
      </c>
      <c r="G1865" s="6" t="s">
        <v>6315</v>
      </c>
      <c r="H1865" s="6" t="s">
        <v>3</v>
      </c>
      <c r="I1865" s="6" t="s">
        <v>5385</v>
      </c>
      <c r="J1865" s="6"/>
      <c r="K1865" s="6" t="s">
        <v>5386</v>
      </c>
      <c r="L1865" s="6" t="s">
        <v>5387</v>
      </c>
      <c r="M1865" s="6" t="s">
        <v>5388</v>
      </c>
      <c r="N1865" s="6" t="s">
        <v>5389</v>
      </c>
      <c r="O1865" s="6" t="str">
        <f>HYPERLINK("https://ceds.ed.gov/cedselementdetails.aspx?termid=5259")</f>
        <v>https://ceds.ed.gov/cedselementdetails.aspx?termid=5259</v>
      </c>
      <c r="P1865" s="6" t="str">
        <f>HYPERLINK("https://ceds.ed.gov/elementComment.aspx?elementName=Social Security Number &amp;elementID=5259", "Click here to submit comment")</f>
        <v>Click here to submit comment</v>
      </c>
    </row>
    <row r="1866" spans="1:16" ht="375">
      <c r="A1866" s="6" t="s">
        <v>6869</v>
      </c>
      <c r="B1866" s="6" t="s">
        <v>6872</v>
      </c>
      <c r="C1866" s="6" t="s">
        <v>6719</v>
      </c>
      <c r="D1866" s="6" t="s">
        <v>4494</v>
      </c>
      <c r="E1866" s="6" t="s">
        <v>4495</v>
      </c>
      <c r="F1866" s="7" t="s">
        <v>6599</v>
      </c>
      <c r="G1866" s="6"/>
      <c r="H1866" s="6" t="s">
        <v>3</v>
      </c>
      <c r="I1866" s="6"/>
      <c r="J1866" s="6"/>
      <c r="K1866" s="6"/>
      <c r="L1866" s="6" t="s">
        <v>4496</v>
      </c>
      <c r="M1866" s="6"/>
      <c r="N1866" s="6" t="s">
        <v>4497</v>
      </c>
      <c r="O1866" s="6" t="str">
        <f>HYPERLINK("https://ceds.ed.gov/cedselementdetails.aspx?termid=5611")</f>
        <v>https://ceds.ed.gov/cedselementdetails.aspx?termid=5611</v>
      </c>
      <c r="P1866" s="6" t="str">
        <f>HYPERLINK("https://ceds.ed.gov/elementComment.aspx?elementName=Personal Information Verification &amp;elementID=5611", "Click here to submit comment")</f>
        <v>Click here to submit comment</v>
      </c>
    </row>
    <row r="1867" spans="1:16" ht="285">
      <c r="A1867" s="6" t="s">
        <v>6869</v>
      </c>
      <c r="B1867" s="6" t="s">
        <v>6872</v>
      </c>
      <c r="C1867" s="6" t="s">
        <v>6720</v>
      </c>
      <c r="D1867" s="6" t="s">
        <v>191</v>
      </c>
      <c r="E1867" s="6" t="s">
        <v>192</v>
      </c>
      <c r="F1867" s="7" t="s">
        <v>6353</v>
      </c>
      <c r="G1867" s="6" t="s">
        <v>5976</v>
      </c>
      <c r="H1867" s="6" t="s">
        <v>66</v>
      </c>
      <c r="I1867" s="6" t="s">
        <v>100</v>
      </c>
      <c r="J1867" s="6" t="s">
        <v>193</v>
      </c>
      <c r="K1867" s="6"/>
      <c r="L1867" s="6" t="s">
        <v>194</v>
      </c>
      <c r="M1867" s="6"/>
      <c r="N1867" s="6" t="s">
        <v>195</v>
      </c>
      <c r="O1867" s="6" t="str">
        <f>HYPERLINK("https://ceds.ed.gov/cedselementdetails.aspx?termid=5358")</f>
        <v>https://ceds.ed.gov/cedselementdetails.aspx?termid=5358</v>
      </c>
      <c r="P1867" s="6" t="str">
        <f>HYPERLINK("https://ceds.ed.gov/elementComment.aspx?elementName=Address Type for Learner or Family &amp;elementID=5358", "Click here to submit comment")</f>
        <v>Click here to submit comment</v>
      </c>
    </row>
    <row r="1868" spans="1:16" ht="225">
      <c r="A1868" s="6" t="s">
        <v>6869</v>
      </c>
      <c r="B1868" s="6" t="s">
        <v>6872</v>
      </c>
      <c r="C1868" s="6" t="s">
        <v>6720</v>
      </c>
      <c r="D1868" s="6" t="s">
        <v>187</v>
      </c>
      <c r="E1868" s="6" t="s">
        <v>188</v>
      </c>
      <c r="F1868" s="6" t="s">
        <v>13</v>
      </c>
      <c r="G1868" s="6" t="s">
        <v>5973</v>
      </c>
      <c r="H1868" s="6" t="s">
        <v>3</v>
      </c>
      <c r="I1868" s="6" t="s">
        <v>149</v>
      </c>
      <c r="J1868" s="6"/>
      <c r="K1868" s="6"/>
      <c r="L1868" s="6" t="s">
        <v>189</v>
      </c>
      <c r="M1868" s="6"/>
      <c r="N1868" s="6" t="s">
        <v>190</v>
      </c>
      <c r="O1868" s="6" t="str">
        <f>HYPERLINK("https://ceds.ed.gov/cedselementdetails.aspx?termid=5269")</f>
        <v>https://ceds.ed.gov/cedselementdetails.aspx?termid=5269</v>
      </c>
      <c r="P1868" s="6" t="str">
        <f>HYPERLINK("https://ceds.ed.gov/elementComment.aspx?elementName=Address Street Number and Name &amp;elementID=5269", "Click here to submit comment")</f>
        <v>Click here to submit comment</v>
      </c>
    </row>
    <row r="1869" spans="1:16" ht="225">
      <c r="A1869" s="6" t="s">
        <v>6869</v>
      </c>
      <c r="B1869" s="6" t="s">
        <v>6872</v>
      </c>
      <c r="C1869" s="6" t="s">
        <v>6720</v>
      </c>
      <c r="D1869" s="6" t="s">
        <v>170</v>
      </c>
      <c r="E1869" s="6" t="s">
        <v>171</v>
      </c>
      <c r="F1869" s="6" t="s">
        <v>13</v>
      </c>
      <c r="G1869" s="6" t="s">
        <v>5973</v>
      </c>
      <c r="H1869" s="6" t="s">
        <v>3</v>
      </c>
      <c r="I1869" s="6" t="s">
        <v>100</v>
      </c>
      <c r="J1869" s="6"/>
      <c r="K1869" s="6"/>
      <c r="L1869" s="6" t="s">
        <v>172</v>
      </c>
      <c r="M1869" s="6"/>
      <c r="N1869" s="6" t="s">
        <v>173</v>
      </c>
      <c r="O1869" s="6" t="str">
        <f>HYPERLINK("https://ceds.ed.gov/cedselementdetails.aspx?termid=5019")</f>
        <v>https://ceds.ed.gov/cedselementdetails.aspx?termid=5019</v>
      </c>
      <c r="P1869" s="6" t="str">
        <f>HYPERLINK("https://ceds.ed.gov/elementComment.aspx?elementName=Address Apartment Room or Suite Number &amp;elementID=5019", "Click here to submit comment")</f>
        <v>Click here to submit comment</v>
      </c>
    </row>
    <row r="1870" spans="1:16" ht="225">
      <c r="A1870" s="6" t="s">
        <v>6869</v>
      </c>
      <c r="B1870" s="6" t="s">
        <v>6872</v>
      </c>
      <c r="C1870" s="6" t="s">
        <v>6720</v>
      </c>
      <c r="D1870" s="6" t="s">
        <v>174</v>
      </c>
      <c r="E1870" s="6" t="s">
        <v>175</v>
      </c>
      <c r="F1870" s="6" t="s">
        <v>13</v>
      </c>
      <c r="G1870" s="6" t="s">
        <v>5973</v>
      </c>
      <c r="H1870" s="6" t="s">
        <v>3</v>
      </c>
      <c r="I1870" s="6" t="s">
        <v>100</v>
      </c>
      <c r="J1870" s="6"/>
      <c r="K1870" s="6"/>
      <c r="L1870" s="6" t="s">
        <v>176</v>
      </c>
      <c r="M1870" s="6"/>
      <c r="N1870" s="6" t="s">
        <v>177</v>
      </c>
      <c r="O1870" s="6" t="str">
        <f>HYPERLINK("https://ceds.ed.gov/cedselementdetails.aspx?termid=5040")</f>
        <v>https://ceds.ed.gov/cedselementdetails.aspx?termid=5040</v>
      </c>
      <c r="P1870" s="6" t="str">
        <f>HYPERLINK("https://ceds.ed.gov/elementComment.aspx?elementName=Address City &amp;elementID=5040", "Click here to submit comment")</f>
        <v>Click here to submit comment</v>
      </c>
    </row>
    <row r="1871" spans="1:16" ht="409.5">
      <c r="A1871" s="6" t="s">
        <v>6869</v>
      </c>
      <c r="B1871" s="6" t="s">
        <v>6872</v>
      </c>
      <c r="C1871" s="6" t="s">
        <v>6720</v>
      </c>
      <c r="D1871" s="6" t="s">
        <v>5533</v>
      </c>
      <c r="E1871" s="6" t="s">
        <v>5534</v>
      </c>
      <c r="F1871" s="7" t="s">
        <v>6633</v>
      </c>
      <c r="G1871" s="6" t="s">
        <v>6324</v>
      </c>
      <c r="H1871" s="6" t="s">
        <v>3</v>
      </c>
      <c r="I1871" s="6"/>
      <c r="J1871" s="6"/>
      <c r="K1871" s="6"/>
      <c r="L1871" s="6" t="s">
        <v>5535</v>
      </c>
      <c r="M1871" s="6"/>
      <c r="N1871" s="6" t="s">
        <v>5536</v>
      </c>
      <c r="O1871" s="6" t="str">
        <f>HYPERLINK("https://ceds.ed.gov/cedselementdetails.aspx?termid=5267")</f>
        <v>https://ceds.ed.gov/cedselementdetails.aspx?termid=5267</v>
      </c>
      <c r="P1871" s="6" t="str">
        <f>HYPERLINK("https://ceds.ed.gov/elementComment.aspx?elementName=State Abbreviation &amp;elementID=5267", "Click here to submit comment")</f>
        <v>Click here to submit comment</v>
      </c>
    </row>
    <row r="1872" spans="1:16" ht="225">
      <c r="A1872" s="6" t="s">
        <v>6869</v>
      </c>
      <c r="B1872" s="6" t="s">
        <v>6872</v>
      </c>
      <c r="C1872" s="6" t="s">
        <v>6720</v>
      </c>
      <c r="D1872" s="6" t="s">
        <v>182</v>
      </c>
      <c r="E1872" s="6" t="s">
        <v>183</v>
      </c>
      <c r="F1872" s="6" t="s">
        <v>13</v>
      </c>
      <c r="G1872" s="6" t="s">
        <v>5973</v>
      </c>
      <c r="H1872" s="6" t="s">
        <v>3</v>
      </c>
      <c r="I1872" s="6" t="s">
        <v>184</v>
      </c>
      <c r="J1872" s="6"/>
      <c r="K1872" s="6"/>
      <c r="L1872" s="6" t="s">
        <v>185</v>
      </c>
      <c r="M1872" s="6"/>
      <c r="N1872" s="6" t="s">
        <v>186</v>
      </c>
      <c r="O1872" s="6" t="str">
        <f>HYPERLINK("https://ceds.ed.gov/cedselementdetails.aspx?termid=5214")</f>
        <v>https://ceds.ed.gov/cedselementdetails.aspx?termid=5214</v>
      </c>
      <c r="P1872" s="6" t="str">
        <f>HYPERLINK("https://ceds.ed.gov/elementComment.aspx?elementName=Address Postal Code &amp;elementID=5214", "Click here to submit comment")</f>
        <v>Click here to submit comment</v>
      </c>
    </row>
    <row r="1873" spans="1:16" ht="225">
      <c r="A1873" s="6" t="s">
        <v>6869</v>
      </c>
      <c r="B1873" s="6" t="s">
        <v>6872</v>
      </c>
      <c r="C1873" s="6" t="s">
        <v>6720</v>
      </c>
      <c r="D1873" s="6" t="s">
        <v>178</v>
      </c>
      <c r="E1873" s="6" t="s">
        <v>179</v>
      </c>
      <c r="F1873" s="6" t="s">
        <v>13</v>
      </c>
      <c r="G1873" s="6" t="s">
        <v>5973</v>
      </c>
      <c r="H1873" s="6" t="s">
        <v>3</v>
      </c>
      <c r="I1873" s="6" t="s">
        <v>100</v>
      </c>
      <c r="J1873" s="6"/>
      <c r="K1873" s="6"/>
      <c r="L1873" s="6" t="s">
        <v>180</v>
      </c>
      <c r="M1873" s="6"/>
      <c r="N1873" s="6" t="s">
        <v>181</v>
      </c>
      <c r="O1873" s="6" t="str">
        <f>HYPERLINK("https://ceds.ed.gov/cedselementdetails.aspx?termid=5190")</f>
        <v>https://ceds.ed.gov/cedselementdetails.aspx?termid=5190</v>
      </c>
      <c r="P1873" s="6" t="str">
        <f>HYPERLINK("https://ceds.ed.gov/elementComment.aspx?elementName=Address County Name &amp;elementID=5190", "Click here to submit comment")</f>
        <v>Click here to submit comment</v>
      </c>
    </row>
    <row r="1874" spans="1:16" ht="409.5">
      <c r="A1874" s="6" t="s">
        <v>6869</v>
      </c>
      <c r="B1874" s="6" t="s">
        <v>6872</v>
      </c>
      <c r="C1874" s="6" t="s">
        <v>6720</v>
      </c>
      <c r="D1874" s="6" t="s">
        <v>1809</v>
      </c>
      <c r="E1874" s="6" t="s">
        <v>1810</v>
      </c>
      <c r="F1874" s="7" t="s">
        <v>6433</v>
      </c>
      <c r="G1874" s="6" t="s">
        <v>6107</v>
      </c>
      <c r="H1874" s="6" t="s">
        <v>3</v>
      </c>
      <c r="I1874" s="6"/>
      <c r="J1874" s="6"/>
      <c r="K1874" s="6"/>
      <c r="L1874" s="6" t="s">
        <v>1811</v>
      </c>
      <c r="M1874" s="6"/>
      <c r="N1874" s="6" t="s">
        <v>1812</v>
      </c>
      <c r="O1874" s="6" t="str">
        <f>HYPERLINK("https://ceds.ed.gov/cedselementdetails.aspx?termid=5050")</f>
        <v>https://ceds.ed.gov/cedselementdetails.aspx?termid=5050</v>
      </c>
      <c r="P1874" s="6" t="str">
        <f>HYPERLINK("https://ceds.ed.gov/elementComment.aspx?elementName=Country Code &amp;elementID=5050", "Click here to submit comment")</f>
        <v>Click here to submit comment</v>
      </c>
    </row>
    <row r="1875" spans="1:16" ht="409.5">
      <c r="A1875" s="6" t="s">
        <v>6869</v>
      </c>
      <c r="B1875" s="6" t="s">
        <v>6872</v>
      </c>
      <c r="C1875" s="6" t="s">
        <v>6720</v>
      </c>
      <c r="D1875" s="6" t="s">
        <v>5579</v>
      </c>
      <c r="E1875" s="6" t="s">
        <v>5580</v>
      </c>
      <c r="F1875" s="7" t="s">
        <v>6633</v>
      </c>
      <c r="G1875" s="6" t="s">
        <v>5976</v>
      </c>
      <c r="H1875" s="6"/>
      <c r="I1875" s="6"/>
      <c r="J1875" s="6"/>
      <c r="K1875" s="6"/>
      <c r="L1875" s="6" t="s">
        <v>5582</v>
      </c>
      <c r="M1875" s="6"/>
      <c r="N1875" s="6" t="s">
        <v>5583</v>
      </c>
      <c r="O1875" s="6" t="str">
        <f>HYPERLINK("https://ceds.ed.gov/cedselementdetails.aspx?termid=5268")</f>
        <v>https://ceds.ed.gov/cedselementdetails.aspx?termid=5268</v>
      </c>
      <c r="P1875" s="6" t="str">
        <f>HYPERLINK("https://ceds.ed.gov/elementComment.aspx?elementName=State of Residence &amp;elementID=5268", "Click here to submit comment")</f>
        <v>Click here to submit comment</v>
      </c>
    </row>
    <row r="1876" spans="1:16" ht="135">
      <c r="A1876" s="6" t="s">
        <v>6869</v>
      </c>
      <c r="B1876" s="6" t="s">
        <v>6872</v>
      </c>
      <c r="C1876" s="6" t="s">
        <v>6721</v>
      </c>
      <c r="D1876" s="6" t="s">
        <v>5732</v>
      </c>
      <c r="E1876" s="6" t="s">
        <v>5733</v>
      </c>
      <c r="F1876" s="7" t="s">
        <v>6675</v>
      </c>
      <c r="G1876" s="6" t="s">
        <v>5968</v>
      </c>
      <c r="H1876" s="6" t="s">
        <v>3</v>
      </c>
      <c r="I1876" s="6" t="s">
        <v>2844</v>
      </c>
      <c r="J1876" s="6"/>
      <c r="K1876" s="6"/>
      <c r="L1876" s="6" t="s">
        <v>5734</v>
      </c>
      <c r="M1876" s="6"/>
      <c r="N1876" s="6" t="s">
        <v>5735</v>
      </c>
      <c r="O1876" s="6" t="str">
        <f>HYPERLINK("https://ceds.ed.gov/cedselementdetails.aspx?termid=5280")</f>
        <v>https://ceds.ed.gov/cedselementdetails.aspx?termid=5280</v>
      </c>
      <c r="P1876" s="6" t="str">
        <f>HYPERLINK("https://ceds.ed.gov/elementComment.aspx?elementName=Telephone Number Type &amp;elementID=5280", "Click here to submit comment")</f>
        <v>Click here to submit comment</v>
      </c>
    </row>
    <row r="1877" spans="1:16" ht="90">
      <c r="A1877" s="6" t="s">
        <v>6869</v>
      </c>
      <c r="B1877" s="6" t="s">
        <v>6872</v>
      </c>
      <c r="C1877" s="6" t="s">
        <v>6721</v>
      </c>
      <c r="D1877" s="6" t="s">
        <v>4591</v>
      </c>
      <c r="E1877" s="6" t="s">
        <v>4592</v>
      </c>
      <c r="F1877" s="6" t="s">
        <v>5963</v>
      </c>
      <c r="G1877" s="6" t="s">
        <v>5968</v>
      </c>
      <c r="H1877" s="6" t="s">
        <v>3</v>
      </c>
      <c r="I1877" s="6"/>
      <c r="J1877" s="6"/>
      <c r="K1877" s="6"/>
      <c r="L1877" s="6" t="s">
        <v>4593</v>
      </c>
      <c r="M1877" s="6"/>
      <c r="N1877" s="6" t="s">
        <v>4594</v>
      </c>
      <c r="O1877" s="6" t="str">
        <f>HYPERLINK("https://ceds.ed.gov/cedselementdetails.aspx?termid=5219")</f>
        <v>https://ceds.ed.gov/cedselementdetails.aspx?termid=5219</v>
      </c>
      <c r="P1877" s="6" t="str">
        <f>HYPERLINK("https://ceds.ed.gov/elementComment.aspx?elementName=Primary Telephone Number Indicator &amp;elementID=5219", "Click here to submit comment")</f>
        <v>Click here to submit comment</v>
      </c>
    </row>
    <row r="1878" spans="1:16" ht="90">
      <c r="A1878" s="6" t="s">
        <v>6869</v>
      </c>
      <c r="B1878" s="6" t="s">
        <v>6872</v>
      </c>
      <c r="C1878" s="6" t="s">
        <v>6721</v>
      </c>
      <c r="D1878" s="6" t="s">
        <v>5727</v>
      </c>
      <c r="E1878" s="6" t="s">
        <v>5728</v>
      </c>
      <c r="F1878" s="6" t="s">
        <v>13</v>
      </c>
      <c r="G1878" s="6" t="s">
        <v>5968</v>
      </c>
      <c r="H1878" s="6" t="s">
        <v>3</v>
      </c>
      <c r="I1878" s="6" t="s">
        <v>5729</v>
      </c>
      <c r="J1878" s="6"/>
      <c r="K1878" s="6"/>
      <c r="L1878" s="6" t="s">
        <v>5730</v>
      </c>
      <c r="M1878" s="6"/>
      <c r="N1878" s="6" t="s">
        <v>5731</v>
      </c>
      <c r="O1878" s="6" t="str">
        <f>HYPERLINK("https://ceds.ed.gov/cedselementdetails.aspx?termid=5279")</f>
        <v>https://ceds.ed.gov/cedselementdetails.aspx?termid=5279</v>
      </c>
      <c r="P1878" s="6" t="str">
        <f>HYPERLINK("https://ceds.ed.gov/elementComment.aspx?elementName=Telephone Number &amp;elementID=5279", "Click here to submit comment")</f>
        <v>Click here to submit comment</v>
      </c>
    </row>
    <row r="1879" spans="1:16" ht="105">
      <c r="A1879" s="6" t="s">
        <v>6869</v>
      </c>
      <c r="B1879" s="6" t="s">
        <v>6872</v>
      </c>
      <c r="C1879" s="6" t="s">
        <v>6742</v>
      </c>
      <c r="D1879" s="6" t="s">
        <v>2457</v>
      </c>
      <c r="E1879" s="6" t="s">
        <v>2458</v>
      </c>
      <c r="F1879" s="7" t="s">
        <v>6489</v>
      </c>
      <c r="G1879" s="6" t="s">
        <v>5968</v>
      </c>
      <c r="H1879" s="6" t="s">
        <v>3</v>
      </c>
      <c r="I1879" s="6"/>
      <c r="J1879" s="6"/>
      <c r="K1879" s="6"/>
      <c r="L1879" s="6" t="s">
        <v>2459</v>
      </c>
      <c r="M1879" s="6" t="s">
        <v>2460</v>
      </c>
      <c r="N1879" s="6" t="s">
        <v>2461</v>
      </c>
      <c r="O1879" s="6" t="str">
        <f>HYPERLINK("https://ceds.ed.gov/cedselementdetails.aspx?termid=5089")</f>
        <v>https://ceds.ed.gov/cedselementdetails.aspx?termid=5089</v>
      </c>
      <c r="P1879" s="6" t="str">
        <f>HYPERLINK("https://ceds.ed.gov/elementComment.aspx?elementName=Electronic Mail Address Type &amp;elementID=5089", "Click here to submit comment")</f>
        <v>Click here to submit comment</v>
      </c>
    </row>
    <row r="1880" spans="1:16" ht="90">
      <c r="A1880" s="6" t="s">
        <v>6869</v>
      </c>
      <c r="B1880" s="6" t="s">
        <v>6872</v>
      </c>
      <c r="C1880" s="6" t="s">
        <v>6742</v>
      </c>
      <c r="D1880" s="6" t="s">
        <v>2451</v>
      </c>
      <c r="E1880" s="6" t="s">
        <v>2452</v>
      </c>
      <c r="F1880" s="6" t="s">
        <v>13</v>
      </c>
      <c r="G1880" s="6" t="s">
        <v>5968</v>
      </c>
      <c r="H1880" s="6" t="s">
        <v>3</v>
      </c>
      <c r="I1880" s="6" t="s">
        <v>2453</v>
      </c>
      <c r="J1880" s="6"/>
      <c r="K1880" s="6"/>
      <c r="L1880" s="6" t="s">
        <v>2454</v>
      </c>
      <c r="M1880" s="6" t="s">
        <v>2455</v>
      </c>
      <c r="N1880" s="6" t="s">
        <v>2456</v>
      </c>
      <c r="O1880" s="6" t="str">
        <f>HYPERLINK("https://ceds.ed.gov/cedselementdetails.aspx?termid=5088")</f>
        <v>https://ceds.ed.gov/cedselementdetails.aspx?termid=5088</v>
      </c>
      <c r="P1880" s="6" t="str">
        <f>HYPERLINK("https://ceds.ed.gov/elementComment.aspx?elementName=Electronic Mail Address &amp;elementID=5088", "Click here to submit comment")</f>
        <v>Click here to submit comment</v>
      </c>
    </row>
    <row r="1881" spans="1:16" ht="240">
      <c r="A1881" s="6" t="s">
        <v>6869</v>
      </c>
      <c r="B1881" s="6" t="s">
        <v>6872</v>
      </c>
      <c r="C1881" s="6" t="s">
        <v>6722</v>
      </c>
      <c r="D1881" s="6" t="s">
        <v>1474</v>
      </c>
      <c r="E1881" s="6" t="s">
        <v>1475</v>
      </c>
      <c r="F1881" s="6" t="s">
        <v>13</v>
      </c>
      <c r="G1881" s="6" t="s">
        <v>6080</v>
      </c>
      <c r="H1881" s="6" t="s">
        <v>3</v>
      </c>
      <c r="I1881" s="6" t="s">
        <v>73</v>
      </c>
      <c r="J1881" s="6"/>
      <c r="K1881" s="6"/>
      <c r="L1881" s="6" t="s">
        <v>1476</v>
      </c>
      <c r="M1881" s="6"/>
      <c r="N1881" s="6" t="s">
        <v>1474</v>
      </c>
      <c r="O1881" s="6" t="str">
        <f>HYPERLINK("https://ceds.ed.gov/cedselementdetails.aspx?termid=5033")</f>
        <v>https://ceds.ed.gov/cedselementdetails.aspx?termid=5033</v>
      </c>
      <c r="P1881" s="6" t="str">
        <f>HYPERLINK("https://ceds.ed.gov/elementComment.aspx?elementName=Birthdate &amp;elementID=5033", "Click here to submit comment")</f>
        <v>Click here to submit comment</v>
      </c>
    </row>
    <row r="1882" spans="1:16" ht="255">
      <c r="A1882" s="6" t="s">
        <v>6869</v>
      </c>
      <c r="B1882" s="6" t="s">
        <v>6872</v>
      </c>
      <c r="C1882" s="6" t="s">
        <v>6722</v>
      </c>
      <c r="D1882" s="6" t="s">
        <v>5353</v>
      </c>
      <c r="E1882" s="6" t="s">
        <v>5354</v>
      </c>
      <c r="F1882" s="7" t="s">
        <v>6656</v>
      </c>
      <c r="G1882" s="6" t="s">
        <v>6312</v>
      </c>
      <c r="H1882" s="6" t="s">
        <v>3</v>
      </c>
      <c r="I1882" s="6"/>
      <c r="J1882" s="6"/>
      <c r="K1882" s="6" t="s">
        <v>5355</v>
      </c>
      <c r="L1882" s="6" t="s">
        <v>5356</v>
      </c>
      <c r="M1882" s="6"/>
      <c r="N1882" s="6" t="s">
        <v>5353</v>
      </c>
      <c r="O1882" s="6" t="str">
        <f>HYPERLINK("https://ceds.ed.gov/cedselementdetails.aspx?termid=5255")</f>
        <v>https://ceds.ed.gov/cedselementdetails.aspx?termid=5255</v>
      </c>
      <c r="P1882" s="6" t="str">
        <f>HYPERLINK("https://ceds.ed.gov/elementComment.aspx?elementName=Sex &amp;elementID=5255", "Click here to submit comment")</f>
        <v>Click here to submit comment</v>
      </c>
    </row>
    <row r="1883" spans="1:16" ht="225">
      <c r="A1883" s="6" t="s">
        <v>6869</v>
      </c>
      <c r="B1883" s="6" t="s">
        <v>6872</v>
      </c>
      <c r="C1883" s="6" t="s">
        <v>6722</v>
      </c>
      <c r="D1883" s="6" t="s">
        <v>351</v>
      </c>
      <c r="E1883" s="6" t="s">
        <v>352</v>
      </c>
      <c r="F1883" s="7" t="s">
        <v>6373</v>
      </c>
      <c r="G1883" s="6" t="s">
        <v>5986</v>
      </c>
      <c r="H1883" s="6"/>
      <c r="I1883" s="6"/>
      <c r="J1883" s="6"/>
      <c r="K1883" s="6" t="s">
        <v>353</v>
      </c>
      <c r="L1883" s="6" t="s">
        <v>354</v>
      </c>
      <c r="M1883" s="6"/>
      <c r="N1883" s="6" t="s">
        <v>355</v>
      </c>
      <c r="O1883" s="6" t="str">
        <f>HYPERLINK("https://ceds.ed.gov/cedselementdetails.aspx?termid=5655")</f>
        <v>https://ceds.ed.gov/cedselementdetails.aspx?termid=5655</v>
      </c>
      <c r="P1883" s="6" t="str">
        <f>HYPERLINK("https://ceds.ed.gov/elementComment.aspx?elementName=American Indian or Alaska Native &amp;elementID=5655", "Click here to submit comment")</f>
        <v>Click here to submit comment</v>
      </c>
    </row>
    <row r="1884" spans="1:16" ht="225">
      <c r="A1884" s="6" t="s">
        <v>6869</v>
      </c>
      <c r="B1884" s="6" t="s">
        <v>6872</v>
      </c>
      <c r="C1884" s="6" t="s">
        <v>6722</v>
      </c>
      <c r="D1884" s="6" t="s">
        <v>392</v>
      </c>
      <c r="E1884" s="6" t="s">
        <v>393</v>
      </c>
      <c r="F1884" s="7" t="s">
        <v>6373</v>
      </c>
      <c r="G1884" s="6" t="s">
        <v>5986</v>
      </c>
      <c r="H1884" s="6"/>
      <c r="I1884" s="6"/>
      <c r="J1884" s="6"/>
      <c r="K1884" s="6" t="s">
        <v>353</v>
      </c>
      <c r="L1884" s="6" t="s">
        <v>394</v>
      </c>
      <c r="M1884" s="6"/>
      <c r="N1884" s="6" t="s">
        <v>392</v>
      </c>
      <c r="O1884" s="6" t="str">
        <f>HYPERLINK("https://ceds.ed.gov/cedselementdetails.aspx?termid=5656")</f>
        <v>https://ceds.ed.gov/cedselementdetails.aspx?termid=5656</v>
      </c>
      <c r="P1884" s="6" t="str">
        <f>HYPERLINK("https://ceds.ed.gov/elementComment.aspx?elementName=Asian &amp;elementID=5656", "Click here to submit comment")</f>
        <v>Click here to submit comment</v>
      </c>
    </row>
    <row r="1885" spans="1:16" ht="225">
      <c r="A1885" s="6" t="s">
        <v>6869</v>
      </c>
      <c r="B1885" s="6" t="s">
        <v>6872</v>
      </c>
      <c r="C1885" s="6" t="s">
        <v>6722</v>
      </c>
      <c r="D1885" s="6" t="s">
        <v>1483</v>
      </c>
      <c r="E1885" s="6" t="s">
        <v>1484</v>
      </c>
      <c r="F1885" s="7" t="s">
        <v>6373</v>
      </c>
      <c r="G1885" s="6" t="s">
        <v>5986</v>
      </c>
      <c r="H1885" s="6"/>
      <c r="I1885" s="6"/>
      <c r="J1885" s="6"/>
      <c r="K1885" s="6" t="s">
        <v>353</v>
      </c>
      <c r="L1885" s="6" t="s">
        <v>1485</v>
      </c>
      <c r="M1885" s="6"/>
      <c r="N1885" s="6" t="s">
        <v>1486</v>
      </c>
      <c r="O1885" s="6" t="str">
        <f>HYPERLINK("https://ceds.ed.gov/cedselementdetails.aspx?termid=5657")</f>
        <v>https://ceds.ed.gov/cedselementdetails.aspx?termid=5657</v>
      </c>
      <c r="P1885" s="6" t="str">
        <f>HYPERLINK("https://ceds.ed.gov/elementComment.aspx?elementName=Black or African American &amp;elementID=5657", "Click here to submit comment")</f>
        <v>Click here to submit comment</v>
      </c>
    </row>
    <row r="1886" spans="1:16" ht="225">
      <c r="A1886" s="6" t="s">
        <v>6869</v>
      </c>
      <c r="B1886" s="6" t="s">
        <v>6872</v>
      </c>
      <c r="C1886" s="6" t="s">
        <v>6722</v>
      </c>
      <c r="D1886" s="6" t="s">
        <v>4202</v>
      </c>
      <c r="E1886" s="6" t="s">
        <v>4203</v>
      </c>
      <c r="F1886" s="7" t="s">
        <v>6373</v>
      </c>
      <c r="G1886" s="6" t="s">
        <v>5986</v>
      </c>
      <c r="H1886" s="6"/>
      <c r="I1886" s="6"/>
      <c r="J1886" s="6"/>
      <c r="K1886" s="6" t="s">
        <v>353</v>
      </c>
      <c r="L1886" s="6" t="s">
        <v>4204</v>
      </c>
      <c r="M1886" s="6"/>
      <c r="N1886" s="6" t="s">
        <v>4205</v>
      </c>
      <c r="O1886" s="6" t="str">
        <f>HYPERLINK("https://ceds.ed.gov/cedselementdetails.aspx?termid=5658")</f>
        <v>https://ceds.ed.gov/cedselementdetails.aspx?termid=5658</v>
      </c>
      <c r="P1886" s="6" t="str">
        <f>HYPERLINK("https://ceds.ed.gov/elementComment.aspx?elementName=Native Hawaiian or Other Pacific Islander &amp;elementID=5658", "Click here to submit comment")</f>
        <v>Click here to submit comment</v>
      </c>
    </row>
    <row r="1887" spans="1:16" ht="225">
      <c r="A1887" s="6" t="s">
        <v>6869</v>
      </c>
      <c r="B1887" s="6" t="s">
        <v>6872</v>
      </c>
      <c r="C1887" s="6" t="s">
        <v>6722</v>
      </c>
      <c r="D1887" s="6" t="s">
        <v>5925</v>
      </c>
      <c r="E1887" s="6" t="s">
        <v>5926</v>
      </c>
      <c r="F1887" s="7" t="s">
        <v>6373</v>
      </c>
      <c r="G1887" s="6" t="s">
        <v>5986</v>
      </c>
      <c r="H1887" s="6"/>
      <c r="I1887" s="6"/>
      <c r="J1887" s="6"/>
      <c r="K1887" s="6" t="s">
        <v>353</v>
      </c>
      <c r="L1887" s="6" t="s">
        <v>5927</v>
      </c>
      <c r="M1887" s="6"/>
      <c r="N1887" s="6" t="s">
        <v>5925</v>
      </c>
      <c r="O1887" s="6" t="str">
        <f>HYPERLINK("https://ceds.ed.gov/cedselementdetails.aspx?termid=5659")</f>
        <v>https://ceds.ed.gov/cedselementdetails.aspx?termid=5659</v>
      </c>
      <c r="P1887" s="6" t="str">
        <f>HYPERLINK("https://ceds.ed.gov/elementComment.aspx?elementName=White &amp;elementID=5659", "Click here to submit comment")</f>
        <v>Click here to submit comment</v>
      </c>
    </row>
    <row r="1888" spans="1:16" ht="225">
      <c r="A1888" s="6" t="s">
        <v>6869</v>
      </c>
      <c r="B1888" s="6" t="s">
        <v>6872</v>
      </c>
      <c r="C1888" s="6" t="s">
        <v>6722</v>
      </c>
      <c r="D1888" s="6" t="s">
        <v>2985</v>
      </c>
      <c r="E1888" s="6" t="s">
        <v>2986</v>
      </c>
      <c r="F1888" s="7" t="s">
        <v>6373</v>
      </c>
      <c r="G1888" s="6" t="s">
        <v>5986</v>
      </c>
      <c r="H1888" s="6"/>
      <c r="I1888" s="6"/>
      <c r="J1888" s="6"/>
      <c r="K1888" s="6" t="s">
        <v>353</v>
      </c>
      <c r="L1888" s="6" t="s">
        <v>2987</v>
      </c>
      <c r="M1888" s="6"/>
      <c r="N1888" s="6" t="s">
        <v>2988</v>
      </c>
      <c r="O1888" s="6" t="str">
        <f>HYPERLINK("https://ceds.ed.gov/cedselementdetails.aspx?termid=5144")</f>
        <v>https://ceds.ed.gov/cedselementdetails.aspx?termid=5144</v>
      </c>
      <c r="P1888" s="6" t="str">
        <f>HYPERLINK("https://ceds.ed.gov/elementComment.aspx?elementName=Hispanic or Latino Ethnicity &amp;elementID=5144", "Click here to submit comment")</f>
        <v>Click here to submit comment</v>
      </c>
    </row>
    <row r="1889" spans="1:16" ht="60">
      <c r="A1889" s="6" t="s">
        <v>6869</v>
      </c>
      <c r="B1889" s="6" t="s">
        <v>6872</v>
      </c>
      <c r="C1889" s="6" t="s">
        <v>6722</v>
      </c>
      <c r="D1889" s="6" t="s">
        <v>2161</v>
      </c>
      <c r="E1889" s="6" t="s">
        <v>2162</v>
      </c>
      <c r="F1889" s="6" t="s">
        <v>6132</v>
      </c>
      <c r="G1889" s="6" t="s">
        <v>6133</v>
      </c>
      <c r="H1889" s="6"/>
      <c r="I1889" s="6"/>
      <c r="J1889" s="6"/>
      <c r="K1889" s="6"/>
      <c r="L1889" s="6" t="s">
        <v>2163</v>
      </c>
      <c r="M1889" s="6"/>
      <c r="N1889" s="6" t="s">
        <v>2164</v>
      </c>
      <c r="O1889" s="6" t="str">
        <f>HYPERLINK("https://ceds.ed.gov/cedselementdetails.aspx?termid=5079")</f>
        <v>https://ceds.ed.gov/cedselementdetails.aspx?termid=5079</v>
      </c>
      <c r="P1889" s="6" t="str">
        <f>HYPERLINK("https://ceds.ed.gov/elementComment.aspx?elementName=Dependency Status &amp;elementID=5079", "Click here to submit comment")</f>
        <v>Click here to submit comment</v>
      </c>
    </row>
    <row r="1890" spans="1:16" ht="135">
      <c r="A1890" s="6" t="s">
        <v>6869</v>
      </c>
      <c r="B1890" s="6" t="s">
        <v>6872</v>
      </c>
      <c r="C1890" s="6" t="s">
        <v>6722</v>
      </c>
      <c r="D1890" s="6" t="s">
        <v>5867</v>
      </c>
      <c r="E1890" s="6" t="s">
        <v>5868</v>
      </c>
      <c r="F1890" s="7" t="s">
        <v>6689</v>
      </c>
      <c r="G1890" s="6" t="s">
        <v>6340</v>
      </c>
      <c r="H1890" s="6"/>
      <c r="I1890" s="6"/>
      <c r="J1890" s="6"/>
      <c r="K1890" s="6" t="s">
        <v>5355</v>
      </c>
      <c r="L1890" s="6" t="s">
        <v>5869</v>
      </c>
      <c r="M1890" s="6"/>
      <c r="N1890" s="6" t="s">
        <v>5870</v>
      </c>
      <c r="O1890" s="6" t="str">
        <f>HYPERLINK("https://ceds.ed.gov/cedselementdetails.aspx?termid=5299")</f>
        <v>https://ceds.ed.gov/cedselementdetails.aspx?termid=5299</v>
      </c>
      <c r="P1890" s="6" t="str">
        <f>HYPERLINK("https://ceds.ed.gov/elementComment.aspx?elementName=United States Citizenship Status &amp;elementID=5299", "Click here to submit comment")</f>
        <v>Click here to submit comment</v>
      </c>
    </row>
    <row r="1891" spans="1:16" ht="165">
      <c r="A1891" s="6" t="s">
        <v>6869</v>
      </c>
      <c r="B1891" s="6" t="s">
        <v>6872</v>
      </c>
      <c r="C1891" s="6" t="s">
        <v>6722</v>
      </c>
      <c r="D1891" s="6" t="s">
        <v>5879</v>
      </c>
      <c r="E1891" s="6" t="s">
        <v>5880</v>
      </c>
      <c r="F1891" s="7" t="s">
        <v>6691</v>
      </c>
      <c r="G1891" s="6" t="s">
        <v>1537</v>
      </c>
      <c r="H1891" s="6"/>
      <c r="I1891" s="6"/>
      <c r="J1891" s="6"/>
      <c r="K1891" s="6"/>
      <c r="L1891" s="6" t="s">
        <v>5881</v>
      </c>
      <c r="M1891" s="6"/>
      <c r="N1891" s="6" t="s">
        <v>5882</v>
      </c>
      <c r="O1891" s="6" t="str">
        <f>HYPERLINK("https://ceds.ed.gov/cedselementdetails.aspx?termid=5196")</f>
        <v>https://ceds.ed.gov/cedselementdetails.aspx?termid=5196</v>
      </c>
      <c r="P1891" s="6" t="str">
        <f>HYPERLINK("https://ceds.ed.gov/elementComment.aspx?elementName=Visa Type &amp;elementID=5196", "Click here to submit comment")</f>
        <v>Click here to submit comment</v>
      </c>
    </row>
    <row r="1892" spans="1:16" ht="195">
      <c r="A1892" s="6" t="s">
        <v>6869</v>
      </c>
      <c r="B1892" s="6" t="s">
        <v>6872</v>
      </c>
      <c r="C1892" s="6" t="s">
        <v>6722</v>
      </c>
      <c r="D1892" s="6" t="s">
        <v>1730</v>
      </c>
      <c r="E1892" s="6" t="s">
        <v>1731</v>
      </c>
      <c r="F1892" s="7" t="s">
        <v>6427</v>
      </c>
      <c r="G1892" s="6" t="s">
        <v>1537</v>
      </c>
      <c r="H1892" s="6"/>
      <c r="I1892" s="6"/>
      <c r="J1892" s="6"/>
      <c r="K1892" s="6"/>
      <c r="L1892" s="6" t="s">
        <v>1732</v>
      </c>
      <c r="M1892" s="6"/>
      <c r="N1892" s="6" t="s">
        <v>1733</v>
      </c>
      <c r="O1892" s="6" t="str">
        <f>HYPERLINK("https://ceds.ed.gov/cedselementdetails.aspx?termid=5106")</f>
        <v>https://ceds.ed.gov/cedselementdetails.aspx?termid=5106</v>
      </c>
      <c r="P1892" s="6" t="str">
        <f>HYPERLINK("https://ceds.ed.gov/elementComment.aspx?elementName=Cohort Exclusion &amp;elementID=5106", "Click here to submit comment")</f>
        <v>Click here to submit comment</v>
      </c>
    </row>
    <row r="1893" spans="1:16" ht="105">
      <c r="A1893" s="6" t="s">
        <v>6869</v>
      </c>
      <c r="B1893" s="6" t="s">
        <v>6872</v>
      </c>
      <c r="C1893" s="6" t="s">
        <v>6722</v>
      </c>
      <c r="D1893" s="6" t="s">
        <v>5846</v>
      </c>
      <c r="E1893" s="6" t="s">
        <v>5847</v>
      </c>
      <c r="F1893" s="7" t="s">
        <v>6686</v>
      </c>
      <c r="G1893" s="6" t="s">
        <v>1537</v>
      </c>
      <c r="H1893" s="6"/>
      <c r="I1893" s="6"/>
      <c r="J1893" s="6"/>
      <c r="K1893" s="6"/>
      <c r="L1893" s="6" t="s">
        <v>5848</v>
      </c>
      <c r="M1893" s="6"/>
      <c r="N1893" s="6" t="s">
        <v>5849</v>
      </c>
      <c r="O1893" s="6" t="str">
        <f>HYPERLINK("https://ceds.ed.gov/cedselementdetails.aspx?termid=5297")</f>
        <v>https://ceds.ed.gov/cedselementdetails.aspx?termid=5297</v>
      </c>
      <c r="P1893" s="6" t="str">
        <f>HYPERLINK("https://ceds.ed.gov/elementComment.aspx?elementName=Tuition Residency Type &amp;elementID=5297", "Click here to submit comment")</f>
        <v>Click here to submit comment</v>
      </c>
    </row>
    <row r="1894" spans="1:16" ht="120">
      <c r="A1894" s="6" t="s">
        <v>6869</v>
      </c>
      <c r="B1894" s="6" t="s">
        <v>6872</v>
      </c>
      <c r="C1894" s="6" t="s">
        <v>6722</v>
      </c>
      <c r="D1894" s="6" t="s">
        <v>1534</v>
      </c>
      <c r="E1894" s="6" t="s">
        <v>1535</v>
      </c>
      <c r="F1894" s="7" t="s">
        <v>6413</v>
      </c>
      <c r="G1894" s="6" t="s">
        <v>1537</v>
      </c>
      <c r="H1894" s="6"/>
      <c r="I1894" s="6"/>
      <c r="J1894" s="6"/>
      <c r="K1894" s="6"/>
      <c r="L1894" s="6" t="s">
        <v>1538</v>
      </c>
      <c r="M1894" s="6"/>
      <c r="N1894" s="6" t="s">
        <v>1539</v>
      </c>
      <c r="O1894" s="6" t="str">
        <f>HYPERLINK("https://ceds.ed.gov/cedselementdetails.aspx?termid=5035")</f>
        <v>https://ceds.ed.gov/cedselementdetails.aspx?termid=5035</v>
      </c>
      <c r="P1894" s="6" t="str">
        <f>HYPERLINK("https://ceds.ed.gov/elementComment.aspx?elementName=Campus Residency Type &amp;elementID=5035", "Click here to submit comment")</f>
        <v>Click here to submit comment</v>
      </c>
    </row>
    <row r="1895" spans="1:16" ht="165">
      <c r="A1895" s="6" t="s">
        <v>6869</v>
      </c>
      <c r="B1895" s="6" t="s">
        <v>6872</v>
      </c>
      <c r="C1895" s="6" t="s">
        <v>6722</v>
      </c>
      <c r="D1895" s="6" t="s">
        <v>3975</v>
      </c>
      <c r="E1895" s="6" t="s">
        <v>3976</v>
      </c>
      <c r="F1895" s="7" t="s">
        <v>6574</v>
      </c>
      <c r="G1895" s="6" t="s">
        <v>24</v>
      </c>
      <c r="H1895" s="6"/>
      <c r="I1895" s="6"/>
      <c r="J1895" s="6"/>
      <c r="K1895" s="6"/>
      <c r="L1895" s="6" t="s">
        <v>3977</v>
      </c>
      <c r="M1895" s="6" t="s">
        <v>3978</v>
      </c>
      <c r="N1895" s="6" t="s">
        <v>3979</v>
      </c>
      <c r="O1895" s="6" t="str">
        <f>HYPERLINK("https://ceds.ed.gov/cedselementdetails.aspx?termid=5179")</f>
        <v>https://ceds.ed.gov/cedselementdetails.aspx?termid=5179</v>
      </c>
      <c r="P1895" s="6" t="str">
        <f>HYPERLINK("https://ceds.ed.gov/elementComment.aspx?elementName=Limited English Proficiency - Postsecondary &amp;elementID=5179", "Click here to submit comment")</f>
        <v>Click here to submit comment</v>
      </c>
    </row>
    <row r="1896" spans="1:16" ht="45">
      <c r="A1896" s="6" t="s">
        <v>6869</v>
      </c>
      <c r="B1896" s="6" t="s">
        <v>6872</v>
      </c>
      <c r="C1896" s="6" t="s">
        <v>6722</v>
      </c>
      <c r="D1896" s="6" t="s">
        <v>1734</v>
      </c>
      <c r="E1896" s="6" t="s">
        <v>1735</v>
      </c>
      <c r="F1896" s="6" t="s">
        <v>13</v>
      </c>
      <c r="G1896" s="6" t="s">
        <v>6101</v>
      </c>
      <c r="H1896" s="6" t="s">
        <v>3</v>
      </c>
      <c r="I1896" s="6" t="s">
        <v>1736</v>
      </c>
      <c r="J1896" s="6"/>
      <c r="K1896" s="6"/>
      <c r="L1896" s="6" t="s">
        <v>1737</v>
      </c>
      <c r="M1896" s="6"/>
      <c r="N1896" s="6" t="s">
        <v>1738</v>
      </c>
      <c r="O1896" s="6" t="str">
        <f>HYPERLINK("https://ceds.ed.gov/cedselementdetails.aspx?termid=5577")</f>
        <v>https://ceds.ed.gov/cedselementdetails.aspx?termid=5577</v>
      </c>
      <c r="P1896" s="6" t="str">
        <f>HYPERLINK("https://ceds.ed.gov/elementComment.aspx?elementName=Cohort Graduation Year &amp;elementID=5577", "Click here to submit comment")</f>
        <v>Click here to submit comment</v>
      </c>
    </row>
    <row r="1897" spans="1:16" ht="210">
      <c r="A1897" s="6" t="s">
        <v>6869</v>
      </c>
      <c r="B1897" s="6" t="s">
        <v>6872</v>
      </c>
      <c r="C1897" s="6" t="s">
        <v>6722</v>
      </c>
      <c r="D1897" s="6" t="s">
        <v>2649</v>
      </c>
      <c r="E1897" s="6" t="s">
        <v>2650</v>
      </c>
      <c r="F1897" s="7" t="s">
        <v>6506</v>
      </c>
      <c r="G1897" s="6"/>
      <c r="H1897" s="6"/>
      <c r="I1897" s="6"/>
      <c r="J1897" s="6"/>
      <c r="K1897" s="6"/>
      <c r="L1897" s="6" t="s">
        <v>2651</v>
      </c>
      <c r="M1897" s="6"/>
      <c r="N1897" s="6" t="s">
        <v>2652</v>
      </c>
      <c r="O1897" s="6" t="str">
        <f>HYPERLINK("https://ceds.ed.gov/cedselementdetails.aspx?termid=6195")</f>
        <v>https://ceds.ed.gov/cedselementdetails.aspx?termid=6195</v>
      </c>
      <c r="P1897" s="6" t="str">
        <f>HYPERLINK("https://ceds.ed.gov/elementComment.aspx?elementName=Father's or Paternal Guardian Education &amp;elementID=6195", "Click here to submit comment")</f>
        <v>Click here to submit comment</v>
      </c>
    </row>
    <row r="1898" spans="1:16" ht="210">
      <c r="A1898" s="6" t="s">
        <v>6869</v>
      </c>
      <c r="B1898" s="6" t="s">
        <v>6872</v>
      </c>
      <c r="C1898" s="6" t="s">
        <v>6722</v>
      </c>
      <c r="D1898" s="6" t="s">
        <v>4173</v>
      </c>
      <c r="E1898" s="6" t="s">
        <v>4174</v>
      </c>
      <c r="F1898" s="7" t="s">
        <v>6506</v>
      </c>
      <c r="G1898" s="6"/>
      <c r="H1898" s="6"/>
      <c r="I1898" s="6"/>
      <c r="J1898" s="6"/>
      <c r="K1898" s="6"/>
      <c r="L1898" s="6" t="s">
        <v>4175</v>
      </c>
      <c r="M1898" s="6"/>
      <c r="N1898" s="6" t="s">
        <v>4176</v>
      </c>
      <c r="O1898" s="6" t="str">
        <f>HYPERLINK("https://ceds.ed.gov/cedselementdetails.aspx?termid=6194")</f>
        <v>https://ceds.ed.gov/cedselementdetails.aspx?termid=6194</v>
      </c>
      <c r="P1898" s="6" t="str">
        <f>HYPERLINK("https://ceds.ed.gov/elementComment.aspx?elementName=Mother's or Maternal Guardian Education &amp;elementID=6194", "Click here to submit comment")</f>
        <v>Click here to submit comment</v>
      </c>
    </row>
    <row r="1899" spans="1:16" ht="60">
      <c r="A1899" s="6" t="s">
        <v>6869</v>
      </c>
      <c r="B1899" s="6" t="s">
        <v>6872</v>
      </c>
      <c r="C1899" s="6" t="s">
        <v>6722</v>
      </c>
      <c r="D1899" s="6" t="s">
        <v>4274</v>
      </c>
      <c r="E1899" s="6" t="s">
        <v>4275</v>
      </c>
      <c r="F1899" s="6" t="s">
        <v>13</v>
      </c>
      <c r="G1899" s="6"/>
      <c r="H1899" s="6" t="s">
        <v>54</v>
      </c>
      <c r="I1899" s="6" t="s">
        <v>575</v>
      </c>
      <c r="J1899" s="6"/>
      <c r="K1899" s="6"/>
      <c r="L1899" s="6" t="s">
        <v>4276</v>
      </c>
      <c r="M1899" s="6"/>
      <c r="N1899" s="6" t="s">
        <v>4277</v>
      </c>
      <c r="O1899" s="6" t="str">
        <f>HYPERLINK("https://ceds.ed.gov/cedselementdetails.aspx?termid=6384")</f>
        <v>https://ceds.ed.gov/cedselementdetails.aspx?termid=6384</v>
      </c>
      <c r="P1899" s="6" t="str">
        <f>HYPERLINK("https://ceds.ed.gov/elementComment.aspx?elementName=Number of Dependents &amp;elementID=6384", "Click here to submit comment")</f>
        <v>Click here to submit comment</v>
      </c>
    </row>
    <row r="1900" spans="1:16" ht="105">
      <c r="A1900" s="6" t="s">
        <v>6869</v>
      </c>
      <c r="B1900" s="6" t="s">
        <v>6872</v>
      </c>
      <c r="C1900" s="6" t="s">
        <v>6722</v>
      </c>
      <c r="D1900" s="6" t="s">
        <v>5370</v>
      </c>
      <c r="E1900" s="6" t="s">
        <v>5371</v>
      </c>
      <c r="F1900" s="6" t="s">
        <v>5963</v>
      </c>
      <c r="G1900" s="6" t="s">
        <v>6101</v>
      </c>
      <c r="H1900" s="6" t="s">
        <v>3</v>
      </c>
      <c r="I1900" s="6"/>
      <c r="J1900" s="6"/>
      <c r="K1900" s="6"/>
      <c r="L1900" s="6" t="s">
        <v>5372</v>
      </c>
      <c r="M1900" s="6"/>
      <c r="N1900" s="6" t="s">
        <v>5373</v>
      </c>
      <c r="O1900" s="6" t="str">
        <f>HYPERLINK("https://ceds.ed.gov/cedselementdetails.aspx?termid=5573")</f>
        <v>https://ceds.ed.gov/cedselementdetails.aspx?termid=5573</v>
      </c>
      <c r="P1900" s="6" t="str">
        <f>HYPERLINK("https://ceds.ed.gov/elementComment.aspx?elementName=Single Parent Or Single Pregnant Woman Status &amp;elementID=5573", "Click here to submit comment")</f>
        <v>Click here to submit comment</v>
      </c>
    </row>
    <row r="1901" spans="1:16" ht="255">
      <c r="A1901" s="6" t="s">
        <v>6869</v>
      </c>
      <c r="B1901" s="6" t="s">
        <v>6872</v>
      </c>
      <c r="C1901" s="6" t="s">
        <v>6873</v>
      </c>
      <c r="D1901" s="6" t="s">
        <v>5529</v>
      </c>
      <c r="E1901" s="6" t="s">
        <v>5530</v>
      </c>
      <c r="F1901" s="6" t="s">
        <v>6323</v>
      </c>
      <c r="G1901" s="6" t="s">
        <v>1537</v>
      </c>
      <c r="H1901" s="6"/>
      <c r="I1901" s="6"/>
      <c r="J1901" s="6"/>
      <c r="K1901" s="6"/>
      <c r="L1901" s="6" t="s">
        <v>5531</v>
      </c>
      <c r="M1901" s="6"/>
      <c r="N1901" s="6" t="s">
        <v>5532</v>
      </c>
      <c r="O1901" s="6" t="str">
        <f>HYPERLINK("https://ceds.ed.gov/cedselementdetails.aspx?termid=5266")</f>
        <v>https://ceds.ed.gov/cedselementdetails.aspx?termid=5266</v>
      </c>
      <c r="P1901" s="6" t="str">
        <f>HYPERLINK("https://ceds.ed.gov/elementComment.aspx?elementName=Standardized Admission Test Type &amp;elementID=5266", "Click here to submit comment")</f>
        <v>Click here to submit comment</v>
      </c>
    </row>
    <row r="1902" spans="1:16" ht="45">
      <c r="A1902" s="6" t="s">
        <v>6869</v>
      </c>
      <c r="B1902" s="6" t="s">
        <v>6872</v>
      </c>
      <c r="C1902" s="6" t="s">
        <v>6873</v>
      </c>
      <c r="D1902" s="6" t="s">
        <v>5524</v>
      </c>
      <c r="E1902" s="6" t="s">
        <v>5525</v>
      </c>
      <c r="F1902" s="6" t="s">
        <v>13</v>
      </c>
      <c r="G1902" s="6" t="s">
        <v>1537</v>
      </c>
      <c r="H1902" s="6"/>
      <c r="I1902" s="6" t="s">
        <v>545</v>
      </c>
      <c r="J1902" s="6"/>
      <c r="K1902" s="6"/>
      <c r="L1902" s="6" t="s">
        <v>5527</v>
      </c>
      <c r="M1902" s="6"/>
      <c r="N1902" s="6" t="s">
        <v>5528</v>
      </c>
      <c r="O1902" s="6" t="str">
        <f>HYPERLINK("https://ceds.ed.gov/cedselementdetails.aspx?termid=5265")</f>
        <v>https://ceds.ed.gov/cedselementdetails.aspx?termid=5265</v>
      </c>
      <c r="P1902" s="6" t="str">
        <f>HYPERLINK("https://ceds.ed.gov/elementComment.aspx?elementName=Standardized Admission Test Score &amp;elementID=5265", "Click here to submit comment")</f>
        <v>Click here to submit comment</v>
      </c>
    </row>
    <row r="1903" spans="1:16" ht="90">
      <c r="A1903" s="6" t="s">
        <v>6869</v>
      </c>
      <c r="B1903" s="6" t="s">
        <v>6872</v>
      </c>
      <c r="C1903" s="6" t="s">
        <v>6805</v>
      </c>
      <c r="D1903" s="6" t="s">
        <v>1712</v>
      </c>
      <c r="E1903" s="6" t="s">
        <v>1713</v>
      </c>
      <c r="F1903" s="7" t="s">
        <v>6425</v>
      </c>
      <c r="G1903" s="6" t="s">
        <v>5976</v>
      </c>
      <c r="H1903" s="6"/>
      <c r="I1903" s="6"/>
      <c r="J1903" s="6"/>
      <c r="K1903" s="6"/>
      <c r="L1903" s="6" t="s">
        <v>1714</v>
      </c>
      <c r="M1903" s="6" t="s">
        <v>1715</v>
      </c>
      <c r="N1903" s="6" t="s">
        <v>1716</v>
      </c>
      <c r="O1903" s="6" t="str">
        <f>HYPERLINK("https://ceds.ed.gov/cedselementdetails.aspx?termid=5045")</f>
        <v>https://ceds.ed.gov/cedselementdetails.aspx?termid=5045</v>
      </c>
      <c r="P1903" s="6" t="str">
        <f>HYPERLINK("https://ceds.ed.gov/elementComment.aspx?elementName=Classification of Instructional Program Version &amp;elementID=5045", "Click here to submit comment")</f>
        <v>Click here to submit comment</v>
      </c>
    </row>
    <row r="1904" spans="1:16" ht="135">
      <c r="A1904" s="6" t="s">
        <v>6869</v>
      </c>
      <c r="B1904" s="6" t="s">
        <v>6872</v>
      </c>
      <c r="C1904" s="6" t="s">
        <v>6805</v>
      </c>
      <c r="D1904" s="6" t="s">
        <v>1706</v>
      </c>
      <c r="E1904" s="6" t="s">
        <v>1707</v>
      </c>
      <c r="F1904" s="7" t="s">
        <v>6424</v>
      </c>
      <c r="G1904" s="6" t="s">
        <v>5976</v>
      </c>
      <c r="H1904" s="6"/>
      <c r="I1904" s="6"/>
      <c r="J1904" s="6"/>
      <c r="K1904" s="6"/>
      <c r="L1904" s="6" t="s">
        <v>1709</v>
      </c>
      <c r="M1904" s="6" t="s">
        <v>1710</v>
      </c>
      <c r="N1904" s="6" t="s">
        <v>1711</v>
      </c>
      <c r="O1904" s="6" t="str">
        <f>HYPERLINK("https://ceds.ed.gov/cedselementdetails.aspx?termid=5044")</f>
        <v>https://ceds.ed.gov/cedselementdetails.aspx?termid=5044</v>
      </c>
      <c r="P1904" s="6" t="str">
        <f>HYPERLINK("https://ceds.ed.gov/elementComment.aspx?elementName=Classification of Instructional Program Use &amp;elementID=5044", "Click here to submit comment")</f>
        <v>Click here to submit comment</v>
      </c>
    </row>
    <row r="1905" spans="1:16" ht="75">
      <c r="A1905" s="6" t="s">
        <v>6869</v>
      </c>
      <c r="B1905" s="6" t="s">
        <v>6872</v>
      </c>
      <c r="C1905" s="6" t="s">
        <v>6805</v>
      </c>
      <c r="D1905" s="6" t="s">
        <v>1700</v>
      </c>
      <c r="E1905" s="6" t="s">
        <v>1701</v>
      </c>
      <c r="F1905" s="5" t="s">
        <v>1702</v>
      </c>
      <c r="G1905" s="6" t="s">
        <v>5967</v>
      </c>
      <c r="H1905" s="6" t="s">
        <v>3</v>
      </c>
      <c r="I1905" s="6"/>
      <c r="J1905" s="6"/>
      <c r="K1905" s="6"/>
      <c r="L1905" s="6" t="s">
        <v>1703</v>
      </c>
      <c r="M1905" s="6" t="s">
        <v>1704</v>
      </c>
      <c r="N1905" s="6" t="s">
        <v>1705</v>
      </c>
      <c r="O1905" s="6" t="str">
        <f>HYPERLINK("https://ceds.ed.gov/cedselementdetails.aspx?termid=5043")</f>
        <v>https://ceds.ed.gov/cedselementdetails.aspx?termid=5043</v>
      </c>
      <c r="P1905" s="6" t="str">
        <f>HYPERLINK("https://ceds.ed.gov/elementComment.aspx?elementName=Classification of Instructional Program Code &amp;elementID=5043", "Click here to submit comment")</f>
        <v>Click here to submit comment</v>
      </c>
    </row>
    <row r="1906" spans="1:16" ht="105">
      <c r="A1906" s="6" t="s">
        <v>6869</v>
      </c>
      <c r="B1906" s="6" t="s">
        <v>6872</v>
      </c>
      <c r="C1906" s="6" t="s">
        <v>6805</v>
      </c>
      <c r="D1906" s="6" t="s">
        <v>2127</v>
      </c>
      <c r="E1906" s="6" t="s">
        <v>2128</v>
      </c>
      <c r="F1906" s="6" t="s">
        <v>5963</v>
      </c>
      <c r="G1906" s="6" t="s">
        <v>5967</v>
      </c>
      <c r="H1906" s="6"/>
      <c r="I1906" s="6"/>
      <c r="J1906" s="6"/>
      <c r="K1906" s="6"/>
      <c r="L1906" s="6" t="s">
        <v>2129</v>
      </c>
      <c r="M1906" s="6"/>
      <c r="N1906" s="6" t="s">
        <v>2130</v>
      </c>
      <c r="O1906" s="6" t="str">
        <f>HYPERLINK("https://ceds.ed.gov/cedselementdetails.aspx?termid=5078")</f>
        <v>https://ceds.ed.gov/cedselementdetails.aspx?termid=5078</v>
      </c>
      <c r="P1906" s="6" t="str">
        <f>HYPERLINK("https://ceds.ed.gov/elementComment.aspx?elementName=Degree or Certificate Seeking Student &amp;elementID=5078", "Click here to submit comment")</f>
        <v>Click here to submit comment</v>
      </c>
    </row>
    <row r="1907" spans="1:16" ht="75">
      <c r="A1907" s="6" t="s">
        <v>6869</v>
      </c>
      <c r="B1907" s="6" t="s">
        <v>6872</v>
      </c>
      <c r="C1907" s="6" t="s">
        <v>6805</v>
      </c>
      <c r="D1907" s="6" t="s">
        <v>4805</v>
      </c>
      <c r="E1907" s="6" t="s">
        <v>4806</v>
      </c>
      <c r="F1907" s="6" t="s">
        <v>13</v>
      </c>
      <c r="G1907" s="6" t="s">
        <v>1537</v>
      </c>
      <c r="H1907" s="6"/>
      <c r="I1907" s="6" t="s">
        <v>1461</v>
      </c>
      <c r="J1907" s="6"/>
      <c r="K1907" s="6"/>
      <c r="L1907" s="6" t="s">
        <v>4807</v>
      </c>
      <c r="M1907" s="6"/>
      <c r="N1907" s="6" t="s">
        <v>4808</v>
      </c>
      <c r="O1907" s="6" t="str">
        <f>HYPERLINK("https://ceds.ed.gov/cedselementdetails.aspx?termid=5223")</f>
        <v>https://ceds.ed.gov/cedselementdetails.aspx?termid=5223</v>
      </c>
      <c r="P1907" s="6" t="str">
        <f>HYPERLINK("https://ceds.ed.gov/elementComment.aspx?elementName=Program Length Hours &amp;elementID=5223", "Click here to submit comment")</f>
        <v>Click here to submit comment</v>
      </c>
    </row>
    <row r="1908" spans="1:16" ht="45">
      <c r="A1908" s="6" t="s">
        <v>6869</v>
      </c>
      <c r="B1908" s="6" t="s">
        <v>6872</v>
      </c>
      <c r="C1908" s="6" t="s">
        <v>6805</v>
      </c>
      <c r="D1908" s="6" t="s">
        <v>4809</v>
      </c>
      <c r="E1908" s="6" t="s">
        <v>4810</v>
      </c>
      <c r="F1908" s="6" t="s">
        <v>6212</v>
      </c>
      <c r="G1908" s="6" t="s">
        <v>1537</v>
      </c>
      <c r="H1908" s="6"/>
      <c r="I1908" s="6"/>
      <c r="J1908" s="6"/>
      <c r="K1908" s="6"/>
      <c r="L1908" s="6" t="s">
        <v>4811</v>
      </c>
      <c r="M1908" s="6"/>
      <c r="N1908" s="6" t="s">
        <v>4812</v>
      </c>
      <c r="O1908" s="6" t="str">
        <f>HYPERLINK("https://ceds.ed.gov/cedselementdetails.aspx?termid=5224")</f>
        <v>https://ceds.ed.gov/cedselementdetails.aspx?termid=5224</v>
      </c>
      <c r="P1908" s="6" t="str">
        <f>HYPERLINK("https://ceds.ed.gov/elementComment.aspx?elementName=Program Length Hours Type &amp;elementID=5224", "Click here to submit comment")</f>
        <v>Click here to submit comment</v>
      </c>
    </row>
    <row r="1909" spans="1:16" ht="210">
      <c r="A1909" s="6" t="s">
        <v>6869</v>
      </c>
      <c r="B1909" s="6" t="s">
        <v>6872</v>
      </c>
      <c r="C1909" s="6" t="s">
        <v>6805</v>
      </c>
      <c r="D1909" s="6" t="s">
        <v>4237</v>
      </c>
      <c r="E1909" s="6" t="s">
        <v>4238</v>
      </c>
      <c r="F1909" s="6" t="s">
        <v>13</v>
      </c>
      <c r="G1909" s="6" t="s">
        <v>5976</v>
      </c>
      <c r="H1909" s="6"/>
      <c r="I1909" s="6" t="s">
        <v>106</v>
      </c>
      <c r="J1909" s="6"/>
      <c r="K1909" s="6"/>
      <c r="L1909" s="6" t="s">
        <v>4239</v>
      </c>
      <c r="M1909" s="6"/>
      <c r="N1909" s="6" t="s">
        <v>4240</v>
      </c>
      <c r="O1909" s="6" t="str">
        <f>HYPERLINK("https://ceds.ed.gov/cedselementdetails.aspx?termid=5197")</f>
        <v>https://ceds.ed.gov/cedselementdetails.aspx?termid=5197</v>
      </c>
      <c r="P1909" s="6" t="str">
        <f>HYPERLINK("https://ceds.ed.gov/elementComment.aspx?elementName=Normal Length of Time for Completion &amp;elementID=5197", "Click here to submit comment")</f>
        <v>Click here to submit comment</v>
      </c>
    </row>
    <row r="1910" spans="1:16" ht="90">
      <c r="A1910" s="6" t="s">
        <v>6869</v>
      </c>
      <c r="B1910" s="6" t="s">
        <v>6872</v>
      </c>
      <c r="C1910" s="6" t="s">
        <v>6805</v>
      </c>
      <c r="D1910" s="6" t="s">
        <v>4241</v>
      </c>
      <c r="E1910" s="6" t="s">
        <v>4242</v>
      </c>
      <c r="F1910" s="6" t="s">
        <v>6258</v>
      </c>
      <c r="G1910" s="6" t="s">
        <v>5976</v>
      </c>
      <c r="H1910" s="6"/>
      <c r="I1910" s="6"/>
      <c r="J1910" s="6"/>
      <c r="K1910" s="6"/>
      <c r="L1910" s="6" t="s">
        <v>4243</v>
      </c>
      <c r="M1910" s="6"/>
      <c r="N1910" s="6" t="s">
        <v>4244</v>
      </c>
      <c r="O1910" s="6" t="str">
        <f>HYPERLINK("https://ceds.ed.gov/cedselementdetails.aspx?termid=5198")</f>
        <v>https://ceds.ed.gov/cedselementdetails.aspx?termid=5198</v>
      </c>
      <c r="P1910" s="6" t="str">
        <f>HYPERLINK("https://ceds.ed.gov/elementComment.aspx?elementName=Normal Length of Time for Completion Units &amp;elementID=5198", "Click here to submit comment")</f>
        <v>Click here to submit comment</v>
      </c>
    </row>
    <row r="1911" spans="1:16" ht="195">
      <c r="A1911" s="6" t="s">
        <v>6869</v>
      </c>
      <c r="B1911" s="6" t="s">
        <v>6872</v>
      </c>
      <c r="C1911" s="6" t="s">
        <v>6805</v>
      </c>
      <c r="D1911" s="6" t="s">
        <v>2781</v>
      </c>
      <c r="E1911" s="6" t="s">
        <v>2782</v>
      </c>
      <c r="F1911" s="6" t="s">
        <v>5963</v>
      </c>
      <c r="G1911" s="6" t="s">
        <v>5976</v>
      </c>
      <c r="H1911" s="6"/>
      <c r="I1911" s="6"/>
      <c r="J1911" s="6"/>
      <c r="K1911" s="6"/>
      <c r="L1911" s="6" t="s">
        <v>2783</v>
      </c>
      <c r="M1911" s="6"/>
      <c r="N1911" s="6" t="s">
        <v>2784</v>
      </c>
      <c r="O1911" s="6" t="str">
        <f>HYPERLINK("https://ceds.ed.gov/cedselementdetails.aspx?termid=5117")</f>
        <v>https://ceds.ed.gov/cedselementdetails.aspx?termid=5117</v>
      </c>
      <c r="P1911" s="6" t="str">
        <f>HYPERLINK("https://ceds.ed.gov/elementComment.aspx?elementName=First Time Postsecondary Student &amp;elementID=5117", "Click here to submit comment")</f>
        <v>Click here to submit comment</v>
      </c>
    </row>
    <row r="1912" spans="1:16" ht="90">
      <c r="A1912" s="6" t="s">
        <v>6869</v>
      </c>
      <c r="B1912" s="6" t="s">
        <v>6872</v>
      </c>
      <c r="C1912" s="6" t="s">
        <v>6805</v>
      </c>
      <c r="D1912" s="6" t="s">
        <v>5618</v>
      </c>
      <c r="E1912" s="6" t="s">
        <v>5619</v>
      </c>
      <c r="F1912" s="6" t="s">
        <v>6331</v>
      </c>
      <c r="G1912" s="6" t="s">
        <v>5976</v>
      </c>
      <c r="H1912" s="6"/>
      <c r="I1912" s="6"/>
      <c r="J1912" s="6"/>
      <c r="K1912" s="6"/>
      <c r="L1912" s="6" t="s">
        <v>5620</v>
      </c>
      <c r="M1912" s="6"/>
      <c r="N1912" s="6" t="s">
        <v>5621</v>
      </c>
      <c r="O1912" s="6" t="str">
        <f>HYPERLINK("https://ceds.ed.gov/cedselementdetails.aspx?termid=5272")</f>
        <v>https://ceds.ed.gov/cedselementdetails.aspx?termid=5272</v>
      </c>
      <c r="P1912" s="6" t="str">
        <f>HYPERLINK("https://ceds.ed.gov/elementComment.aspx?elementName=Student Level &amp;elementID=5272", "Click here to submit comment")</f>
        <v>Click here to submit comment</v>
      </c>
    </row>
    <row r="1913" spans="1:16" ht="375">
      <c r="A1913" s="6" t="s">
        <v>6869</v>
      </c>
      <c r="B1913" s="6" t="s">
        <v>6872</v>
      </c>
      <c r="C1913" s="6" t="s">
        <v>6805</v>
      </c>
      <c r="D1913" s="6" t="s">
        <v>2558</v>
      </c>
      <c r="E1913" s="6" t="s">
        <v>2559</v>
      </c>
      <c r="F1913" s="7" t="s">
        <v>6346</v>
      </c>
      <c r="G1913" s="6" t="s">
        <v>5976</v>
      </c>
      <c r="H1913" s="6"/>
      <c r="I1913" s="6"/>
      <c r="J1913" s="6"/>
      <c r="K1913" s="6"/>
      <c r="L1913" s="6" t="s">
        <v>2560</v>
      </c>
      <c r="M1913" s="6"/>
      <c r="N1913" s="6" t="s">
        <v>2561</v>
      </c>
      <c r="O1913" s="6" t="str">
        <f>HYPERLINK("https://ceds.ed.gov/cedselementdetails.aspx?termid=5360")</f>
        <v>https://ceds.ed.gov/cedselementdetails.aspx?termid=5360</v>
      </c>
      <c r="P1913" s="6" t="str">
        <f>HYPERLINK("https://ceds.ed.gov/elementComment.aspx?elementName=Enrollment in Postsecondary Award Type &amp;elementID=5360", "Click here to submit comment")</f>
        <v>Click here to submit comment</v>
      </c>
    </row>
    <row r="1914" spans="1:16" ht="105">
      <c r="A1914" s="6" t="s">
        <v>6869</v>
      </c>
      <c r="B1914" s="6" t="s">
        <v>6872</v>
      </c>
      <c r="C1914" s="6" t="s">
        <v>6805</v>
      </c>
      <c r="D1914" s="6" t="s">
        <v>4532</v>
      </c>
      <c r="E1914" s="6" t="s">
        <v>4533</v>
      </c>
      <c r="F1914" s="7" t="s">
        <v>6601</v>
      </c>
      <c r="G1914" s="6" t="s">
        <v>5976</v>
      </c>
      <c r="H1914" s="6"/>
      <c r="I1914" s="6"/>
      <c r="J1914" s="6"/>
      <c r="K1914" s="6"/>
      <c r="L1914" s="6" t="s">
        <v>4534</v>
      </c>
      <c r="M1914" s="6"/>
      <c r="N1914" s="6" t="s">
        <v>4535</v>
      </c>
      <c r="O1914" s="6" t="str">
        <f>HYPERLINK("https://ceds.ed.gov/cedselementdetails.aspx?termid=5095")</f>
        <v>https://ceds.ed.gov/cedselementdetails.aspx?termid=5095</v>
      </c>
      <c r="P1914" s="6" t="str">
        <f>HYPERLINK("https://ceds.ed.gov/elementComment.aspx?elementName=Postsecondary Enrollment Type &amp;elementID=5095", "Click here to submit comment")</f>
        <v>Click here to submit comment</v>
      </c>
    </row>
    <row r="1915" spans="1:16" ht="75">
      <c r="A1915" s="6" t="s">
        <v>6869</v>
      </c>
      <c r="B1915" s="6" t="s">
        <v>6872</v>
      </c>
      <c r="C1915" s="6" t="s">
        <v>6805</v>
      </c>
      <c r="D1915" s="6" t="s">
        <v>4528</v>
      </c>
      <c r="E1915" s="6" t="s">
        <v>4529</v>
      </c>
      <c r="F1915" s="7" t="s">
        <v>6497</v>
      </c>
      <c r="G1915" s="6" t="s">
        <v>2476</v>
      </c>
      <c r="H1915" s="6"/>
      <c r="I1915" s="6"/>
      <c r="J1915" s="6"/>
      <c r="K1915" s="6"/>
      <c r="L1915" s="6" t="s">
        <v>4530</v>
      </c>
      <c r="M1915" s="6"/>
      <c r="N1915" s="6" t="s">
        <v>4531</v>
      </c>
      <c r="O1915" s="6" t="str">
        <f>HYPERLINK("https://ceds.ed.gov/cedselementdetails.aspx?termid=5096")</f>
        <v>https://ceds.ed.gov/cedselementdetails.aspx?termid=5096</v>
      </c>
      <c r="P1915" s="6" t="str">
        <f>HYPERLINK("https://ceds.ed.gov/elementComment.aspx?elementName=Postsecondary Enrollment Status &amp;elementID=5096", "Click here to submit comment")</f>
        <v>Click here to submit comment</v>
      </c>
    </row>
    <row r="1916" spans="1:16" ht="90">
      <c r="A1916" s="6" t="s">
        <v>6869</v>
      </c>
      <c r="B1916" s="6" t="s">
        <v>6872</v>
      </c>
      <c r="C1916" s="6" t="s">
        <v>6805</v>
      </c>
      <c r="D1916" s="6" t="s">
        <v>2566</v>
      </c>
      <c r="E1916" s="6" t="s">
        <v>2567</v>
      </c>
      <c r="F1916" s="6" t="s">
        <v>13</v>
      </c>
      <c r="G1916" s="6" t="s">
        <v>6160</v>
      </c>
      <c r="H1916" s="6"/>
      <c r="I1916" s="6" t="s">
        <v>73</v>
      </c>
      <c r="J1916" s="6"/>
      <c r="K1916" s="6"/>
      <c r="L1916" s="6" t="s">
        <v>2568</v>
      </c>
      <c r="M1916" s="6"/>
      <c r="N1916" s="6" t="s">
        <v>2569</v>
      </c>
      <c r="O1916" s="6" t="str">
        <f>HYPERLINK("https://ceds.ed.gov/cedselementdetails.aspx?termid=5098")</f>
        <v>https://ceds.ed.gov/cedselementdetails.aspx?termid=5098</v>
      </c>
      <c r="P1916" s="6" t="str">
        <f>HYPERLINK("https://ceds.ed.gov/elementComment.aspx?elementName=Entry Date into Postsecondary &amp;elementID=5098", "Click here to submit comment")</f>
        <v>Click here to submit comment</v>
      </c>
    </row>
    <row r="1917" spans="1:16" ht="60">
      <c r="A1917" s="6" t="s">
        <v>6869</v>
      </c>
      <c r="B1917" s="6" t="s">
        <v>6872</v>
      </c>
      <c r="C1917" s="6" t="s">
        <v>6805</v>
      </c>
      <c r="D1917" s="6" t="s">
        <v>2578</v>
      </c>
      <c r="E1917" s="6" t="s">
        <v>2579</v>
      </c>
      <c r="F1917" s="6" t="s">
        <v>13</v>
      </c>
      <c r="G1917" s="6" t="s">
        <v>24</v>
      </c>
      <c r="H1917" s="6"/>
      <c r="I1917" s="6" t="s">
        <v>73</v>
      </c>
      <c r="J1917" s="6"/>
      <c r="K1917" s="6"/>
      <c r="L1917" s="6" t="s">
        <v>2580</v>
      </c>
      <c r="M1917" s="6"/>
      <c r="N1917" s="6" t="s">
        <v>2581</v>
      </c>
      <c r="O1917" s="6" t="str">
        <f>HYPERLINK("https://ceds.ed.gov/cedselementdetails.aspx?termid=5107")</f>
        <v>https://ceds.ed.gov/cedselementdetails.aspx?termid=5107</v>
      </c>
      <c r="P1917" s="6" t="str">
        <f>HYPERLINK("https://ceds.ed.gov/elementComment.aspx?elementName=Exit Date &amp;elementID=5107", "Click here to submit comment")</f>
        <v>Click here to submit comment</v>
      </c>
    </row>
    <row r="1918" spans="1:16" ht="75">
      <c r="A1918" s="6" t="s">
        <v>6869</v>
      </c>
      <c r="B1918" s="6" t="s">
        <v>6872</v>
      </c>
      <c r="C1918" s="6" t="s">
        <v>6805</v>
      </c>
      <c r="D1918" s="6" t="s">
        <v>3263</v>
      </c>
      <c r="E1918" s="6" t="s">
        <v>3264</v>
      </c>
      <c r="F1918" s="6" t="s">
        <v>13</v>
      </c>
      <c r="G1918" s="6" t="s">
        <v>5976</v>
      </c>
      <c r="H1918" s="6"/>
      <c r="I1918" s="6" t="s">
        <v>100</v>
      </c>
      <c r="J1918" s="6"/>
      <c r="K1918" s="6"/>
      <c r="L1918" s="6" t="s">
        <v>3265</v>
      </c>
      <c r="M1918" s="6"/>
      <c r="N1918" s="6" t="s">
        <v>3266</v>
      </c>
      <c r="O1918" s="6" t="str">
        <f>HYPERLINK("https://ceds.ed.gov/cedselementdetails.aspx?termid=5165")</f>
        <v>https://ceds.ed.gov/cedselementdetails.aspx?termid=5165</v>
      </c>
      <c r="P1918" s="6" t="str">
        <f>HYPERLINK("https://ceds.ed.gov/elementComment.aspx?elementName=Initial Enrollment Term &amp;elementID=5165", "Click here to submit comment")</f>
        <v>Click here to submit comment</v>
      </c>
    </row>
    <row r="1919" spans="1:16" ht="75">
      <c r="A1919" s="6" t="s">
        <v>6869</v>
      </c>
      <c r="B1919" s="6" t="s">
        <v>6872</v>
      </c>
      <c r="C1919" s="6" t="s">
        <v>6805</v>
      </c>
      <c r="D1919" s="6" t="s">
        <v>5833</v>
      </c>
      <c r="E1919" s="6" t="s">
        <v>5834</v>
      </c>
      <c r="F1919" s="7" t="s">
        <v>6685</v>
      </c>
      <c r="G1919" s="6" t="s">
        <v>5976</v>
      </c>
      <c r="H1919" s="6"/>
      <c r="I1919" s="6"/>
      <c r="J1919" s="6"/>
      <c r="K1919" s="6"/>
      <c r="L1919" s="6" t="s">
        <v>5835</v>
      </c>
      <c r="M1919" s="6"/>
      <c r="N1919" s="6" t="s">
        <v>5836</v>
      </c>
      <c r="O1919" s="6" t="str">
        <f>HYPERLINK("https://ceds.ed.gov/cedselementdetails.aspx?termid=5296")</f>
        <v>https://ceds.ed.gov/cedselementdetails.aspx?termid=5296</v>
      </c>
      <c r="P1919" s="6" t="str">
        <f>HYPERLINK("https://ceds.ed.gov/elementComment.aspx?elementName=Transfer-ready &amp;elementID=5296", "Click here to submit comment")</f>
        <v>Click here to submit comment</v>
      </c>
    </row>
    <row r="1920" spans="1:16" ht="45">
      <c r="A1920" s="6" t="s">
        <v>6869</v>
      </c>
      <c r="B1920" s="6" t="s">
        <v>6872</v>
      </c>
      <c r="C1920" s="6" t="s">
        <v>6805</v>
      </c>
      <c r="D1920" s="6" t="s">
        <v>3314</v>
      </c>
      <c r="E1920" s="6" t="s">
        <v>3315</v>
      </c>
      <c r="F1920" s="6" t="s">
        <v>6212</v>
      </c>
      <c r="G1920" s="6" t="s">
        <v>5976</v>
      </c>
      <c r="H1920" s="6"/>
      <c r="I1920" s="6"/>
      <c r="J1920" s="6"/>
      <c r="K1920" s="6"/>
      <c r="L1920" s="6" t="s">
        <v>3316</v>
      </c>
      <c r="M1920" s="6"/>
      <c r="N1920" s="6" t="s">
        <v>3317</v>
      </c>
      <c r="O1920" s="6" t="str">
        <f>HYPERLINK("https://ceds.ed.gov/cedselementdetails.aspx?termid=5169")</f>
        <v>https://ceds.ed.gov/cedselementdetails.aspx?termid=5169</v>
      </c>
      <c r="P1920" s="6" t="str">
        <f>HYPERLINK("https://ceds.ed.gov/elementComment.aspx?elementName=Instructional Activity Hours Type &amp;elementID=5169", "Click here to submit comment")</f>
        <v>Click here to submit comment</v>
      </c>
    </row>
    <row r="1921" spans="1:16" ht="45">
      <c r="A1921" s="6" t="s">
        <v>6869</v>
      </c>
      <c r="B1921" s="6" t="s">
        <v>6872</v>
      </c>
      <c r="C1921" s="6" t="s">
        <v>6805</v>
      </c>
      <c r="D1921" s="6" t="s">
        <v>3306</v>
      </c>
      <c r="E1921" s="6" t="s">
        <v>3307</v>
      </c>
      <c r="F1921" s="6" t="s">
        <v>13</v>
      </c>
      <c r="G1921" s="6" t="s">
        <v>5976</v>
      </c>
      <c r="H1921" s="6"/>
      <c r="I1921" s="6" t="s">
        <v>1461</v>
      </c>
      <c r="J1921" s="6"/>
      <c r="K1921" s="6"/>
      <c r="L1921" s="6" t="s">
        <v>3308</v>
      </c>
      <c r="M1921" s="6"/>
      <c r="N1921" s="6" t="s">
        <v>3309</v>
      </c>
      <c r="O1921" s="6" t="str">
        <f>HYPERLINK("https://ceds.ed.gov/cedselementdetails.aspx?termid=5168")</f>
        <v>https://ceds.ed.gov/cedselementdetails.aspx?termid=5168</v>
      </c>
      <c r="P1921" s="6" t="str">
        <f>HYPERLINK("https://ceds.ed.gov/elementComment.aspx?elementName=Instructional Activity Hours Attempted &amp;elementID=5168", "Click here to submit comment")</f>
        <v>Click here to submit comment</v>
      </c>
    </row>
    <row r="1922" spans="1:16" ht="45">
      <c r="A1922" s="6" t="s">
        <v>6869</v>
      </c>
      <c r="B1922" s="6" t="s">
        <v>6872</v>
      </c>
      <c r="C1922" s="6" t="s">
        <v>6805</v>
      </c>
      <c r="D1922" s="6" t="s">
        <v>3310</v>
      </c>
      <c r="E1922" s="6" t="s">
        <v>3311</v>
      </c>
      <c r="F1922" s="6" t="s">
        <v>13</v>
      </c>
      <c r="G1922" s="6" t="s">
        <v>42</v>
      </c>
      <c r="H1922" s="6" t="s">
        <v>3</v>
      </c>
      <c r="I1922" s="6" t="s">
        <v>1461</v>
      </c>
      <c r="J1922" s="6"/>
      <c r="K1922" s="6"/>
      <c r="L1922" s="6" t="s">
        <v>3312</v>
      </c>
      <c r="M1922" s="6"/>
      <c r="N1922" s="6" t="s">
        <v>3313</v>
      </c>
      <c r="O1922" s="6" t="str">
        <f>HYPERLINK("https://ceds.ed.gov/cedselementdetails.aspx?termid=5361")</f>
        <v>https://ceds.ed.gov/cedselementdetails.aspx?termid=5361</v>
      </c>
      <c r="P1922" s="6" t="str">
        <f>HYPERLINK("https://ceds.ed.gov/elementComment.aspx?elementName=Instructional Activity Hours Completed &amp;elementID=5361", "Click here to submit comment")</f>
        <v>Click here to submit comment</v>
      </c>
    </row>
    <row r="1923" spans="1:16" ht="210">
      <c r="A1923" s="6" t="s">
        <v>6869</v>
      </c>
      <c r="B1923" s="6" t="s">
        <v>6872</v>
      </c>
      <c r="C1923" s="6" t="s">
        <v>6805</v>
      </c>
      <c r="D1923" s="6" t="s">
        <v>5825</v>
      </c>
      <c r="E1923" s="6" t="s">
        <v>5826</v>
      </c>
      <c r="F1923" s="6" t="s">
        <v>5963</v>
      </c>
      <c r="G1923" s="6" t="s">
        <v>5976</v>
      </c>
      <c r="H1923" s="6"/>
      <c r="I1923" s="6"/>
      <c r="J1923" s="6"/>
      <c r="K1923" s="6"/>
      <c r="L1923" s="6" t="s">
        <v>5827</v>
      </c>
      <c r="M1923" s="6"/>
      <c r="N1923" s="6" t="s">
        <v>5828</v>
      </c>
      <c r="O1923" s="6" t="str">
        <f>HYPERLINK("https://ceds.ed.gov/cedselementdetails.aspx?termid=5292")</f>
        <v>https://ceds.ed.gov/cedselementdetails.aspx?termid=5292</v>
      </c>
      <c r="P1923" s="6" t="str">
        <f>HYPERLINK("https://ceds.ed.gov/elementComment.aspx?elementName=Title IV Participant and Recipient &amp;elementID=5292", "Click here to submit comment")</f>
        <v>Click here to submit comment</v>
      </c>
    </row>
    <row r="1924" spans="1:16" ht="345">
      <c r="A1924" s="6" t="s">
        <v>6869</v>
      </c>
      <c r="B1924" s="6" t="s">
        <v>6872</v>
      </c>
      <c r="C1924" s="6" t="s">
        <v>6805</v>
      </c>
      <c r="D1924" s="6" t="s">
        <v>2255</v>
      </c>
      <c r="E1924" s="6" t="s">
        <v>2256</v>
      </c>
      <c r="F1924" s="7" t="s">
        <v>6466</v>
      </c>
      <c r="G1924" s="6" t="s">
        <v>2257</v>
      </c>
      <c r="H1924" s="6"/>
      <c r="I1924" s="6"/>
      <c r="J1924" s="6"/>
      <c r="K1924" s="6" t="s">
        <v>2258</v>
      </c>
      <c r="L1924" s="6" t="s">
        <v>2259</v>
      </c>
      <c r="M1924" s="6"/>
      <c r="N1924" s="6" t="s">
        <v>2260</v>
      </c>
      <c r="O1924" s="6" t="str">
        <f>HYPERLINK("https://ceds.ed.gov/cedselementdetails.aspx?termid=5704")</f>
        <v>https://ceds.ed.gov/cedselementdetails.aspx?termid=5704</v>
      </c>
      <c r="P1924" s="6" t="str">
        <f>HYPERLINK("https://ceds.ed.gov/elementComment.aspx?elementName=Distance Education Course Enrollment &amp;elementID=5704", "Click here to submit comment")</f>
        <v>Click here to submit comment</v>
      </c>
    </row>
    <row r="1925" spans="1:16" ht="105">
      <c r="A1925" s="6" t="s">
        <v>6869</v>
      </c>
      <c r="B1925" s="6" t="s">
        <v>6872</v>
      </c>
      <c r="C1925" s="6" t="s">
        <v>6805</v>
      </c>
      <c r="D1925" s="6" t="s">
        <v>4545</v>
      </c>
      <c r="E1925" s="6" t="s">
        <v>4546</v>
      </c>
      <c r="F1925" s="6" t="s">
        <v>5963</v>
      </c>
      <c r="G1925" s="6" t="s">
        <v>237</v>
      </c>
      <c r="H1925" s="6"/>
      <c r="I1925" s="6"/>
      <c r="J1925" s="6"/>
      <c r="K1925" s="6" t="s">
        <v>4547</v>
      </c>
      <c r="L1925" s="6" t="s">
        <v>4548</v>
      </c>
      <c r="M1925" s="6"/>
      <c r="N1925" s="6" t="s">
        <v>4549</v>
      </c>
      <c r="O1925" s="6" t="str">
        <f>HYPERLINK("https://ceds.ed.gov/cedselementdetails.aspx?termid=5741")</f>
        <v>https://ceds.ed.gov/cedselementdetails.aspx?termid=5741</v>
      </c>
      <c r="P1925" s="6" t="str">
        <f>HYPERLINK("https://ceds.ed.gov/elementComment.aspx?elementName=Postsecondary Student Housing On-Campus &amp;elementID=5741", "Click here to submit comment")</f>
        <v>Click here to submit comment</v>
      </c>
    </row>
    <row r="1926" spans="1:16" ht="60">
      <c r="A1926" s="6" t="s">
        <v>6869</v>
      </c>
      <c r="B1926" s="6" t="s">
        <v>6872</v>
      </c>
      <c r="C1926" s="6" t="s">
        <v>6805</v>
      </c>
      <c r="D1926" s="6" t="s">
        <v>2798</v>
      </c>
      <c r="E1926" s="6" t="s">
        <v>2799</v>
      </c>
      <c r="F1926" s="6" t="s">
        <v>5963</v>
      </c>
      <c r="G1926" s="6" t="s">
        <v>237</v>
      </c>
      <c r="H1926" s="6"/>
      <c r="I1926" s="6"/>
      <c r="J1926" s="6"/>
      <c r="K1926" s="6"/>
      <c r="L1926" s="6" t="s">
        <v>2800</v>
      </c>
      <c r="M1926" s="6"/>
      <c r="N1926" s="6" t="s">
        <v>2801</v>
      </c>
      <c r="O1926" s="6" t="str">
        <f>HYPERLINK("https://ceds.ed.gov/cedselementdetails.aspx?termid=5743")</f>
        <v>https://ceds.ed.gov/cedselementdetails.aspx?termid=5743</v>
      </c>
      <c r="P1926" s="6" t="str">
        <f>HYPERLINK("https://ceds.ed.gov/elementComment.aspx?elementName=Fraternity Participation Status &amp;elementID=5743", "Click here to submit comment")</f>
        <v>Click here to submit comment</v>
      </c>
    </row>
    <row r="1927" spans="1:16" ht="180">
      <c r="A1927" s="6" t="s">
        <v>6869</v>
      </c>
      <c r="B1927" s="6" t="s">
        <v>6872</v>
      </c>
      <c r="C1927" s="6" t="s">
        <v>6805</v>
      </c>
      <c r="D1927" s="6" t="s">
        <v>2261</v>
      </c>
      <c r="E1927" s="6" t="s">
        <v>2262</v>
      </c>
      <c r="F1927" s="6" t="s">
        <v>5963</v>
      </c>
      <c r="G1927" s="6"/>
      <c r="H1927" s="6" t="s">
        <v>54</v>
      </c>
      <c r="I1927" s="6"/>
      <c r="J1927" s="6"/>
      <c r="K1927" s="6" t="s">
        <v>2258</v>
      </c>
      <c r="L1927" s="6" t="s">
        <v>2263</v>
      </c>
      <c r="M1927" s="6"/>
      <c r="N1927" s="6" t="s">
        <v>2264</v>
      </c>
      <c r="O1927" s="6" t="str">
        <f>HYPERLINK("https://ceds.ed.gov/cedselementdetails.aspx?termid=6289")</f>
        <v>https://ceds.ed.gov/cedselementdetails.aspx?termid=6289</v>
      </c>
      <c r="P1927" s="6" t="str">
        <f>HYPERLINK("https://ceds.ed.gov/elementComment.aspx?elementName=Distance Education Program Enrollment Indicator &amp;elementID=6289", "Click here to submit comment")</f>
        <v>Click here to submit comment</v>
      </c>
    </row>
    <row r="1928" spans="1:16" ht="60">
      <c r="A1928" s="6" t="s">
        <v>6869</v>
      </c>
      <c r="B1928" s="6" t="s">
        <v>6872</v>
      </c>
      <c r="C1928" s="6" t="s">
        <v>6805</v>
      </c>
      <c r="D1928" s="6" t="s">
        <v>5390</v>
      </c>
      <c r="E1928" s="6" t="s">
        <v>5391</v>
      </c>
      <c r="F1928" s="6" t="s">
        <v>5963</v>
      </c>
      <c r="G1928" s="6" t="s">
        <v>237</v>
      </c>
      <c r="H1928" s="6" t="s">
        <v>66</v>
      </c>
      <c r="I1928" s="6"/>
      <c r="J1928" s="6" t="s">
        <v>94</v>
      </c>
      <c r="K1928" s="6"/>
      <c r="L1928" s="6" t="s">
        <v>5392</v>
      </c>
      <c r="M1928" s="6"/>
      <c r="N1928" s="6" t="s">
        <v>5393</v>
      </c>
      <c r="O1928" s="6" t="str">
        <f>HYPERLINK("https://ceds.ed.gov/cedselementdetails.aspx?termid=5744")</f>
        <v>https://ceds.ed.gov/cedselementdetails.aspx?termid=5744</v>
      </c>
      <c r="P1928" s="6" t="str">
        <f>HYPERLINK("https://ceds.ed.gov/elementComment.aspx?elementName=Sorority Participation Status &amp;elementID=5744", "Click here to submit comment")</f>
        <v>Click here to submit comment</v>
      </c>
    </row>
    <row r="1929" spans="1:16">
      <c r="A1929" s="16" t="s">
        <v>6869</v>
      </c>
      <c r="B1929" s="16" t="s">
        <v>6872</v>
      </c>
      <c r="C1929" s="16" t="s">
        <v>6874</v>
      </c>
      <c r="D1929" s="16" t="s">
        <v>2699</v>
      </c>
      <c r="E1929" s="16" t="s">
        <v>2700</v>
      </c>
      <c r="F1929" s="16" t="s">
        <v>5963</v>
      </c>
      <c r="G1929" s="16" t="s">
        <v>237</v>
      </c>
      <c r="H1929" s="16"/>
      <c r="I1929" s="16"/>
      <c r="J1929" s="16"/>
      <c r="K1929" s="6" t="s">
        <v>2702</v>
      </c>
      <c r="L1929" s="16" t="s">
        <v>2704</v>
      </c>
      <c r="M1929" s="16"/>
      <c r="N1929" s="16" t="s">
        <v>2705</v>
      </c>
      <c r="O1929" s="16" t="str">
        <f>HYPERLINK("https://ceds.ed.gov/cedselementdetails.aspx?termid=5745")</f>
        <v>https://ceds.ed.gov/cedselementdetails.aspx?termid=5745</v>
      </c>
      <c r="P1929" s="16" t="str">
        <f>HYPERLINK("https://ceds.ed.gov/elementComment.aspx?elementName=Financial Aid Applicant &amp;elementID=5745", "Click here to submit comment")</f>
        <v>Click here to submit comment</v>
      </c>
    </row>
    <row r="1930" spans="1:16" ht="45">
      <c r="A1930" s="16"/>
      <c r="B1930" s="16"/>
      <c r="C1930" s="16"/>
      <c r="D1930" s="16"/>
      <c r="E1930" s="16"/>
      <c r="F1930" s="16"/>
      <c r="G1930" s="16"/>
      <c r="H1930" s="16"/>
      <c r="I1930" s="16"/>
      <c r="J1930" s="16"/>
      <c r="K1930" s="6" t="s">
        <v>2703</v>
      </c>
      <c r="L1930" s="16"/>
      <c r="M1930" s="16"/>
      <c r="N1930" s="16"/>
      <c r="O1930" s="16"/>
      <c r="P1930" s="16"/>
    </row>
    <row r="1931" spans="1:16" ht="150">
      <c r="A1931" s="6" t="s">
        <v>6869</v>
      </c>
      <c r="B1931" s="6" t="s">
        <v>6872</v>
      </c>
      <c r="C1931" s="6" t="s">
        <v>6874</v>
      </c>
      <c r="D1931" s="6" t="s">
        <v>2706</v>
      </c>
      <c r="E1931" s="6" t="s">
        <v>2707</v>
      </c>
      <c r="F1931" s="7" t="s">
        <v>6511</v>
      </c>
      <c r="G1931" s="6" t="s">
        <v>237</v>
      </c>
      <c r="H1931" s="6"/>
      <c r="I1931" s="6"/>
      <c r="J1931" s="6"/>
      <c r="K1931" s="6" t="s">
        <v>2708</v>
      </c>
      <c r="L1931" s="6" t="s">
        <v>2709</v>
      </c>
      <c r="M1931" s="6"/>
      <c r="N1931" s="6" t="s">
        <v>2710</v>
      </c>
      <c r="O1931" s="6" t="str">
        <f>HYPERLINK("https://ceds.ed.gov/cedselementdetails.aspx?termid=6186")</f>
        <v>https://ceds.ed.gov/cedselementdetails.aspx?termid=6186</v>
      </c>
      <c r="P1931" s="6" t="str">
        <f>HYPERLINK("https://ceds.ed.gov/elementComment.aspx?elementName=Financial Aid Application Type &amp;elementID=6186", "Click here to submit comment")</f>
        <v>Click here to submit comment</v>
      </c>
    </row>
    <row r="1932" spans="1:16" ht="60">
      <c r="A1932" s="6" t="s">
        <v>6869</v>
      </c>
      <c r="B1932" s="6" t="s">
        <v>6872</v>
      </c>
      <c r="C1932" s="6" t="s">
        <v>6874</v>
      </c>
      <c r="D1932" s="6" t="s">
        <v>2744</v>
      </c>
      <c r="E1932" s="6" t="s">
        <v>2745</v>
      </c>
      <c r="F1932" s="6" t="s">
        <v>13</v>
      </c>
      <c r="G1932" s="6" t="s">
        <v>237</v>
      </c>
      <c r="H1932" s="6"/>
      <c r="I1932" s="6" t="s">
        <v>389</v>
      </c>
      <c r="J1932" s="6"/>
      <c r="K1932" s="6" t="s">
        <v>2746</v>
      </c>
      <c r="L1932" s="6" t="s">
        <v>2747</v>
      </c>
      <c r="M1932" s="6"/>
      <c r="N1932" s="6" t="s">
        <v>2748</v>
      </c>
      <c r="O1932" s="6" t="str">
        <f>HYPERLINK("https://ceds.ed.gov/cedselementdetails.aspx?termid=5747")</f>
        <v>https://ceds.ed.gov/cedselementdetails.aspx?termid=5747</v>
      </c>
      <c r="P1932" s="6" t="str">
        <f>HYPERLINK("https://ceds.ed.gov/elementComment.aspx?elementName=Financial Need &amp;elementID=5747", "Click here to submit comment")</f>
        <v>Click here to submit comment</v>
      </c>
    </row>
    <row r="1933" spans="1:16" ht="45">
      <c r="A1933" s="6" t="s">
        <v>6869</v>
      </c>
      <c r="B1933" s="6" t="s">
        <v>6872</v>
      </c>
      <c r="C1933" s="6" t="s">
        <v>6874</v>
      </c>
      <c r="D1933" s="6" t="s">
        <v>2749</v>
      </c>
      <c r="E1933" s="6" t="s">
        <v>2750</v>
      </c>
      <c r="F1933" s="6" t="s">
        <v>6174</v>
      </c>
      <c r="G1933" s="6" t="s">
        <v>237</v>
      </c>
      <c r="H1933" s="6"/>
      <c r="I1933" s="6"/>
      <c r="J1933" s="6"/>
      <c r="K1933" s="6" t="s">
        <v>2751</v>
      </c>
      <c r="L1933" s="6" t="s">
        <v>2752</v>
      </c>
      <c r="M1933" s="6"/>
      <c r="N1933" s="6" t="s">
        <v>2753</v>
      </c>
      <c r="O1933" s="6" t="str">
        <f>HYPERLINK("https://ceds.ed.gov/cedselementdetails.aspx?termid=6188")</f>
        <v>https://ceds.ed.gov/cedselementdetails.aspx?termid=6188</v>
      </c>
      <c r="P1933" s="6" t="str">
        <f>HYPERLINK("https://ceds.ed.gov/elementComment.aspx?elementName=Financial Need Determination Methodology &amp;elementID=6188", "Click here to submit comment")</f>
        <v>Click here to submit comment</v>
      </c>
    </row>
    <row r="1934" spans="1:16" ht="75">
      <c r="A1934" s="6" t="s">
        <v>6869</v>
      </c>
      <c r="B1934" s="6" t="s">
        <v>6872</v>
      </c>
      <c r="C1934" s="6" t="s">
        <v>6874</v>
      </c>
      <c r="D1934" s="6" t="s">
        <v>2716</v>
      </c>
      <c r="E1934" s="6" t="s">
        <v>2717</v>
      </c>
      <c r="F1934" s="6" t="s">
        <v>6173</v>
      </c>
      <c r="G1934" s="6" t="s">
        <v>6172</v>
      </c>
      <c r="H1934" s="6"/>
      <c r="I1934" s="6"/>
      <c r="J1934" s="6"/>
      <c r="K1934" s="6" t="s">
        <v>2718</v>
      </c>
      <c r="L1934" s="6" t="s">
        <v>2719</v>
      </c>
      <c r="M1934" s="6"/>
      <c r="N1934" s="6" t="s">
        <v>2720</v>
      </c>
      <c r="O1934" s="6" t="str">
        <f>HYPERLINK("https://ceds.ed.gov/cedselementdetails.aspx?termid=5362")</f>
        <v>https://ceds.ed.gov/cedselementdetails.aspx?termid=5362</v>
      </c>
      <c r="P1934" s="6" t="str">
        <f>HYPERLINK("https://ceds.ed.gov/elementComment.aspx?elementName=Financial Aid Award Status &amp;elementID=5362", "Click here to submit comment")</f>
        <v>Click here to submit comment</v>
      </c>
    </row>
    <row r="1935" spans="1:16" ht="409.5">
      <c r="A1935" s="6" t="s">
        <v>6869</v>
      </c>
      <c r="B1935" s="6" t="s">
        <v>6872</v>
      </c>
      <c r="C1935" s="6" t="s">
        <v>6874</v>
      </c>
      <c r="D1935" s="6" t="s">
        <v>2721</v>
      </c>
      <c r="E1935" s="6" t="s">
        <v>2722</v>
      </c>
      <c r="F1935" s="7" t="s">
        <v>6512</v>
      </c>
      <c r="G1935" s="6" t="s">
        <v>6172</v>
      </c>
      <c r="H1935" s="6"/>
      <c r="I1935" s="6"/>
      <c r="J1935" s="6"/>
      <c r="K1935" s="6" t="s">
        <v>2723</v>
      </c>
      <c r="L1935" s="6" t="s">
        <v>2724</v>
      </c>
      <c r="M1935" s="6"/>
      <c r="N1935" s="6" t="s">
        <v>2725</v>
      </c>
      <c r="O1935" s="6" t="str">
        <f>HYPERLINK("https://ceds.ed.gov/cedselementdetails.aspx?termid=5113")</f>
        <v>https://ceds.ed.gov/cedselementdetails.aspx?termid=5113</v>
      </c>
      <c r="P1935" s="6" t="str">
        <f>HYPERLINK("https://ceds.ed.gov/elementComment.aspx?elementName=Financial Aid Award Type &amp;elementID=5113", "Click here to submit comment")</f>
        <v>Click here to submit comment</v>
      </c>
    </row>
    <row r="1936" spans="1:16" ht="75">
      <c r="A1936" s="6" t="s">
        <v>6869</v>
      </c>
      <c r="B1936" s="6" t="s">
        <v>6872</v>
      </c>
      <c r="C1936" s="6" t="s">
        <v>6874</v>
      </c>
      <c r="D1936" s="6" t="s">
        <v>2711</v>
      </c>
      <c r="E1936" s="6" t="s">
        <v>2712</v>
      </c>
      <c r="F1936" s="6" t="s">
        <v>13</v>
      </c>
      <c r="G1936" s="6" t="s">
        <v>6172</v>
      </c>
      <c r="H1936" s="6"/>
      <c r="I1936" s="6" t="s">
        <v>1461</v>
      </c>
      <c r="J1936" s="6"/>
      <c r="K1936" s="6" t="s">
        <v>2713</v>
      </c>
      <c r="L1936" s="6" t="s">
        <v>2714</v>
      </c>
      <c r="M1936" s="6"/>
      <c r="N1936" s="6" t="s">
        <v>2715</v>
      </c>
      <c r="O1936" s="6" t="str">
        <f>HYPERLINK("https://ceds.ed.gov/cedselementdetails.aspx?termid=5112")</f>
        <v>https://ceds.ed.gov/cedselementdetails.aspx?termid=5112</v>
      </c>
      <c r="P1936" s="6" t="str">
        <f>HYPERLINK("https://ceds.ed.gov/elementComment.aspx?elementName=Financial Aid Award Amount &amp;elementID=5112", "Click here to submit comment")</f>
        <v>Click here to submit comment</v>
      </c>
    </row>
    <row r="1937" spans="1:16" ht="150">
      <c r="A1937" s="6" t="s">
        <v>6869</v>
      </c>
      <c r="B1937" s="6" t="s">
        <v>6872</v>
      </c>
      <c r="C1937" s="6" t="s">
        <v>6874</v>
      </c>
      <c r="D1937" s="6" t="s">
        <v>2726</v>
      </c>
      <c r="E1937" s="6" t="s">
        <v>2727</v>
      </c>
      <c r="F1937" s="6" t="s">
        <v>13</v>
      </c>
      <c r="G1937" s="6"/>
      <c r="H1937" s="6" t="s">
        <v>54</v>
      </c>
      <c r="I1937" s="6" t="s">
        <v>1461</v>
      </c>
      <c r="J1937" s="6"/>
      <c r="K1937" s="6"/>
      <c r="L1937" s="6" t="s">
        <v>2728</v>
      </c>
      <c r="M1937" s="6"/>
      <c r="N1937" s="6" t="s">
        <v>2729</v>
      </c>
      <c r="O1937" s="6" t="str">
        <f>HYPERLINK("https://ceds.ed.gov/cedselementdetails.aspx?termid=6319")</f>
        <v>https://ceds.ed.gov/cedselementdetails.aspx?termid=6319</v>
      </c>
      <c r="P1937" s="6" t="str">
        <f>HYPERLINK("https://ceds.ed.gov/elementComment.aspx?elementName=Financial Aid Income Level &amp;elementID=6319", "Click here to submit comment")</f>
        <v>Click here to submit comment</v>
      </c>
    </row>
    <row r="1938" spans="1:16" ht="30">
      <c r="A1938" s="6" t="s">
        <v>6869</v>
      </c>
      <c r="B1938" s="6" t="s">
        <v>6872</v>
      </c>
      <c r="C1938" s="6" t="s">
        <v>6806</v>
      </c>
      <c r="D1938" s="6" t="s">
        <v>46</v>
      </c>
      <c r="E1938" s="6" t="s">
        <v>47</v>
      </c>
      <c r="F1938" s="6" t="s">
        <v>13</v>
      </c>
      <c r="G1938" s="6" t="s">
        <v>42</v>
      </c>
      <c r="H1938" s="6"/>
      <c r="I1938" s="6" t="s">
        <v>48</v>
      </c>
      <c r="J1938" s="6"/>
      <c r="K1938" s="6"/>
      <c r="L1938" s="6" t="s">
        <v>49</v>
      </c>
      <c r="M1938" s="6"/>
      <c r="N1938" s="6" t="s">
        <v>50</v>
      </c>
      <c r="O1938" s="6" t="str">
        <f>HYPERLINK("https://ceds.ed.gov/cedselementdetails.aspx?termid=5702")</f>
        <v>https://ceds.ed.gov/cedselementdetails.aspx?termid=5702</v>
      </c>
      <c r="P1938" s="6" t="str">
        <f>HYPERLINK("https://ceds.ed.gov/elementComment.aspx?elementName=Academic Year Designator &amp;elementID=5702", "Click here to submit comment")</f>
        <v>Click here to submit comment</v>
      </c>
    </row>
    <row r="1939" spans="1:16" ht="180">
      <c r="A1939" s="6" t="s">
        <v>6869</v>
      </c>
      <c r="B1939" s="6" t="s">
        <v>6872</v>
      </c>
      <c r="C1939" s="6" t="s">
        <v>6806</v>
      </c>
      <c r="D1939" s="6" t="s">
        <v>40</v>
      </c>
      <c r="E1939" s="6" t="s">
        <v>41</v>
      </c>
      <c r="F1939" s="7" t="s">
        <v>6349</v>
      </c>
      <c r="G1939" s="6" t="s">
        <v>42</v>
      </c>
      <c r="H1939" s="6"/>
      <c r="I1939" s="6"/>
      <c r="J1939" s="6"/>
      <c r="K1939" s="6" t="s">
        <v>43</v>
      </c>
      <c r="L1939" s="6" t="s">
        <v>44</v>
      </c>
      <c r="M1939" s="6"/>
      <c r="N1939" s="6" t="s">
        <v>45</v>
      </c>
      <c r="O1939" s="6" t="str">
        <f>HYPERLINK("https://ceds.ed.gov/cedselementdetails.aspx?termid=5703")</f>
        <v>https://ceds.ed.gov/cedselementdetails.aspx?termid=5703</v>
      </c>
      <c r="P1939" s="6" t="str">
        <f>HYPERLINK("https://ceds.ed.gov/elementComment.aspx?elementName=Academic Term Designator &amp;elementID=5703", "Click here to submit comment")</f>
        <v>Click here to submit comment</v>
      </c>
    </row>
    <row r="1940" spans="1:16" ht="180">
      <c r="A1940" s="6" t="s">
        <v>6869</v>
      </c>
      <c r="B1940" s="6" t="s">
        <v>6872</v>
      </c>
      <c r="C1940" s="6" t="s">
        <v>6806</v>
      </c>
      <c r="D1940" s="6" t="s">
        <v>2860</v>
      </c>
      <c r="E1940" s="6" t="s">
        <v>2861</v>
      </c>
      <c r="F1940" s="6" t="s">
        <v>13</v>
      </c>
      <c r="G1940" s="6" t="s">
        <v>6185</v>
      </c>
      <c r="H1940" s="6"/>
      <c r="I1940" s="6" t="s">
        <v>2857</v>
      </c>
      <c r="J1940" s="6"/>
      <c r="K1940" s="6" t="s">
        <v>2862</v>
      </c>
      <c r="L1940" s="6" t="s">
        <v>2863</v>
      </c>
      <c r="M1940" s="6" t="s">
        <v>2864</v>
      </c>
      <c r="N1940" s="6" t="s">
        <v>2865</v>
      </c>
      <c r="O1940" s="6" t="str">
        <f>HYPERLINK("https://ceds.ed.gov/cedselementdetails.aspx?termid=5128")</f>
        <v>https://ceds.ed.gov/cedselementdetails.aspx?termid=5128</v>
      </c>
      <c r="P1940" s="6" t="str">
        <f>HYPERLINK("https://ceds.ed.gov/elementComment.aspx?elementName=Grade Point Average Cumulative &amp;elementID=5128", "Click here to submit comment")</f>
        <v>Click here to submit comment</v>
      </c>
    </row>
    <row r="1941" spans="1:16" ht="135">
      <c r="A1941" s="6" t="s">
        <v>6869</v>
      </c>
      <c r="B1941" s="6" t="s">
        <v>6872</v>
      </c>
      <c r="C1941" s="6" t="s">
        <v>6806</v>
      </c>
      <c r="D1941" s="6" t="s">
        <v>2189</v>
      </c>
      <c r="E1941" s="6" t="s">
        <v>2190</v>
      </c>
      <c r="F1941" s="6" t="s">
        <v>13</v>
      </c>
      <c r="G1941" s="6" t="s">
        <v>6135</v>
      </c>
      <c r="H1941" s="6"/>
      <c r="I1941" s="6" t="s">
        <v>2191</v>
      </c>
      <c r="J1941" s="6"/>
      <c r="K1941" s="6"/>
      <c r="L1941" s="6" t="s">
        <v>2192</v>
      </c>
      <c r="M1941" s="6"/>
      <c r="N1941" s="6" t="s">
        <v>2193</v>
      </c>
      <c r="O1941" s="6" t="str">
        <f>HYPERLINK("https://ceds.ed.gov/cedselementdetails.aspx?termid=5081")</f>
        <v>https://ceds.ed.gov/cedselementdetails.aspx?termid=5081</v>
      </c>
      <c r="P1941" s="6" t="str">
        <f>HYPERLINK("https://ceds.ed.gov/elementComment.aspx?elementName=Diploma or Credential Award Date &amp;elementID=5081", "Click here to submit comment")</f>
        <v>Click here to submit comment</v>
      </c>
    </row>
    <row r="1942" spans="1:16" ht="75">
      <c r="A1942" s="6" t="s">
        <v>6869</v>
      </c>
      <c r="B1942" s="6" t="s">
        <v>6872</v>
      </c>
      <c r="C1942" s="6" t="s">
        <v>6806</v>
      </c>
      <c r="D1942" s="6" t="s">
        <v>2282</v>
      </c>
      <c r="E1942" s="6" t="s">
        <v>2283</v>
      </c>
      <c r="F1942" s="6" t="s">
        <v>13</v>
      </c>
      <c r="G1942" s="6" t="s">
        <v>24</v>
      </c>
      <c r="H1942" s="6"/>
      <c r="I1942" s="6" t="s">
        <v>1461</v>
      </c>
      <c r="J1942" s="6"/>
      <c r="K1942" s="6"/>
      <c r="L1942" s="6" t="s">
        <v>2284</v>
      </c>
      <c r="M1942" s="6"/>
      <c r="N1942" s="6" t="s">
        <v>2285</v>
      </c>
      <c r="O1942" s="6" t="str">
        <f>HYPERLINK("https://ceds.ed.gov/cedselementdetails.aspx?termid=5085")</f>
        <v>https://ceds.ed.gov/cedselementdetails.aspx?termid=5085</v>
      </c>
      <c r="P1942" s="6" t="str">
        <f>HYPERLINK("https://ceds.ed.gov/elementComment.aspx?elementName=Dual Credit Dual Enrollment Credits Awarded &amp;elementID=5085", "Click here to submit comment")</f>
        <v>Click here to submit comment</v>
      </c>
    </row>
    <row r="1943" spans="1:16" ht="90">
      <c r="A1943" s="6" t="s">
        <v>6869</v>
      </c>
      <c r="B1943" s="6" t="s">
        <v>6872</v>
      </c>
      <c r="C1943" s="6" t="s">
        <v>6806</v>
      </c>
      <c r="D1943" s="6" t="s">
        <v>306</v>
      </c>
      <c r="E1943" s="6" t="s">
        <v>307</v>
      </c>
      <c r="F1943" s="6" t="s">
        <v>13</v>
      </c>
      <c r="G1943" s="6" t="s">
        <v>24</v>
      </c>
      <c r="H1943" s="6"/>
      <c r="I1943" s="6" t="s">
        <v>308</v>
      </c>
      <c r="J1943" s="6"/>
      <c r="K1943" s="6"/>
      <c r="L1943" s="6" t="s">
        <v>309</v>
      </c>
      <c r="M1943" s="6" t="s">
        <v>310</v>
      </c>
      <c r="N1943" s="6" t="s">
        <v>311</v>
      </c>
      <c r="O1943" s="6" t="str">
        <f>HYPERLINK("https://ceds.ed.gov/cedselementdetails.aspx?termid=5018")</f>
        <v>https://ceds.ed.gov/cedselementdetails.aspx?termid=5018</v>
      </c>
      <c r="P1943" s="6" t="str">
        <f>HYPERLINK("https://ceds.ed.gov/elementComment.aspx?elementName=Advanced Placement Credits Awarded &amp;elementID=5018", "Click here to submit comment")</f>
        <v>Click here to submit comment</v>
      </c>
    </row>
    <row r="1944" spans="1:16" ht="375">
      <c r="A1944" s="6" t="s">
        <v>6869</v>
      </c>
      <c r="B1944" s="6" t="s">
        <v>6872</v>
      </c>
      <c r="C1944" s="6" t="s">
        <v>6806</v>
      </c>
      <c r="D1944" s="6" t="s">
        <v>18</v>
      </c>
      <c r="E1944" s="6" t="s">
        <v>19</v>
      </c>
      <c r="F1944" s="7" t="s">
        <v>6346</v>
      </c>
      <c r="G1944" s="6" t="s">
        <v>5967</v>
      </c>
      <c r="H1944" s="6" t="s">
        <v>3</v>
      </c>
      <c r="I1944" s="6"/>
      <c r="J1944" s="6"/>
      <c r="K1944" s="6"/>
      <c r="L1944" s="6" t="s">
        <v>20</v>
      </c>
      <c r="M1944" s="6"/>
      <c r="N1944" s="6" t="s">
        <v>21</v>
      </c>
      <c r="O1944" s="6" t="str">
        <f>HYPERLINK("https://ceds.ed.gov/cedselementdetails.aspx?termid=5002")</f>
        <v>https://ceds.ed.gov/cedselementdetails.aspx?termid=5002</v>
      </c>
      <c r="P1944" s="6" t="str">
        <f>HYPERLINK("https://ceds.ed.gov/elementComment.aspx?elementName=Academic Award Level Conferred &amp;elementID=5002", "Click here to submit comment")</f>
        <v>Click here to submit comment</v>
      </c>
    </row>
    <row r="1945" spans="1:16" ht="60">
      <c r="A1945" s="6" t="s">
        <v>6869</v>
      </c>
      <c r="B1945" s="6" t="s">
        <v>6872</v>
      </c>
      <c r="C1945" s="6" t="s">
        <v>6806</v>
      </c>
      <c r="D1945" s="6" t="s">
        <v>11</v>
      </c>
      <c r="E1945" s="6" t="s">
        <v>12</v>
      </c>
      <c r="F1945" s="6" t="s">
        <v>13</v>
      </c>
      <c r="G1945" s="6" t="s">
        <v>5965</v>
      </c>
      <c r="H1945" s="6"/>
      <c r="I1945" s="6" t="s">
        <v>15</v>
      </c>
      <c r="J1945" s="6"/>
      <c r="K1945" s="6"/>
      <c r="L1945" s="6" t="s">
        <v>16</v>
      </c>
      <c r="M1945" s="6"/>
      <c r="N1945" s="6" t="s">
        <v>17</v>
      </c>
      <c r="O1945" s="6" t="str">
        <f>HYPERLINK("https://ceds.ed.gov/cedselementdetails.aspx?termid=5001")</f>
        <v>https://ceds.ed.gov/cedselementdetails.aspx?termid=5001</v>
      </c>
      <c r="P1945" s="6" t="str">
        <f>HYPERLINK("https://ceds.ed.gov/elementComment.aspx?elementName=Academic Award Date &amp;elementID=5001", "Click here to submit comment")</f>
        <v>Click here to submit comment</v>
      </c>
    </row>
    <row r="1946" spans="1:16" ht="30">
      <c r="A1946" s="6" t="s">
        <v>6869</v>
      </c>
      <c r="B1946" s="6" t="s">
        <v>6872</v>
      </c>
      <c r="C1946" s="6" t="s">
        <v>6806</v>
      </c>
      <c r="D1946" s="6" t="s">
        <v>22</v>
      </c>
      <c r="E1946" s="6" t="s">
        <v>23</v>
      </c>
      <c r="F1946" s="6" t="s">
        <v>13</v>
      </c>
      <c r="G1946" s="6" t="s">
        <v>24</v>
      </c>
      <c r="H1946" s="6"/>
      <c r="I1946" s="6" t="s">
        <v>25</v>
      </c>
      <c r="J1946" s="6"/>
      <c r="K1946" s="6"/>
      <c r="L1946" s="6" t="s">
        <v>26</v>
      </c>
      <c r="M1946" s="6"/>
      <c r="N1946" s="6" t="s">
        <v>27</v>
      </c>
      <c r="O1946" s="6" t="str">
        <f>HYPERLINK("https://ceds.ed.gov/cedselementdetails.aspx?termid=5003")</f>
        <v>https://ceds.ed.gov/cedselementdetails.aspx?termid=5003</v>
      </c>
      <c r="P1946" s="6" t="str">
        <f>HYPERLINK("https://ceds.ed.gov/elementComment.aspx?elementName=Academic Award Title &amp;elementID=5003", "Click here to submit comment")</f>
        <v>Click here to submit comment</v>
      </c>
    </row>
    <row r="1947" spans="1:16" ht="45">
      <c r="A1947" s="6" t="s">
        <v>6869</v>
      </c>
      <c r="B1947" s="6" t="s">
        <v>6872</v>
      </c>
      <c r="C1947" s="6" t="s">
        <v>6806</v>
      </c>
      <c r="D1947" s="6" t="s">
        <v>2855</v>
      </c>
      <c r="E1947" s="6" t="s">
        <v>2856</v>
      </c>
      <c r="F1947" s="6" t="s">
        <v>13</v>
      </c>
      <c r="G1947" s="6" t="s">
        <v>24</v>
      </c>
      <c r="H1947" s="6"/>
      <c r="I1947" s="6" t="s">
        <v>2857</v>
      </c>
      <c r="J1947" s="6"/>
      <c r="K1947" s="6"/>
      <c r="L1947" s="6" t="s">
        <v>2858</v>
      </c>
      <c r="M1947" s="6"/>
      <c r="N1947" s="6" t="s">
        <v>2859</v>
      </c>
      <c r="O1947" s="6" t="str">
        <f>HYPERLINK("https://ceds.ed.gov/cedselementdetails.aspx?termid=5127")</f>
        <v>https://ceds.ed.gov/cedselementdetails.aspx?termid=5127</v>
      </c>
      <c r="P1947" s="6" t="str">
        <f>HYPERLINK("https://ceds.ed.gov/elementComment.aspx?elementName=Grade Point Average &amp;elementID=5127", "Click here to submit comment")</f>
        <v>Click here to submit comment</v>
      </c>
    </row>
    <row r="1948" spans="1:16" ht="45">
      <c r="A1948" s="6" t="s">
        <v>6869</v>
      </c>
      <c r="B1948" s="6" t="s">
        <v>6872</v>
      </c>
      <c r="C1948" s="6" t="s">
        <v>6806</v>
      </c>
      <c r="D1948" s="6" t="s">
        <v>2038</v>
      </c>
      <c r="E1948" s="6" t="s">
        <v>2039</v>
      </c>
      <c r="F1948" s="6" t="s">
        <v>13</v>
      </c>
      <c r="G1948" s="6"/>
      <c r="H1948" s="6" t="s">
        <v>54</v>
      </c>
      <c r="I1948" s="6" t="s">
        <v>575</v>
      </c>
      <c r="J1948" s="6"/>
      <c r="K1948" s="6"/>
      <c r="L1948" s="6" t="s">
        <v>2040</v>
      </c>
      <c r="M1948" s="6"/>
      <c r="N1948" s="6" t="s">
        <v>2041</v>
      </c>
      <c r="O1948" s="6" t="str">
        <f>HYPERLINK("https://ceds.ed.gov/cedselementdetails.aspx?termid=6282")</f>
        <v>https://ceds.ed.gov/cedselementdetails.aspx?termid=6282</v>
      </c>
      <c r="P1948" s="6" t="str">
        <f>HYPERLINK("https://ceds.ed.gov/elementComment.aspx?elementName=Course Total &amp;elementID=6282", "Click here to submit comment")</f>
        <v>Click here to submit comment</v>
      </c>
    </row>
    <row r="1949" spans="1:16" ht="345">
      <c r="A1949" s="6" t="s">
        <v>6869</v>
      </c>
      <c r="B1949" s="6" t="s">
        <v>6872</v>
      </c>
      <c r="C1949" s="6" t="s">
        <v>6806</v>
      </c>
      <c r="D1949" s="6" t="s">
        <v>2054</v>
      </c>
      <c r="E1949" s="6" t="s">
        <v>2055</v>
      </c>
      <c r="F1949" s="7" t="s">
        <v>6450</v>
      </c>
      <c r="G1949" s="6"/>
      <c r="H1949" s="6" t="s">
        <v>54</v>
      </c>
      <c r="I1949" s="6"/>
      <c r="J1949" s="6"/>
      <c r="K1949" s="6"/>
      <c r="L1949" s="6" t="s">
        <v>2056</v>
      </c>
      <c r="M1949" s="6"/>
      <c r="N1949" s="6" t="s">
        <v>2057</v>
      </c>
      <c r="O1949" s="6" t="str">
        <f>HYPERLINK("https://ceds.ed.gov/cedselementdetails.aspx?termid=6283")</f>
        <v>https://ceds.ed.gov/cedselementdetails.aspx?termid=6283</v>
      </c>
      <c r="P1949" s="6" t="str">
        <f>HYPERLINK("https://ceds.ed.gov/elementComment.aspx?elementName=Credit Hours Applied Other Program &amp;elementID=6283", "Click here to submit comment")</f>
        <v>Click here to submit comment</v>
      </c>
    </row>
    <row r="1950" spans="1:16" ht="270">
      <c r="A1950" s="6" t="s">
        <v>6869</v>
      </c>
      <c r="B1950" s="6" t="s">
        <v>6872</v>
      </c>
      <c r="C1950" s="6" t="s">
        <v>6806</v>
      </c>
      <c r="D1950" s="6" t="s">
        <v>4763</v>
      </c>
      <c r="E1950" s="6" t="s">
        <v>4764</v>
      </c>
      <c r="F1950" s="7" t="s">
        <v>6620</v>
      </c>
      <c r="G1950" s="6"/>
      <c r="H1950" s="6" t="s">
        <v>66</v>
      </c>
      <c r="I1950" s="6"/>
      <c r="J1950" s="6" t="s">
        <v>848</v>
      </c>
      <c r="K1950" s="6"/>
      <c r="L1950" s="6" t="s">
        <v>4765</v>
      </c>
      <c r="M1950" s="6"/>
      <c r="N1950" s="6" t="s">
        <v>4766</v>
      </c>
      <c r="O1950" s="6" t="str">
        <f>HYPERLINK("https://ceds.ed.gov/cedselementdetails.aspx?termid=5780")</f>
        <v>https://ceds.ed.gov/cedselementdetails.aspx?termid=5780</v>
      </c>
      <c r="P1950" s="6" t="str">
        <f>HYPERLINK("https://ceds.ed.gov/elementComment.aspx?elementName=Professional or Technical Credential Conferred &amp;elementID=5780", "Click here to submit comment")</f>
        <v>Click here to submit comment</v>
      </c>
    </row>
    <row r="1951" spans="1:16" ht="105">
      <c r="A1951" s="6" t="s">
        <v>6869</v>
      </c>
      <c r="B1951" s="6" t="s">
        <v>6872</v>
      </c>
      <c r="C1951" s="6" t="s">
        <v>6808</v>
      </c>
      <c r="D1951" s="6" t="s">
        <v>1551</v>
      </c>
      <c r="E1951" s="6" t="s">
        <v>1552</v>
      </c>
      <c r="F1951" s="6" t="s">
        <v>5963</v>
      </c>
      <c r="G1951" s="6" t="s">
        <v>6084</v>
      </c>
      <c r="H1951" s="6"/>
      <c r="I1951" s="6"/>
      <c r="J1951" s="6"/>
      <c r="K1951" s="6"/>
      <c r="L1951" s="6" t="s">
        <v>1553</v>
      </c>
      <c r="M1951" s="6" t="s">
        <v>1554</v>
      </c>
      <c r="N1951" s="6" t="s">
        <v>1555</v>
      </c>
      <c r="O1951" s="6" t="str">
        <f>HYPERLINK("https://ceds.ed.gov/cedselementdetails.aspx?termid=5037")</f>
        <v>https://ceds.ed.gov/cedselementdetails.aspx?termid=5037</v>
      </c>
      <c r="P1951" s="6" t="str">
        <f>HYPERLINK("https://ceds.ed.gov/elementComment.aspx?elementName=Career and Technical Education Concentrator &amp;elementID=5037", "Click here to submit comment")</f>
        <v>Click here to submit comment</v>
      </c>
    </row>
    <row r="1952" spans="1:16" ht="75">
      <c r="A1952" s="6" t="s">
        <v>6869</v>
      </c>
      <c r="B1952" s="6" t="s">
        <v>6872</v>
      </c>
      <c r="C1952" s="6" t="s">
        <v>6808</v>
      </c>
      <c r="D1952" s="6" t="s">
        <v>1572</v>
      </c>
      <c r="E1952" s="6" t="s">
        <v>1573</v>
      </c>
      <c r="F1952" s="6" t="s">
        <v>5963</v>
      </c>
      <c r="G1952" s="6" t="s">
        <v>218</v>
      </c>
      <c r="H1952" s="6"/>
      <c r="I1952" s="6"/>
      <c r="J1952" s="6"/>
      <c r="K1952" s="6"/>
      <c r="L1952" s="6" t="s">
        <v>1574</v>
      </c>
      <c r="M1952" s="6" t="s">
        <v>1575</v>
      </c>
      <c r="N1952" s="6" t="s">
        <v>1576</v>
      </c>
      <c r="O1952" s="6" t="str">
        <f>HYPERLINK("https://ceds.ed.gov/cedselementdetails.aspx?termid=5585")</f>
        <v>https://ceds.ed.gov/cedselementdetails.aspx?termid=5585</v>
      </c>
      <c r="P1952" s="6" t="str">
        <f>HYPERLINK("https://ceds.ed.gov/elementComment.aspx?elementName=Career and Technical Education Participant &amp;elementID=5585", "Click here to submit comment")</f>
        <v>Click here to submit comment</v>
      </c>
    </row>
    <row r="1953" spans="1:16" ht="135">
      <c r="A1953" s="6" t="s">
        <v>6869</v>
      </c>
      <c r="B1953" s="6" t="s">
        <v>6872</v>
      </c>
      <c r="C1953" s="6" t="s">
        <v>6808</v>
      </c>
      <c r="D1953" s="6" t="s">
        <v>1594</v>
      </c>
      <c r="E1953" s="6" t="s">
        <v>1595</v>
      </c>
      <c r="F1953" s="7" t="s">
        <v>6417</v>
      </c>
      <c r="G1953" s="6" t="s">
        <v>218</v>
      </c>
      <c r="H1953" s="6"/>
      <c r="I1953" s="6"/>
      <c r="J1953" s="6"/>
      <c r="K1953" s="6"/>
      <c r="L1953" s="6" t="s">
        <v>1596</v>
      </c>
      <c r="M1953" s="6" t="s">
        <v>1597</v>
      </c>
      <c r="N1953" s="6" t="s">
        <v>1598</v>
      </c>
      <c r="O1953" s="6" t="str">
        <f>HYPERLINK("https://ceds.ed.gov/cedselementdetails.aspx?termid=5581")</f>
        <v>https://ceds.ed.gov/cedselementdetails.aspx?termid=5581</v>
      </c>
      <c r="P1953" s="6" t="str">
        <f>HYPERLINK("https://ceds.ed.gov/elementComment.aspx?elementName=Career Technical Education Nontraditional Gender Status &amp;elementID=5581", "Click here to submit comment")</f>
        <v>Click here to submit comment</v>
      </c>
    </row>
    <row r="1954" spans="1:16" ht="270">
      <c r="A1954" s="6" t="s">
        <v>6869</v>
      </c>
      <c r="B1954" s="6" t="s">
        <v>6872</v>
      </c>
      <c r="C1954" s="6" t="s">
        <v>6808</v>
      </c>
      <c r="D1954" s="6" t="s">
        <v>1599</v>
      </c>
      <c r="E1954" s="6" t="s">
        <v>1600</v>
      </c>
      <c r="F1954" s="6" t="s">
        <v>5963</v>
      </c>
      <c r="G1954" s="6" t="s">
        <v>218</v>
      </c>
      <c r="H1954" s="6"/>
      <c r="I1954" s="6"/>
      <c r="J1954" s="6"/>
      <c r="K1954" s="6"/>
      <c r="L1954" s="6" t="s">
        <v>1601</v>
      </c>
      <c r="M1954" s="6" t="s">
        <v>1602</v>
      </c>
      <c r="N1954" s="6" t="s">
        <v>1603</v>
      </c>
      <c r="O1954" s="6" t="str">
        <f>HYPERLINK("https://ceds.ed.gov/cedselementdetails.aspx?termid=5084")</f>
        <v>https://ceds.ed.gov/cedselementdetails.aspx?termid=5084</v>
      </c>
      <c r="P1954" s="6" t="str">
        <f>HYPERLINK("https://ceds.ed.gov/elementComment.aspx?elementName=Career-Technical-Adult Education Displaced Homemaker Indicator &amp;elementID=5084", "Click here to submit comment")</f>
        <v>Click here to submit comment</v>
      </c>
    </row>
    <row r="1955" spans="1:16" ht="90">
      <c r="A1955" s="6" t="s">
        <v>6869</v>
      </c>
      <c r="B1955" s="6" t="s">
        <v>6872</v>
      </c>
      <c r="C1955" s="6" t="s">
        <v>6808</v>
      </c>
      <c r="D1955" s="6" t="s">
        <v>1567</v>
      </c>
      <c r="E1955" s="6" t="s">
        <v>1568</v>
      </c>
      <c r="F1955" s="6" t="s">
        <v>5963</v>
      </c>
      <c r="G1955" s="6" t="s">
        <v>218</v>
      </c>
      <c r="H1955" s="6"/>
      <c r="I1955" s="6"/>
      <c r="J1955" s="6"/>
      <c r="K1955" s="6"/>
      <c r="L1955" s="6" t="s">
        <v>1569</v>
      </c>
      <c r="M1955" s="6" t="s">
        <v>1570</v>
      </c>
      <c r="N1955" s="6" t="s">
        <v>1571</v>
      </c>
      <c r="O1955" s="6" t="str">
        <f>HYPERLINK("https://ceds.ed.gov/cedselementdetails.aspx?termid=5586")</f>
        <v>https://ceds.ed.gov/cedselementdetails.aspx?termid=5586</v>
      </c>
      <c r="P1955" s="6" t="str">
        <f>HYPERLINK("https://ceds.ed.gov/elementComment.aspx?elementName=Career and Technical Education Nontraditional Completion &amp;elementID=5586", "Click here to submit comment")</f>
        <v>Click here to submit comment</v>
      </c>
    </row>
    <row r="1956" spans="1:16" ht="105">
      <c r="A1956" s="6" t="s">
        <v>6869</v>
      </c>
      <c r="B1956" s="6" t="s">
        <v>6872</v>
      </c>
      <c r="C1956" s="6" t="s">
        <v>6875</v>
      </c>
      <c r="D1956" s="6" t="s">
        <v>2265</v>
      </c>
      <c r="E1956" s="6" t="s">
        <v>2266</v>
      </c>
      <c r="F1956" s="7" t="s">
        <v>6467</v>
      </c>
      <c r="G1956" s="6"/>
      <c r="H1956" s="6" t="s">
        <v>54</v>
      </c>
      <c r="I1956" s="6"/>
      <c r="J1956" s="6"/>
      <c r="K1956" s="6"/>
      <c r="L1956" s="6" t="s">
        <v>2268</v>
      </c>
      <c r="M1956" s="6"/>
      <c r="N1956" s="6" t="s">
        <v>2269</v>
      </c>
      <c r="O1956" s="6" t="str">
        <f>HYPERLINK("https://ceds.ed.gov/cedselementdetails.aspx?termid=6290")</f>
        <v>https://ceds.ed.gov/cedselementdetails.aspx?termid=6290</v>
      </c>
      <c r="P1956" s="6" t="str">
        <f>HYPERLINK("https://ceds.ed.gov/elementComment.aspx?elementName=Doctoral Candidacy Admit Indicator &amp;elementID=6290", "Click here to submit comment")</f>
        <v>Click here to submit comment</v>
      </c>
    </row>
    <row r="1957" spans="1:16" ht="30">
      <c r="A1957" s="6" t="s">
        <v>6869</v>
      </c>
      <c r="B1957" s="6" t="s">
        <v>6872</v>
      </c>
      <c r="C1957" s="6" t="s">
        <v>6875</v>
      </c>
      <c r="D1957" s="6" t="s">
        <v>2270</v>
      </c>
      <c r="E1957" s="6" t="s">
        <v>2271</v>
      </c>
      <c r="F1957" s="6" t="s">
        <v>13</v>
      </c>
      <c r="G1957" s="6"/>
      <c r="H1957" s="6" t="s">
        <v>54</v>
      </c>
      <c r="I1957" s="6" t="s">
        <v>73</v>
      </c>
      <c r="J1957" s="6"/>
      <c r="K1957" s="6"/>
      <c r="L1957" s="6" t="s">
        <v>2272</v>
      </c>
      <c r="M1957" s="6"/>
      <c r="N1957" s="6" t="s">
        <v>2273</v>
      </c>
      <c r="O1957" s="6" t="str">
        <f>HYPERLINK("https://ceds.ed.gov/cedselementdetails.aspx?termid=6291")</f>
        <v>https://ceds.ed.gov/cedselementdetails.aspx?termid=6291</v>
      </c>
      <c r="P1957" s="6" t="str">
        <f>HYPERLINK("https://ceds.ed.gov/elementComment.aspx?elementName=Doctoral Candidacy Date &amp;elementID=6291", "Click here to submit comment")</f>
        <v>Click here to submit comment</v>
      </c>
    </row>
    <row r="1958" spans="1:16" ht="60">
      <c r="A1958" s="6" t="s">
        <v>6869</v>
      </c>
      <c r="B1958" s="6" t="s">
        <v>6872</v>
      </c>
      <c r="C1958" s="6" t="s">
        <v>6875</v>
      </c>
      <c r="D1958" s="6" t="s">
        <v>2274</v>
      </c>
      <c r="E1958" s="6" t="s">
        <v>2275</v>
      </c>
      <c r="F1958" s="6" t="s">
        <v>13</v>
      </c>
      <c r="G1958" s="6"/>
      <c r="H1958" s="6" t="s">
        <v>54</v>
      </c>
      <c r="I1958" s="6" t="s">
        <v>73</v>
      </c>
      <c r="J1958" s="6"/>
      <c r="K1958" s="6"/>
      <c r="L1958" s="6" t="s">
        <v>2276</v>
      </c>
      <c r="M1958" s="6"/>
      <c r="N1958" s="6" t="s">
        <v>2277</v>
      </c>
      <c r="O1958" s="6" t="str">
        <f>HYPERLINK("https://ceds.ed.gov/cedselementdetails.aspx?termid=6292")</f>
        <v>https://ceds.ed.gov/cedselementdetails.aspx?termid=6292</v>
      </c>
      <c r="P1958" s="6" t="str">
        <f>HYPERLINK("https://ceds.ed.gov/elementComment.aspx?elementName=Doctoral Exam Taken Date &amp;elementID=6292", "Click here to submit comment")</f>
        <v>Click here to submit comment</v>
      </c>
    </row>
    <row r="1959" spans="1:16" ht="210">
      <c r="A1959" s="6" t="s">
        <v>6869</v>
      </c>
      <c r="B1959" s="6" t="s">
        <v>6872</v>
      </c>
      <c r="C1959" s="6" t="s">
        <v>6875</v>
      </c>
      <c r="D1959" s="6" t="s">
        <v>2278</v>
      </c>
      <c r="E1959" s="6" t="s">
        <v>2279</v>
      </c>
      <c r="F1959" s="7" t="s">
        <v>6468</v>
      </c>
      <c r="G1959" s="6"/>
      <c r="H1959" s="6" t="s">
        <v>54</v>
      </c>
      <c r="I1959" s="6"/>
      <c r="J1959" s="6"/>
      <c r="K1959" s="6"/>
      <c r="L1959" s="6" t="s">
        <v>2280</v>
      </c>
      <c r="M1959" s="6"/>
      <c r="N1959" s="6" t="s">
        <v>2281</v>
      </c>
      <c r="O1959" s="6" t="str">
        <f>HYPERLINK("https://ceds.ed.gov/cedselementdetails.aspx?termid=6293")</f>
        <v>https://ceds.ed.gov/cedselementdetails.aspx?termid=6293</v>
      </c>
      <c r="P1959" s="6" t="str">
        <f>HYPERLINK("https://ceds.ed.gov/elementComment.aspx?elementName=Doctoral Exams Required Type &amp;elementID=6293", "Click here to submit comment")</f>
        <v>Click here to submit comment</v>
      </c>
    </row>
    <row r="1960" spans="1:16" ht="150">
      <c r="A1960" s="6" t="s">
        <v>6869</v>
      </c>
      <c r="B1960" s="6" t="s">
        <v>6872</v>
      </c>
      <c r="C1960" s="6" t="s">
        <v>6875</v>
      </c>
      <c r="D1960" s="6" t="s">
        <v>2903</v>
      </c>
      <c r="E1960" s="6" t="s">
        <v>2904</v>
      </c>
      <c r="F1960" s="7" t="s">
        <v>6524</v>
      </c>
      <c r="G1960" s="6"/>
      <c r="H1960" s="6" t="s">
        <v>54</v>
      </c>
      <c r="I1960" s="6"/>
      <c r="J1960" s="6"/>
      <c r="K1960" s="6"/>
      <c r="L1960" s="6" t="s">
        <v>2905</v>
      </c>
      <c r="M1960" s="6"/>
      <c r="N1960" s="6" t="s">
        <v>2906</v>
      </c>
      <c r="O1960" s="6" t="str">
        <f>HYPERLINK("https://ceds.ed.gov/cedselementdetails.aspx?termid=6324")</f>
        <v>https://ceds.ed.gov/cedselementdetails.aspx?termid=6324</v>
      </c>
      <c r="P1960" s="6" t="str">
        <f>HYPERLINK("https://ceds.ed.gov/elementComment.aspx?elementName=Graduate or Doctoral Exam Results Status &amp;elementID=6324", "Click here to submit comment")</f>
        <v>Click here to submit comment</v>
      </c>
    </row>
    <row r="1961" spans="1:16" ht="90">
      <c r="A1961" s="6" t="s">
        <v>6869</v>
      </c>
      <c r="B1961" s="6" t="s">
        <v>6872</v>
      </c>
      <c r="C1961" s="6" t="s">
        <v>6875</v>
      </c>
      <c r="D1961" s="6" t="s">
        <v>4329</v>
      </c>
      <c r="E1961" s="6" t="s">
        <v>4330</v>
      </c>
      <c r="F1961" s="6" t="s">
        <v>5963</v>
      </c>
      <c r="G1961" s="6"/>
      <c r="H1961" s="6" t="s">
        <v>54</v>
      </c>
      <c r="I1961" s="6"/>
      <c r="J1961" s="6"/>
      <c r="K1961" s="6"/>
      <c r="L1961" s="6" t="s">
        <v>4331</v>
      </c>
      <c r="M1961" s="6"/>
      <c r="N1961" s="6" t="s">
        <v>4332</v>
      </c>
      <c r="O1961" s="6" t="str">
        <f>HYPERLINK("https://ceds.ed.gov/cedselementdetails.aspx?termid=6385")</f>
        <v>https://ceds.ed.gov/cedselementdetails.aspx?termid=6385</v>
      </c>
      <c r="P1961" s="6" t="str">
        <f>HYPERLINK("https://ceds.ed.gov/elementComment.aspx?elementName=Oral Defense Completed Indicator &amp;elementID=6385", "Click here to submit comment")</f>
        <v>Click here to submit comment</v>
      </c>
    </row>
    <row r="1962" spans="1:16" ht="30">
      <c r="A1962" s="6" t="s">
        <v>6869</v>
      </c>
      <c r="B1962" s="6" t="s">
        <v>6872</v>
      </c>
      <c r="C1962" s="6" t="s">
        <v>6875</v>
      </c>
      <c r="D1962" s="6" t="s">
        <v>4333</v>
      </c>
      <c r="E1962" s="6" t="s">
        <v>4334</v>
      </c>
      <c r="F1962" s="6" t="s">
        <v>13</v>
      </c>
      <c r="G1962" s="6"/>
      <c r="H1962" s="6" t="s">
        <v>54</v>
      </c>
      <c r="I1962" s="6" t="s">
        <v>73</v>
      </c>
      <c r="J1962" s="6"/>
      <c r="K1962" s="6"/>
      <c r="L1962" s="6" t="s">
        <v>4335</v>
      </c>
      <c r="M1962" s="6"/>
      <c r="N1962" s="6" t="s">
        <v>4336</v>
      </c>
      <c r="O1962" s="6" t="str">
        <f>HYPERLINK("https://ceds.ed.gov/cedselementdetails.aspx?termid=6386")</f>
        <v>https://ceds.ed.gov/cedselementdetails.aspx?termid=6386</v>
      </c>
      <c r="P1962" s="6" t="str">
        <f>HYPERLINK("https://ceds.ed.gov/elementComment.aspx?elementName=Oral Defense Date &amp;elementID=6386", "Click here to submit comment")</f>
        <v>Click here to submit comment</v>
      </c>
    </row>
    <row r="1963" spans="1:16" ht="30">
      <c r="A1963" s="6" t="s">
        <v>6869</v>
      </c>
      <c r="B1963" s="6" t="s">
        <v>6872</v>
      </c>
      <c r="C1963" s="6" t="s">
        <v>6875</v>
      </c>
      <c r="D1963" s="6" t="s">
        <v>5744</v>
      </c>
      <c r="E1963" s="6" t="s">
        <v>5745</v>
      </c>
      <c r="F1963" s="6" t="s">
        <v>13</v>
      </c>
      <c r="G1963" s="6"/>
      <c r="H1963" s="6" t="s">
        <v>54</v>
      </c>
      <c r="I1963" s="6" t="s">
        <v>319</v>
      </c>
      <c r="J1963" s="6"/>
      <c r="K1963" s="6"/>
      <c r="L1963" s="6" t="s">
        <v>5746</v>
      </c>
      <c r="M1963" s="6"/>
      <c r="N1963" s="6" t="s">
        <v>5747</v>
      </c>
      <c r="O1963" s="6" t="str">
        <f>HYPERLINK("https://ceds.ed.gov/cedselementdetails.aspx?termid=6468")</f>
        <v>https://ceds.ed.gov/cedselementdetails.aspx?termid=6468</v>
      </c>
      <c r="P1963" s="6" t="str">
        <f>HYPERLINK("https://ceds.ed.gov/elementComment.aspx?elementName=Thesis or Dissertation Title &amp;elementID=6468", "Click here to submit comment")</f>
        <v>Click here to submit comment</v>
      </c>
    </row>
    <row r="1964" spans="1:16" ht="225">
      <c r="A1964" s="6" t="s">
        <v>6869</v>
      </c>
      <c r="B1964" s="6" t="s">
        <v>6872</v>
      </c>
      <c r="C1964" s="6" t="s">
        <v>6876</v>
      </c>
      <c r="D1964" s="6" t="s">
        <v>4979</v>
      </c>
      <c r="E1964" s="6" t="s">
        <v>4980</v>
      </c>
      <c r="F1964" s="7" t="s">
        <v>6637</v>
      </c>
      <c r="G1964" s="6"/>
      <c r="H1964" s="6"/>
      <c r="I1964" s="6"/>
      <c r="J1964" s="6"/>
      <c r="K1964" s="6"/>
      <c r="L1964" s="6" t="s">
        <v>4981</v>
      </c>
      <c r="M1964" s="6"/>
      <c r="N1964" s="6" t="s">
        <v>4982</v>
      </c>
      <c r="O1964" s="6" t="str">
        <f>HYPERLINK("https://ceds.ed.gov/cedselementdetails.aspx?termid=5515")</f>
        <v>https://ceds.ed.gov/cedselementdetails.aspx?termid=5515</v>
      </c>
      <c r="P1964" s="6" t="str">
        <f>HYPERLINK("https://ceds.ed.gov/elementComment.aspx?elementName=Receiving Location of Instruction &amp;elementID=5515", "Click here to submit comment")</f>
        <v>Click here to submit comment</v>
      </c>
    </row>
    <row r="1965" spans="1:16" ht="195">
      <c r="A1965" s="6" t="s">
        <v>6869</v>
      </c>
      <c r="B1965" s="6" t="s">
        <v>6872</v>
      </c>
      <c r="C1965" s="6" t="s">
        <v>6876</v>
      </c>
      <c r="D1965" s="6" t="s">
        <v>4088</v>
      </c>
      <c r="E1965" s="6" t="s">
        <v>4089</v>
      </c>
      <c r="F1965" s="6" t="s">
        <v>13</v>
      </c>
      <c r="G1965" s="6" t="s">
        <v>6176</v>
      </c>
      <c r="H1965" s="6" t="s">
        <v>3</v>
      </c>
      <c r="I1965" s="6" t="s">
        <v>1368</v>
      </c>
      <c r="J1965" s="6"/>
      <c r="K1965" s="6" t="s">
        <v>2778</v>
      </c>
      <c r="L1965" s="6" t="s">
        <v>4090</v>
      </c>
      <c r="M1965" s="6"/>
      <c r="N1965" s="6" t="s">
        <v>4091</v>
      </c>
      <c r="O1965" s="6" t="str">
        <f>HYPERLINK("https://ceds.ed.gov/cedselementdetails.aspx?termid=5184")</f>
        <v>https://ceds.ed.gov/cedselementdetails.aspx?termid=5184</v>
      </c>
      <c r="P1965" s="6" t="str">
        <f>HYPERLINK("https://ceds.ed.gov/elementComment.aspx?elementName=Middle Name &amp;elementID=5184", "Click here to submit comment")</f>
        <v>Click here to submit comment</v>
      </c>
    </row>
    <row r="1966" spans="1:16" ht="195">
      <c r="A1966" s="6" t="s">
        <v>6869</v>
      </c>
      <c r="B1966" s="6" t="s">
        <v>6872</v>
      </c>
      <c r="C1966" s="6" t="s">
        <v>6876</v>
      </c>
      <c r="D1966" s="6" t="s">
        <v>3427</v>
      </c>
      <c r="E1966" s="6" t="s">
        <v>3428</v>
      </c>
      <c r="F1966" s="6" t="s">
        <v>13</v>
      </c>
      <c r="G1966" s="6" t="s">
        <v>6176</v>
      </c>
      <c r="H1966" s="6" t="s">
        <v>3</v>
      </c>
      <c r="I1966" s="6" t="s">
        <v>1368</v>
      </c>
      <c r="J1966" s="6"/>
      <c r="K1966" s="6" t="s">
        <v>2778</v>
      </c>
      <c r="L1966" s="6" t="s">
        <v>3429</v>
      </c>
      <c r="M1966" s="6" t="s">
        <v>3430</v>
      </c>
      <c r="N1966" s="6" t="s">
        <v>3431</v>
      </c>
      <c r="O1966" s="6" t="str">
        <f>HYPERLINK("https://ceds.ed.gov/cedselementdetails.aspx?termid=5172")</f>
        <v>https://ceds.ed.gov/cedselementdetails.aspx?termid=5172</v>
      </c>
      <c r="P1966" s="6" t="str">
        <f>HYPERLINK("https://ceds.ed.gov/elementComment.aspx?elementName=Last or Surname &amp;elementID=5172", "Click here to submit comment")</f>
        <v>Click here to submit comment</v>
      </c>
    </row>
    <row r="1967" spans="1:16" ht="45">
      <c r="A1967" s="6" t="s">
        <v>6869</v>
      </c>
      <c r="B1967" s="6" t="s">
        <v>6872</v>
      </c>
      <c r="C1967" s="6" t="s">
        <v>6876</v>
      </c>
      <c r="D1967" s="6" t="s">
        <v>4375</v>
      </c>
      <c r="E1967" s="6" t="s">
        <v>4376</v>
      </c>
      <c r="F1967" s="6" t="s">
        <v>13</v>
      </c>
      <c r="G1967" s="6"/>
      <c r="H1967" s="6" t="s">
        <v>54</v>
      </c>
      <c r="I1967" s="6" t="s">
        <v>1368</v>
      </c>
      <c r="J1967" s="6"/>
      <c r="K1967" s="6" t="s">
        <v>4377</v>
      </c>
      <c r="L1967" s="6" t="s">
        <v>4378</v>
      </c>
      <c r="M1967" s="6"/>
      <c r="N1967" s="6" t="s">
        <v>4379</v>
      </c>
      <c r="O1967" s="6" t="str">
        <f>HYPERLINK("https://ceds.ed.gov/cedselementdetails.aspx?termid=6486")</f>
        <v>https://ceds.ed.gov/cedselementdetails.aspx?termid=6486</v>
      </c>
      <c r="P1967" s="6" t="str">
        <f>HYPERLINK("https://ceds.ed.gov/elementComment.aspx?elementName=Other First Name &amp;elementID=6486", "Click here to submit comment")</f>
        <v>Click here to submit comment</v>
      </c>
    </row>
    <row r="1968" spans="1:16" ht="45">
      <c r="A1968" s="6" t="s">
        <v>6869</v>
      </c>
      <c r="B1968" s="6" t="s">
        <v>6872</v>
      </c>
      <c r="C1968" s="6" t="s">
        <v>6876</v>
      </c>
      <c r="D1968" s="6" t="s">
        <v>4380</v>
      </c>
      <c r="E1968" s="6" t="s">
        <v>4381</v>
      </c>
      <c r="F1968" s="6" t="s">
        <v>13</v>
      </c>
      <c r="G1968" s="6"/>
      <c r="H1968" s="6" t="s">
        <v>54</v>
      </c>
      <c r="I1968" s="6" t="s">
        <v>1368</v>
      </c>
      <c r="J1968" s="6"/>
      <c r="K1968" s="6" t="s">
        <v>4382</v>
      </c>
      <c r="L1968" s="6" t="s">
        <v>4383</v>
      </c>
      <c r="M1968" s="6"/>
      <c r="N1968" s="6" t="s">
        <v>4384</v>
      </c>
      <c r="O1968" s="6" t="str">
        <f>HYPERLINK("https://ceds.ed.gov/cedselementdetails.aspx?termid=6485")</f>
        <v>https://ceds.ed.gov/cedselementdetails.aspx?termid=6485</v>
      </c>
      <c r="P1968" s="6" t="str">
        <f>HYPERLINK("https://ceds.ed.gov/elementComment.aspx?elementName=Other Last Name &amp;elementID=6485", "Click here to submit comment")</f>
        <v>Click here to submit comment</v>
      </c>
    </row>
    <row r="1969" spans="1:16" ht="45">
      <c r="A1969" s="6" t="s">
        <v>6869</v>
      </c>
      <c r="B1969" s="6" t="s">
        <v>6872</v>
      </c>
      <c r="C1969" s="6" t="s">
        <v>6876</v>
      </c>
      <c r="D1969" s="6" t="s">
        <v>4385</v>
      </c>
      <c r="E1969" s="6" t="s">
        <v>4386</v>
      </c>
      <c r="F1969" s="6" t="s">
        <v>13</v>
      </c>
      <c r="G1969" s="6"/>
      <c r="H1969" s="6" t="s">
        <v>54</v>
      </c>
      <c r="I1969" s="6" t="s">
        <v>1368</v>
      </c>
      <c r="J1969" s="6"/>
      <c r="K1969" s="6" t="s">
        <v>4387</v>
      </c>
      <c r="L1969" s="6" t="s">
        <v>4388</v>
      </c>
      <c r="M1969" s="6"/>
      <c r="N1969" s="6" t="s">
        <v>4389</v>
      </c>
      <c r="O1969" s="6" t="str">
        <f>HYPERLINK("https://ceds.ed.gov/cedselementdetails.aspx?termid=6487")</f>
        <v>https://ceds.ed.gov/cedselementdetails.aspx?termid=6487</v>
      </c>
      <c r="P1969" s="6" t="str">
        <f>HYPERLINK("https://ceds.ed.gov/elementComment.aspx?elementName=Other Middle Name &amp;elementID=6487", "Click here to submit comment")</f>
        <v>Click here to submit comment</v>
      </c>
    </row>
    <row r="1970" spans="1:16" ht="150">
      <c r="A1970" s="6" t="s">
        <v>6869</v>
      </c>
      <c r="B1970" s="6" t="s">
        <v>6872</v>
      </c>
      <c r="C1970" s="6" t="s">
        <v>6876</v>
      </c>
      <c r="D1970" s="6" t="s">
        <v>4390</v>
      </c>
      <c r="E1970" s="6" t="s">
        <v>4391</v>
      </c>
      <c r="F1970" s="6" t="s">
        <v>13</v>
      </c>
      <c r="G1970" s="6" t="s">
        <v>6179</v>
      </c>
      <c r="H1970" s="6" t="s">
        <v>3</v>
      </c>
      <c r="I1970" s="6" t="s">
        <v>149</v>
      </c>
      <c r="J1970" s="6"/>
      <c r="K1970" s="6"/>
      <c r="L1970" s="6" t="s">
        <v>4392</v>
      </c>
      <c r="M1970" s="6"/>
      <c r="N1970" s="6" t="s">
        <v>4393</v>
      </c>
      <c r="O1970" s="6" t="str">
        <f>HYPERLINK("https://ceds.ed.gov/cedselementdetails.aspx?termid=5206")</f>
        <v>https://ceds.ed.gov/cedselementdetails.aspx?termid=5206</v>
      </c>
      <c r="P1970" s="6" t="str">
        <f>HYPERLINK("https://ceds.ed.gov/elementComment.aspx?elementName=Other Name &amp;elementID=5206", "Click here to submit comment")</f>
        <v>Click here to submit comment</v>
      </c>
    </row>
    <row r="1971" spans="1:16" ht="285">
      <c r="A1971" s="6" t="s">
        <v>6869</v>
      </c>
      <c r="B1971" s="6" t="s">
        <v>6872</v>
      </c>
      <c r="C1971" s="6" t="s">
        <v>6830</v>
      </c>
      <c r="D1971" s="6" t="s">
        <v>399</v>
      </c>
      <c r="E1971" s="6" t="s">
        <v>400</v>
      </c>
      <c r="F1971" s="7" t="s">
        <v>6376</v>
      </c>
      <c r="G1971" s="6" t="s">
        <v>5992</v>
      </c>
      <c r="H1971" s="6" t="s">
        <v>3</v>
      </c>
      <c r="I1971" s="6"/>
      <c r="J1971" s="6"/>
      <c r="K1971" s="6"/>
      <c r="L1971" s="6" t="s">
        <v>401</v>
      </c>
      <c r="M1971" s="6"/>
      <c r="N1971" s="6" t="s">
        <v>402</v>
      </c>
      <c r="O1971" s="6" t="str">
        <f>HYPERLINK("https://ceds.ed.gov/cedselementdetails.aspx?termid=5374")</f>
        <v>https://ceds.ed.gov/cedselementdetails.aspx?termid=5374</v>
      </c>
      <c r="P1971" s="6" t="str">
        <f>HYPERLINK("https://ceds.ed.gov/elementComment.aspx?elementName=Assessment Accommodation Category &amp;elementID=5374", "Click here to submit comment")</f>
        <v>Click here to submit comment</v>
      </c>
    </row>
    <row r="1972" spans="1:16" ht="75">
      <c r="A1972" s="6" t="s">
        <v>6869</v>
      </c>
      <c r="B1972" s="6" t="s">
        <v>6872</v>
      </c>
      <c r="C1972" s="6" t="s">
        <v>6877</v>
      </c>
      <c r="D1972" s="6" t="s">
        <v>5673</v>
      </c>
      <c r="E1972" s="6" t="s">
        <v>5674</v>
      </c>
      <c r="F1972" s="7" t="s">
        <v>6669</v>
      </c>
      <c r="G1972" s="6" t="s">
        <v>344</v>
      </c>
      <c r="H1972" s="6"/>
      <c r="I1972" s="6"/>
      <c r="J1972" s="6"/>
      <c r="K1972" s="6"/>
      <c r="L1972" s="6" t="s">
        <v>5675</v>
      </c>
      <c r="M1972" s="6"/>
      <c r="N1972" s="6" t="s">
        <v>5676</v>
      </c>
      <c r="O1972" s="6" t="str">
        <f>HYPERLINK("https://ceds.ed.gov/cedselementdetails.aspx?termid=5749")</f>
        <v>https://ceds.ed.gov/cedselementdetails.aspx?termid=5749</v>
      </c>
      <c r="P1972" s="6" t="str">
        <f>HYPERLINK("https://ceds.ed.gov/elementComment.aspx?elementName=Teacher Preparation Program Enrollment Status &amp;elementID=5749", "Click here to submit comment")</f>
        <v>Click here to submit comment</v>
      </c>
    </row>
    <row r="1973" spans="1:16" ht="120">
      <c r="A1973" s="6" t="s">
        <v>6869</v>
      </c>
      <c r="B1973" s="6" t="s">
        <v>6872</v>
      </c>
      <c r="C1973" s="6" t="s">
        <v>6877</v>
      </c>
      <c r="D1973" s="6" t="s">
        <v>5669</v>
      </c>
      <c r="E1973" s="6" t="s">
        <v>5670</v>
      </c>
      <c r="F1973" s="7" t="s">
        <v>6371</v>
      </c>
      <c r="G1973" s="6" t="s">
        <v>344</v>
      </c>
      <c r="H1973" s="6"/>
      <c r="I1973" s="6"/>
      <c r="J1973" s="6"/>
      <c r="K1973" s="6"/>
      <c r="L1973" s="6" t="s">
        <v>5671</v>
      </c>
      <c r="M1973" s="6"/>
      <c r="N1973" s="6" t="s">
        <v>5672</v>
      </c>
      <c r="O1973" s="6" t="str">
        <f>HYPERLINK("https://ceds.ed.gov/cedselementdetails.aspx?termid=5750")</f>
        <v>https://ceds.ed.gov/cedselementdetails.aspx?termid=5750</v>
      </c>
      <c r="P1973" s="6" t="str">
        <f>HYPERLINK("https://ceds.ed.gov/elementComment.aspx?elementName=Teacher Preparation Program Completer Status &amp;elementID=5750", "Click here to submit comment")</f>
        <v>Click here to submit comment</v>
      </c>
    </row>
    <row r="1974" spans="1:16" ht="75">
      <c r="A1974" s="6" t="s">
        <v>6869</v>
      </c>
      <c r="B1974" s="6" t="s">
        <v>6872</v>
      </c>
      <c r="C1974" s="6" t="s">
        <v>6877</v>
      </c>
      <c r="D1974" s="6" t="s">
        <v>5626</v>
      </c>
      <c r="E1974" s="6" t="s">
        <v>5627</v>
      </c>
      <c r="F1974" s="7" t="s">
        <v>6371</v>
      </c>
      <c r="G1974" s="6" t="s">
        <v>344</v>
      </c>
      <c r="H1974" s="6"/>
      <c r="I1974" s="6"/>
      <c r="J1974" s="6"/>
      <c r="K1974" s="6"/>
      <c r="L1974" s="6" t="s">
        <v>5628</v>
      </c>
      <c r="M1974" s="6"/>
      <c r="N1974" s="6" t="s">
        <v>5629</v>
      </c>
      <c r="O1974" s="6" t="str">
        <f>HYPERLINK("https://ceds.ed.gov/cedselementdetails.aspx?termid=5754")</f>
        <v>https://ceds.ed.gov/cedselementdetails.aspx?termid=5754</v>
      </c>
      <c r="P1974" s="6" t="str">
        <f>HYPERLINK("https://ceds.ed.gov/elementComment.aspx?elementName=Supervised Clinical Experience &amp;elementID=5754", "Click here to submit comment")</f>
        <v>Click here to submit comment</v>
      </c>
    </row>
    <row r="1975" spans="1:16" ht="60">
      <c r="A1975" s="6" t="s">
        <v>6869</v>
      </c>
      <c r="B1975" s="6" t="s">
        <v>6872</v>
      </c>
      <c r="C1975" s="6" t="s">
        <v>6877</v>
      </c>
      <c r="D1975" s="6" t="s">
        <v>5630</v>
      </c>
      <c r="E1975" s="6" t="s">
        <v>5631</v>
      </c>
      <c r="F1975" s="6" t="s">
        <v>13</v>
      </c>
      <c r="G1975" s="6" t="s">
        <v>344</v>
      </c>
      <c r="H1975" s="6"/>
      <c r="I1975" s="6" t="s">
        <v>308</v>
      </c>
      <c r="J1975" s="6"/>
      <c r="K1975" s="6"/>
      <c r="L1975" s="6" t="s">
        <v>5632</v>
      </c>
      <c r="M1975" s="6"/>
      <c r="N1975" s="6" t="s">
        <v>5633</v>
      </c>
      <c r="O1975" s="6" t="str">
        <f>HYPERLINK("https://ceds.ed.gov/cedselementdetails.aspx?termid=5755")</f>
        <v>https://ceds.ed.gov/cedselementdetails.aspx?termid=5755</v>
      </c>
      <c r="P1975" s="6" t="str">
        <f>HYPERLINK("https://ceds.ed.gov/elementComment.aspx?elementName=Supervised Clinical Experience Clock Hours &amp;elementID=5755", "Click here to submit comment")</f>
        <v>Click here to submit comment</v>
      </c>
    </row>
    <row r="1976" spans="1:16" ht="90">
      <c r="A1976" s="6" t="s">
        <v>6869</v>
      </c>
      <c r="B1976" s="6" t="s">
        <v>6872</v>
      </c>
      <c r="C1976" s="6" t="s">
        <v>6877</v>
      </c>
      <c r="D1976" s="6" t="s">
        <v>5654</v>
      </c>
      <c r="E1976" s="6" t="s">
        <v>5655</v>
      </c>
      <c r="F1976" s="7" t="s">
        <v>6667</v>
      </c>
      <c r="G1976" s="6" t="s">
        <v>344</v>
      </c>
      <c r="H1976" s="6"/>
      <c r="I1976" s="6"/>
      <c r="J1976" s="6"/>
      <c r="K1976" s="6"/>
      <c r="L1976" s="6" t="s">
        <v>5656</v>
      </c>
      <c r="M1976" s="6"/>
      <c r="N1976" s="6" t="s">
        <v>5657</v>
      </c>
      <c r="O1976" s="6" t="str">
        <f>HYPERLINK("https://ceds.ed.gov/cedselementdetails.aspx?termid=5756")</f>
        <v>https://ceds.ed.gov/cedselementdetails.aspx?termid=5756</v>
      </c>
      <c r="P1976" s="6" t="str">
        <f>HYPERLINK("https://ceds.ed.gov/elementComment.aspx?elementName=Teacher Education Credential Exam Type &amp;elementID=5756", "Click here to submit comment")</f>
        <v>Click here to submit comment</v>
      </c>
    </row>
    <row r="1977" spans="1:16" ht="75">
      <c r="A1977" s="6" t="s">
        <v>6869</v>
      </c>
      <c r="B1977" s="6" t="s">
        <v>6872</v>
      </c>
      <c r="C1977" s="6" t="s">
        <v>6877</v>
      </c>
      <c r="D1977" s="6" t="s">
        <v>5649</v>
      </c>
      <c r="E1977" s="6" t="s">
        <v>5650</v>
      </c>
      <c r="F1977" s="6" t="s">
        <v>13</v>
      </c>
      <c r="G1977" s="6" t="s">
        <v>344</v>
      </c>
      <c r="H1977" s="6"/>
      <c r="I1977" s="6" t="s">
        <v>100</v>
      </c>
      <c r="J1977" s="6"/>
      <c r="K1977" s="6" t="s">
        <v>5651</v>
      </c>
      <c r="L1977" s="6" t="s">
        <v>5652</v>
      </c>
      <c r="M1977" s="6"/>
      <c r="N1977" s="6" t="s">
        <v>5653</v>
      </c>
      <c r="O1977" s="6" t="str">
        <f>HYPERLINK("https://ceds.ed.gov/cedselementdetails.aspx?termid=5757")</f>
        <v>https://ceds.ed.gov/cedselementdetails.aspx?termid=5757</v>
      </c>
      <c r="P1977" s="6" t="str">
        <f>HYPERLINK("https://ceds.ed.gov/elementComment.aspx?elementName=Teacher Education Credential Exam Score Type &amp;elementID=5757", "Click here to submit comment")</f>
        <v>Click here to submit comment</v>
      </c>
    </row>
    <row r="1978" spans="1:16" ht="210">
      <c r="A1978" s="6" t="s">
        <v>6869</v>
      </c>
      <c r="B1978" s="6" t="s">
        <v>6872</v>
      </c>
      <c r="C1978" s="6" t="s">
        <v>6877</v>
      </c>
      <c r="D1978" s="6" t="s">
        <v>5658</v>
      </c>
      <c r="E1978" s="6" t="s">
        <v>5659</v>
      </c>
      <c r="F1978" s="7" t="s">
        <v>6668</v>
      </c>
      <c r="G1978" s="6" t="s">
        <v>344</v>
      </c>
      <c r="H1978" s="6"/>
      <c r="I1978" s="6"/>
      <c r="J1978" s="6"/>
      <c r="K1978" s="6"/>
      <c r="L1978" s="6" t="s">
        <v>5660</v>
      </c>
      <c r="M1978" s="6"/>
      <c r="N1978" s="6" t="s">
        <v>5661</v>
      </c>
      <c r="O1978" s="6" t="str">
        <f>HYPERLINK("https://ceds.ed.gov/cedselementdetails.aspx?termid=5748")</f>
        <v>https://ceds.ed.gov/cedselementdetails.aspx?termid=5748</v>
      </c>
      <c r="P1978" s="6" t="str">
        <f>HYPERLINK("https://ceds.ed.gov/elementComment.aspx?elementName=Teacher Education Test Company &amp;elementID=5748", "Click here to submit comment")</f>
        <v>Click here to submit comment</v>
      </c>
    </row>
    <row r="1979" spans="1:16" ht="390">
      <c r="A1979" s="6" t="s">
        <v>6869</v>
      </c>
      <c r="B1979" s="6" t="s">
        <v>6872</v>
      </c>
      <c r="C1979" s="6" t="s">
        <v>6877</v>
      </c>
      <c r="D1979" s="6" t="s">
        <v>5699</v>
      </c>
      <c r="E1979" s="6" t="s">
        <v>5700</v>
      </c>
      <c r="F1979" s="7" t="s">
        <v>6671</v>
      </c>
      <c r="G1979" s="6" t="s">
        <v>344</v>
      </c>
      <c r="H1979" s="6" t="s">
        <v>66</v>
      </c>
      <c r="I1979" s="6"/>
      <c r="J1979" s="6" t="s">
        <v>2527</v>
      </c>
      <c r="K1979" s="6"/>
      <c r="L1979" s="6" t="s">
        <v>5701</v>
      </c>
      <c r="M1979" s="6"/>
      <c r="N1979" s="6" t="s">
        <v>5702</v>
      </c>
      <c r="O1979" s="6" t="str">
        <f>HYPERLINK("https://ceds.ed.gov/cedselementdetails.aspx?termid=5277")</f>
        <v>https://ceds.ed.gov/cedselementdetails.aspx?termid=5277</v>
      </c>
      <c r="P1979" s="6" t="str">
        <f>HYPERLINK("https://ceds.ed.gov/elementComment.aspx?elementName=Teaching Credential Basis &amp;elementID=5277", "Click here to submit comment")</f>
        <v>Click here to submit comment</v>
      </c>
    </row>
    <row r="1980" spans="1:16" ht="300">
      <c r="A1980" s="6" t="s">
        <v>6869</v>
      </c>
      <c r="B1980" s="6" t="s">
        <v>6872</v>
      </c>
      <c r="C1980" s="6" t="s">
        <v>6877</v>
      </c>
      <c r="D1980" s="6" t="s">
        <v>5703</v>
      </c>
      <c r="E1980" s="6" t="s">
        <v>5704</v>
      </c>
      <c r="F1980" s="7" t="s">
        <v>6672</v>
      </c>
      <c r="G1980" s="6" t="s">
        <v>344</v>
      </c>
      <c r="H1980" s="6"/>
      <c r="I1980" s="6"/>
      <c r="J1980" s="6"/>
      <c r="K1980" s="6"/>
      <c r="L1980" s="6" t="s">
        <v>5705</v>
      </c>
      <c r="M1980" s="6"/>
      <c r="N1980" s="6" t="s">
        <v>5706</v>
      </c>
      <c r="O1980" s="6" t="str">
        <f>HYPERLINK("https://ceds.ed.gov/cedselementdetails.aspx?termid=5278")</f>
        <v>https://ceds.ed.gov/cedselementdetails.aspx?termid=5278</v>
      </c>
      <c r="P1980" s="6" t="str">
        <f>HYPERLINK("https://ceds.ed.gov/elementComment.aspx?elementName=Teaching Credential Type &amp;elementID=5278", "Click here to submit comment")</f>
        <v>Click here to submit comment</v>
      </c>
    </row>
    <row r="1981" spans="1:16" ht="60">
      <c r="A1981" s="6" t="s">
        <v>6869</v>
      </c>
      <c r="B1981" s="6" t="s">
        <v>6872</v>
      </c>
      <c r="C1981" s="6" t="s">
        <v>6877</v>
      </c>
      <c r="D1981" s="6" t="s">
        <v>341</v>
      </c>
      <c r="E1981" s="6" t="s">
        <v>342</v>
      </c>
      <c r="F1981" s="7" t="s">
        <v>6371</v>
      </c>
      <c r="G1981" s="6" t="s">
        <v>344</v>
      </c>
      <c r="H1981" s="6"/>
      <c r="I1981" s="6"/>
      <c r="J1981" s="6"/>
      <c r="K1981" s="6"/>
      <c r="L1981" s="6" t="s">
        <v>345</v>
      </c>
      <c r="M1981" s="6"/>
      <c r="N1981" s="6" t="s">
        <v>346</v>
      </c>
      <c r="O1981" s="6" t="str">
        <f>HYPERLINK("https://ceds.ed.gov/cedselementdetails.aspx?termid=5751")</f>
        <v>https://ceds.ed.gov/cedselementdetails.aspx?termid=5751</v>
      </c>
      <c r="P1981" s="6" t="str">
        <f>HYPERLINK("https://ceds.ed.gov/elementComment.aspx?elementName=Alternative Route to Certification or Licensure &amp;elementID=5751", "Click here to submit comment")</f>
        <v>Click here to submit comment</v>
      </c>
    </row>
    <row r="1982" spans="1:16" ht="60">
      <c r="A1982" s="6" t="s">
        <v>6869</v>
      </c>
      <c r="B1982" s="6" t="s">
        <v>6872</v>
      </c>
      <c r="C1982" s="6" t="s">
        <v>6877</v>
      </c>
      <c r="D1982" s="6" t="s">
        <v>2087</v>
      </c>
      <c r="E1982" s="6" t="s">
        <v>2088</v>
      </c>
      <c r="F1982" s="7" t="s">
        <v>6371</v>
      </c>
      <c r="G1982" s="6" t="s">
        <v>344</v>
      </c>
      <c r="H1982" s="6"/>
      <c r="I1982" s="6"/>
      <c r="J1982" s="6"/>
      <c r="K1982" s="6" t="s">
        <v>2089</v>
      </c>
      <c r="L1982" s="6" t="s">
        <v>2090</v>
      </c>
      <c r="M1982" s="6"/>
      <c r="N1982" s="6" t="s">
        <v>2091</v>
      </c>
      <c r="O1982" s="6" t="str">
        <f>HYPERLINK("https://ceds.ed.gov/cedselementdetails.aspx?termid=5753")</f>
        <v>https://ceds.ed.gov/cedselementdetails.aspx?termid=5753</v>
      </c>
      <c r="P1982" s="6" t="str">
        <f>HYPERLINK("https://ceds.ed.gov/elementComment.aspx?elementName=Critical Teacher Shortage Area Candidate &amp;elementID=5753", "Click here to submit comment")</f>
        <v>Click here to submit comment</v>
      </c>
    </row>
    <row r="1983" spans="1:16" ht="225">
      <c r="A1983" s="6" t="s">
        <v>6869</v>
      </c>
      <c r="B1983" s="6" t="s">
        <v>6872</v>
      </c>
      <c r="C1983" s="6" t="s">
        <v>6770</v>
      </c>
      <c r="D1983" s="6" t="s">
        <v>2487</v>
      </c>
      <c r="E1983" s="6" t="s">
        <v>2488</v>
      </c>
      <c r="F1983" s="6" t="s">
        <v>6150</v>
      </c>
      <c r="G1983" s="6" t="s">
        <v>2476</v>
      </c>
      <c r="H1983" s="6" t="s">
        <v>66</v>
      </c>
      <c r="I1983" s="6"/>
      <c r="J1983" s="6" t="s">
        <v>2477</v>
      </c>
      <c r="K1983" s="6" t="s">
        <v>2489</v>
      </c>
      <c r="L1983" s="6" t="s">
        <v>2490</v>
      </c>
      <c r="M1983" s="6"/>
      <c r="N1983" s="6" t="s">
        <v>2491</v>
      </c>
      <c r="O1983" s="6" t="str">
        <f>HYPERLINK("https://ceds.ed.gov/cedselementdetails.aspx?termid=5989")</f>
        <v>https://ceds.ed.gov/cedselementdetails.aspx?termid=5989</v>
      </c>
      <c r="P1983" s="6" t="str">
        <f>HYPERLINK("https://ceds.ed.gov/elementComment.aspx?elementName=Employed While Enrolled &amp;elementID=5989", "Click here to submit comment")</f>
        <v>Click here to submit comment</v>
      </c>
    </row>
    <row r="1984" spans="1:16" ht="270">
      <c r="A1984" s="6" t="s">
        <v>6869</v>
      </c>
      <c r="B1984" s="6" t="s">
        <v>6872</v>
      </c>
      <c r="C1984" s="6" t="s">
        <v>6770</v>
      </c>
      <c r="D1984" s="6" t="s">
        <v>2474</v>
      </c>
      <c r="E1984" s="6" t="s">
        <v>2475</v>
      </c>
      <c r="F1984" s="6" t="s">
        <v>6150</v>
      </c>
      <c r="G1984" s="6" t="s">
        <v>2476</v>
      </c>
      <c r="H1984" s="6" t="s">
        <v>66</v>
      </c>
      <c r="I1984" s="6"/>
      <c r="J1984" s="6" t="s">
        <v>2477</v>
      </c>
      <c r="K1984" s="6" t="s">
        <v>2478</v>
      </c>
      <c r="L1984" s="6" t="s">
        <v>2479</v>
      </c>
      <c r="M1984" s="6"/>
      <c r="N1984" s="6" t="s">
        <v>2480</v>
      </c>
      <c r="O1984" s="6" t="str">
        <f>HYPERLINK("https://ceds.ed.gov/cedselementdetails.aspx?termid=5990")</f>
        <v>https://ceds.ed.gov/cedselementdetails.aspx?termid=5990</v>
      </c>
      <c r="P1984" s="6" t="str">
        <f>HYPERLINK("https://ceds.ed.gov/elementComment.aspx?elementName=Employed After Exit &amp;elementID=5990", "Click here to submit comment")</f>
        <v>Click here to submit comment</v>
      </c>
    </row>
    <row r="1985" spans="1:16" ht="60">
      <c r="A1985" s="6" t="s">
        <v>6869</v>
      </c>
      <c r="B1985" s="6" t="s">
        <v>6872</v>
      </c>
      <c r="C1985" s="6" t="s">
        <v>6770</v>
      </c>
      <c r="D1985" s="6" t="s">
        <v>2502</v>
      </c>
      <c r="E1985" s="6" t="s">
        <v>2503</v>
      </c>
      <c r="F1985" s="6" t="s">
        <v>2504</v>
      </c>
      <c r="G1985" s="6"/>
      <c r="H1985" s="6"/>
      <c r="I1985" s="6" t="s">
        <v>2505</v>
      </c>
      <c r="J1985" s="6"/>
      <c r="K1985" s="6"/>
      <c r="L1985" s="6" t="s">
        <v>2506</v>
      </c>
      <c r="M1985" s="6"/>
      <c r="N1985" s="6" t="s">
        <v>2507</v>
      </c>
      <c r="O1985" s="6" t="str">
        <f>HYPERLINK("https://ceds.ed.gov/cedselementdetails.aspx?termid=6070")</f>
        <v>https://ceds.ed.gov/cedselementdetails.aspx?termid=6070</v>
      </c>
      <c r="P1985" s="6" t="str">
        <f>HYPERLINK("https://ceds.ed.gov/elementComment.aspx?elementName=Employment NAICS Code &amp;elementID=6070", "Click here to submit comment")</f>
        <v>Click here to submit comment</v>
      </c>
    </row>
    <row r="1986" spans="1:16" ht="60">
      <c r="A1986" s="6" t="s">
        <v>6869</v>
      </c>
      <c r="B1986" s="6" t="s">
        <v>6872</v>
      </c>
      <c r="C1986" s="6" t="s">
        <v>6770</v>
      </c>
      <c r="D1986" s="6" t="s">
        <v>2492</v>
      </c>
      <c r="E1986" s="6" t="s">
        <v>2493</v>
      </c>
      <c r="F1986" s="6" t="s">
        <v>13</v>
      </c>
      <c r="G1986" s="6" t="s">
        <v>202</v>
      </c>
      <c r="H1986" s="6" t="s">
        <v>3</v>
      </c>
      <c r="I1986" s="6" t="s">
        <v>73</v>
      </c>
      <c r="J1986" s="6"/>
      <c r="K1986" s="6"/>
      <c r="L1986" s="6" t="s">
        <v>2494</v>
      </c>
      <c r="M1986" s="6"/>
      <c r="N1986" s="6" t="s">
        <v>2495</v>
      </c>
      <c r="O1986" s="6" t="str">
        <f>HYPERLINK("https://ceds.ed.gov/cedselementdetails.aspx?termid=5794")</f>
        <v>https://ceds.ed.gov/cedselementdetails.aspx?termid=5794</v>
      </c>
      <c r="P1986" s="6" t="str">
        <f>HYPERLINK("https://ceds.ed.gov/elementComment.aspx?elementName=Employment End Date &amp;elementID=5794", "Click here to submit comment")</f>
        <v>Click here to submit comment</v>
      </c>
    </row>
    <row r="1987" spans="1:16" ht="60">
      <c r="A1987" s="6" t="s">
        <v>6869</v>
      </c>
      <c r="B1987" s="6" t="s">
        <v>6872</v>
      </c>
      <c r="C1987" s="6" t="s">
        <v>6770</v>
      </c>
      <c r="D1987" s="6" t="s">
        <v>2534</v>
      </c>
      <c r="E1987" s="6" t="s">
        <v>2535</v>
      </c>
      <c r="F1987" s="6" t="s">
        <v>13</v>
      </c>
      <c r="G1987" s="6" t="s">
        <v>6154</v>
      </c>
      <c r="H1987" s="6" t="s">
        <v>3</v>
      </c>
      <c r="I1987" s="6" t="s">
        <v>73</v>
      </c>
      <c r="J1987" s="6"/>
      <c r="K1987" s="6"/>
      <c r="L1987" s="6" t="s">
        <v>2536</v>
      </c>
      <c r="M1987" s="6"/>
      <c r="N1987" s="6" t="s">
        <v>2537</v>
      </c>
      <c r="O1987" s="6" t="str">
        <f>HYPERLINK("https://ceds.ed.gov/cedselementdetails.aspx?termid=5345")</f>
        <v>https://ceds.ed.gov/cedselementdetails.aspx?termid=5345</v>
      </c>
      <c r="P1987" s="6" t="str">
        <f>HYPERLINK("https://ceds.ed.gov/elementComment.aspx?elementName=Employment Start Date &amp;elementID=5345", "Click here to submit comment")</f>
        <v>Click here to submit comment</v>
      </c>
    </row>
    <row r="1988" spans="1:16" ht="75">
      <c r="A1988" s="6" t="s">
        <v>6869</v>
      </c>
      <c r="B1988" s="6" t="s">
        <v>6872</v>
      </c>
      <c r="C1988" s="6" t="s">
        <v>6770</v>
      </c>
      <c r="D1988" s="6" t="s">
        <v>2541</v>
      </c>
      <c r="E1988" s="6" t="s">
        <v>2542</v>
      </c>
      <c r="F1988" s="7" t="s">
        <v>6497</v>
      </c>
      <c r="G1988" s="6"/>
      <c r="H1988" s="6" t="s">
        <v>54</v>
      </c>
      <c r="I1988" s="6"/>
      <c r="J1988" s="6"/>
      <c r="K1988" s="6"/>
      <c r="L1988" s="6" t="s">
        <v>2544</v>
      </c>
      <c r="M1988" s="6"/>
      <c r="N1988" s="6" t="s">
        <v>2545</v>
      </c>
      <c r="O1988" s="6" t="str">
        <f>HYPERLINK("https://ceds.ed.gov/cedselementdetails.aspx?termid=6310")</f>
        <v>https://ceds.ed.gov/cedselementdetails.aspx?termid=6310</v>
      </c>
      <c r="P1988" s="6" t="str">
        <f>HYPERLINK("https://ceds.ed.gov/elementComment.aspx?elementName=Employment Status While Enrolled &amp;elementID=6310", "Click here to submit comment")</f>
        <v>Click here to submit comment</v>
      </c>
    </row>
    <row r="1989" spans="1:16" ht="135">
      <c r="A1989" s="6" t="s">
        <v>6869</v>
      </c>
      <c r="B1989" s="6" t="s">
        <v>6872</v>
      </c>
      <c r="C1989" s="6" t="s">
        <v>6878</v>
      </c>
      <c r="D1989" s="6" t="s">
        <v>5614</v>
      </c>
      <c r="E1989" s="6" t="s">
        <v>5615</v>
      </c>
      <c r="F1989" s="6" t="s">
        <v>13</v>
      </c>
      <c r="G1989" s="6" t="s">
        <v>6330</v>
      </c>
      <c r="H1989" s="6"/>
      <c r="I1989" s="6" t="s">
        <v>100</v>
      </c>
      <c r="J1989" s="6"/>
      <c r="K1989" s="6"/>
      <c r="L1989" s="6" t="s">
        <v>5616</v>
      </c>
      <c r="M1989" s="6"/>
      <c r="N1989" s="6" t="s">
        <v>5617</v>
      </c>
      <c r="O1989" s="6" t="str">
        <f>HYPERLINK("https://ceds.ed.gov/cedselementdetails.aspx?termid=5157")</f>
        <v>https://ceds.ed.gov/cedselementdetails.aspx?termid=5157</v>
      </c>
      <c r="P1989" s="6" t="str">
        <f>HYPERLINK("https://ceds.ed.gov/elementComment.aspx?elementName=Student Identifier &amp;elementID=5157", "Click here to submit comment")</f>
        <v>Click here to submit comment</v>
      </c>
    </row>
    <row r="1990" spans="1:16" ht="285">
      <c r="A1990" s="6" t="s">
        <v>6869</v>
      </c>
      <c r="B1990" s="6" t="s">
        <v>6872</v>
      </c>
      <c r="C1990" s="6" t="s">
        <v>6878</v>
      </c>
      <c r="D1990" s="6" t="s">
        <v>5610</v>
      </c>
      <c r="E1990" s="6" t="s">
        <v>5611</v>
      </c>
      <c r="F1990" s="7" t="s">
        <v>6665</v>
      </c>
      <c r="G1990" s="6" t="s">
        <v>6330</v>
      </c>
      <c r="H1990" s="6"/>
      <c r="I1990" s="6"/>
      <c r="J1990" s="6"/>
      <c r="K1990" s="6"/>
      <c r="L1990" s="6" t="s">
        <v>5612</v>
      </c>
      <c r="M1990" s="6"/>
      <c r="N1990" s="6" t="s">
        <v>5613</v>
      </c>
      <c r="O1990" s="6" t="str">
        <f>HYPERLINK("https://ceds.ed.gov/cedselementdetails.aspx?termid=5163")</f>
        <v>https://ceds.ed.gov/cedselementdetails.aspx?termid=5163</v>
      </c>
      <c r="P1990" s="6" t="str">
        <f>HYPERLINK("https://ceds.ed.gov/elementComment.aspx?elementName=Student Identification System &amp;elementID=5163", "Click here to submit comment")</f>
        <v>Click here to submit comment</v>
      </c>
    </row>
    <row r="1991" spans="1:16" ht="165">
      <c r="A1991" s="6" t="s">
        <v>6869</v>
      </c>
      <c r="B1991" s="6" t="s">
        <v>6872</v>
      </c>
      <c r="C1991" s="6" t="s">
        <v>6878</v>
      </c>
      <c r="D1991" s="6" t="s">
        <v>5224</v>
      </c>
      <c r="E1991" s="6" t="s">
        <v>269</v>
      </c>
      <c r="F1991" s="6" t="s">
        <v>13</v>
      </c>
      <c r="G1991" s="6" t="s">
        <v>6308</v>
      </c>
      <c r="H1991" s="6"/>
      <c r="I1991" s="6" t="s">
        <v>100</v>
      </c>
      <c r="J1991" s="6"/>
      <c r="K1991" s="6"/>
      <c r="L1991" s="6" t="s">
        <v>5225</v>
      </c>
      <c r="M1991" s="6"/>
      <c r="N1991" s="6" t="s">
        <v>5226</v>
      </c>
      <c r="O1991" s="6" t="str">
        <f>HYPERLINK("https://ceds.ed.gov/cedselementdetails.aspx?termid=5155")</f>
        <v>https://ceds.ed.gov/cedselementdetails.aspx?termid=5155</v>
      </c>
      <c r="P1991" s="6" t="str">
        <f>HYPERLINK("https://ceds.ed.gov/elementComment.aspx?elementName=School Identifier &amp;elementID=5155", "Click here to submit comment")</f>
        <v>Click here to submit comment</v>
      </c>
    </row>
    <row r="1992" spans="1:16" ht="360">
      <c r="A1992" s="6" t="s">
        <v>6869</v>
      </c>
      <c r="B1992" s="6" t="s">
        <v>6872</v>
      </c>
      <c r="C1992" s="6" t="s">
        <v>6878</v>
      </c>
      <c r="D1992" s="6" t="s">
        <v>5221</v>
      </c>
      <c r="E1992" s="6" t="s">
        <v>265</v>
      </c>
      <c r="F1992" s="7" t="s">
        <v>6645</v>
      </c>
      <c r="G1992" s="6" t="s">
        <v>6308</v>
      </c>
      <c r="H1992" s="6"/>
      <c r="I1992" s="6"/>
      <c r="J1992" s="6"/>
      <c r="K1992" s="6"/>
      <c r="L1992" s="6" t="s">
        <v>5222</v>
      </c>
      <c r="M1992" s="6"/>
      <c r="N1992" s="6" t="s">
        <v>5223</v>
      </c>
      <c r="O1992" s="6" t="str">
        <f>HYPERLINK("https://ceds.ed.gov/cedselementdetails.aspx?termid=5161")</f>
        <v>https://ceds.ed.gov/cedselementdetails.aspx?termid=5161</v>
      </c>
      <c r="P1992" s="6" t="str">
        <f>HYPERLINK("https://ceds.ed.gov/elementComment.aspx?elementName=School Identification System &amp;elementID=5161", "Click here to submit comment")</f>
        <v>Click here to submit comment</v>
      </c>
    </row>
    <row r="1993" spans="1:16" ht="225">
      <c r="A1993" s="6" t="s">
        <v>6869</v>
      </c>
      <c r="B1993" s="6" t="s">
        <v>6872</v>
      </c>
      <c r="C1993" s="6" t="s">
        <v>6878</v>
      </c>
      <c r="D1993" s="6" t="s">
        <v>4189</v>
      </c>
      <c r="E1993" s="6" t="s">
        <v>4190</v>
      </c>
      <c r="F1993" s="6" t="s">
        <v>13</v>
      </c>
      <c r="G1993" s="6" t="s">
        <v>6257</v>
      </c>
      <c r="H1993" s="6"/>
      <c r="I1993" s="6" t="s">
        <v>106</v>
      </c>
      <c r="J1993" s="6"/>
      <c r="K1993" s="6"/>
      <c r="L1993" s="6" t="s">
        <v>4191</v>
      </c>
      <c r="M1993" s="6"/>
      <c r="N1993" s="6" t="s">
        <v>4192</v>
      </c>
      <c r="O1993" s="6" t="str">
        <f>HYPERLINK("https://ceds.ed.gov/cedselementdetails.aspx?termid=5191")</f>
        <v>https://ceds.ed.gov/cedselementdetails.aspx?termid=5191</v>
      </c>
      <c r="P1993" s="6" t="str">
        <f>HYPERLINK("https://ceds.ed.gov/elementComment.aspx?elementName=Name of Institution &amp;elementID=5191", "Click here to submit comment")</f>
        <v>Click here to submit comment</v>
      </c>
    </row>
    <row r="1994" spans="1:16" ht="180">
      <c r="A1994" s="6" t="s">
        <v>6869</v>
      </c>
      <c r="B1994" s="6" t="s">
        <v>6872</v>
      </c>
      <c r="C1994" s="6" t="s">
        <v>6878</v>
      </c>
      <c r="D1994" s="6" t="s">
        <v>1817</v>
      </c>
      <c r="E1994" s="6" t="s">
        <v>1818</v>
      </c>
      <c r="F1994" s="6" t="s">
        <v>13</v>
      </c>
      <c r="G1994" s="6"/>
      <c r="H1994" s="6" t="s">
        <v>66</v>
      </c>
      <c r="I1994" s="6" t="s">
        <v>1819</v>
      </c>
      <c r="J1994" s="6" t="s">
        <v>1820</v>
      </c>
      <c r="K1994" s="6"/>
      <c r="L1994" s="6" t="s">
        <v>1821</v>
      </c>
      <c r="M1994" s="6"/>
      <c r="N1994" s="6" t="s">
        <v>1822</v>
      </c>
      <c r="O1994" s="6" t="str">
        <f>HYPERLINK("https://ceds.ed.gov/cedselementdetails.aspx?termid=6176")</f>
        <v>https://ceds.ed.gov/cedselementdetails.aspx?termid=6176</v>
      </c>
      <c r="P1994" s="6" t="str">
        <f>HYPERLINK("https://ceds.ed.gov/elementComment.aspx?elementName=County ANSI Code &amp;elementID=6176", "Click here to submit comment")</f>
        <v>Click here to submit comment</v>
      </c>
    </row>
    <row r="1995" spans="1:16" ht="120">
      <c r="A1995" s="6" t="s">
        <v>6869</v>
      </c>
      <c r="B1995" s="6" t="s">
        <v>6872</v>
      </c>
      <c r="C1995" s="6" t="s">
        <v>6878</v>
      </c>
      <c r="D1995" s="6" t="s">
        <v>4022</v>
      </c>
      <c r="E1995" s="6" t="s">
        <v>4023</v>
      </c>
      <c r="F1995" s="6" t="s">
        <v>13</v>
      </c>
      <c r="G1995" s="6" t="s">
        <v>6252</v>
      </c>
      <c r="H1995" s="6"/>
      <c r="I1995" s="6" t="s">
        <v>100</v>
      </c>
      <c r="J1995" s="6"/>
      <c r="K1995" s="6"/>
      <c r="L1995" s="6" t="s">
        <v>4024</v>
      </c>
      <c r="M1995" s="6" t="s">
        <v>4025</v>
      </c>
      <c r="N1995" s="6" t="s">
        <v>4026</v>
      </c>
      <c r="O1995" s="6" t="str">
        <f>HYPERLINK("https://ceds.ed.gov/cedselementdetails.aspx?termid=5153")</f>
        <v>https://ceds.ed.gov/cedselementdetails.aspx?termid=5153</v>
      </c>
      <c r="P1995" s="6" t="str">
        <f>HYPERLINK("https://ceds.ed.gov/elementComment.aspx?elementName=Local Education Agency Identifier &amp;elementID=5153", "Click here to submit comment")</f>
        <v>Click here to submit comment</v>
      </c>
    </row>
    <row r="1996" spans="1:16" ht="285">
      <c r="A1996" s="6" t="s">
        <v>6869</v>
      </c>
      <c r="B1996" s="6" t="s">
        <v>6872</v>
      </c>
      <c r="C1996" s="6" t="s">
        <v>6878</v>
      </c>
      <c r="D1996" s="6" t="s">
        <v>4017</v>
      </c>
      <c r="E1996" s="6" t="s">
        <v>4018</v>
      </c>
      <c r="F1996" s="7" t="s">
        <v>6577</v>
      </c>
      <c r="G1996" s="6" t="s">
        <v>6252</v>
      </c>
      <c r="H1996" s="6"/>
      <c r="I1996" s="6"/>
      <c r="J1996" s="6"/>
      <c r="K1996" s="6"/>
      <c r="L1996" s="6" t="s">
        <v>4019</v>
      </c>
      <c r="M1996" s="6" t="s">
        <v>4020</v>
      </c>
      <c r="N1996" s="6" t="s">
        <v>4021</v>
      </c>
      <c r="O1996" s="6" t="str">
        <f>HYPERLINK("https://ceds.ed.gov/cedselementdetails.aspx?termid=5159")</f>
        <v>https://ceds.ed.gov/cedselementdetails.aspx?termid=5159</v>
      </c>
      <c r="P1996" s="6" t="str">
        <f>HYPERLINK("https://ceds.ed.gov/elementComment.aspx?elementName=Local Education Agency Identification System &amp;elementID=5159", "Click here to submit comment")</f>
        <v>Click here to submit comment</v>
      </c>
    </row>
    <row r="1997" spans="1:16" ht="135">
      <c r="A1997" s="6" t="s">
        <v>6869</v>
      </c>
      <c r="B1997" s="6" t="s">
        <v>6872</v>
      </c>
      <c r="C1997" s="6" t="s">
        <v>6878</v>
      </c>
      <c r="D1997" s="6" t="s">
        <v>2189</v>
      </c>
      <c r="E1997" s="6" t="s">
        <v>2190</v>
      </c>
      <c r="F1997" s="6" t="s">
        <v>13</v>
      </c>
      <c r="G1997" s="6" t="s">
        <v>6135</v>
      </c>
      <c r="H1997" s="6"/>
      <c r="I1997" s="6" t="s">
        <v>2191</v>
      </c>
      <c r="J1997" s="6"/>
      <c r="K1997" s="6"/>
      <c r="L1997" s="6" t="s">
        <v>2192</v>
      </c>
      <c r="M1997" s="6"/>
      <c r="N1997" s="6" t="s">
        <v>2193</v>
      </c>
      <c r="O1997" s="6" t="str">
        <f>HYPERLINK("https://ceds.ed.gov/cedselementdetails.aspx?termid=5081")</f>
        <v>https://ceds.ed.gov/cedselementdetails.aspx?termid=5081</v>
      </c>
      <c r="P1997" s="6" t="str">
        <f>HYPERLINK("https://ceds.ed.gov/elementComment.aspx?elementName=Diploma or Credential Award Date &amp;elementID=5081", "Click here to submit comment")</f>
        <v>Click here to submit comment</v>
      </c>
    </row>
    <row r="1998" spans="1:16" ht="180">
      <c r="A1998" s="6" t="s">
        <v>6869</v>
      </c>
      <c r="B1998" s="6" t="s">
        <v>6872</v>
      </c>
      <c r="C1998" s="6" t="s">
        <v>6878</v>
      </c>
      <c r="D1998" s="6" t="s">
        <v>2860</v>
      </c>
      <c r="E1998" s="6" t="s">
        <v>2861</v>
      </c>
      <c r="F1998" s="6" t="s">
        <v>13</v>
      </c>
      <c r="G1998" s="6" t="s">
        <v>6185</v>
      </c>
      <c r="H1998" s="6"/>
      <c r="I1998" s="6" t="s">
        <v>2857</v>
      </c>
      <c r="J1998" s="6"/>
      <c r="K1998" s="6" t="s">
        <v>2862</v>
      </c>
      <c r="L1998" s="6" t="s">
        <v>2863</v>
      </c>
      <c r="M1998" s="6" t="s">
        <v>2864</v>
      </c>
      <c r="N1998" s="6" t="s">
        <v>2865</v>
      </c>
      <c r="O1998" s="6" t="str">
        <f>HYPERLINK("https://ceds.ed.gov/cedselementdetails.aspx?termid=5128")</f>
        <v>https://ceds.ed.gov/cedselementdetails.aspx?termid=5128</v>
      </c>
      <c r="P1998" s="6" t="str">
        <f>HYPERLINK("https://ceds.ed.gov/elementComment.aspx?elementName=Grade Point Average Cumulative &amp;elementID=5128", "Click here to submit comment")</f>
        <v>Click here to submit comment</v>
      </c>
    </row>
    <row r="1999" spans="1:16" ht="45">
      <c r="A1999" s="6" t="s">
        <v>6869</v>
      </c>
      <c r="B1999" s="6" t="s">
        <v>6872</v>
      </c>
      <c r="C1999" s="6" t="s">
        <v>6878</v>
      </c>
      <c r="D1999" s="6" t="s">
        <v>2877</v>
      </c>
      <c r="E1999" s="6" t="s">
        <v>2878</v>
      </c>
      <c r="F1999" s="6" t="s">
        <v>6186</v>
      </c>
      <c r="G1999" s="6" t="s">
        <v>6188</v>
      </c>
      <c r="H1999" s="6"/>
      <c r="I1999" s="6"/>
      <c r="J1999" s="6"/>
      <c r="K1999" s="6"/>
      <c r="L1999" s="6" t="s">
        <v>2879</v>
      </c>
      <c r="M1999" s="6" t="s">
        <v>2880</v>
      </c>
      <c r="N1999" s="6" t="s">
        <v>2881</v>
      </c>
      <c r="O1999" s="6" t="str">
        <f>HYPERLINK("https://ceds.ed.gov/cedselementdetails.aspx?termid=5123")</f>
        <v>https://ceds.ed.gov/cedselementdetails.aspx?termid=5123</v>
      </c>
      <c r="P1999" s="6" t="str">
        <f>HYPERLINK("https://ceds.ed.gov/elementComment.aspx?elementName=Grade Point Average Weighted Indicator &amp;elementID=5123", "Click here to submit comment")</f>
        <v>Click here to submit comment</v>
      </c>
    </row>
    <row r="2000" spans="1:16" ht="409.5">
      <c r="A2000" s="6" t="s">
        <v>6869</v>
      </c>
      <c r="B2000" s="6" t="s">
        <v>6872</v>
      </c>
      <c r="C2000" s="6" t="s">
        <v>6878</v>
      </c>
      <c r="D2000" s="6" t="s">
        <v>2949</v>
      </c>
      <c r="E2000" s="6" t="s">
        <v>2950</v>
      </c>
      <c r="F2000" s="7" t="s">
        <v>6528</v>
      </c>
      <c r="G2000" s="6" t="s">
        <v>6191</v>
      </c>
      <c r="H2000" s="6"/>
      <c r="I2000" s="6"/>
      <c r="J2000" s="6"/>
      <c r="K2000" s="6"/>
      <c r="L2000" s="6" t="s">
        <v>2951</v>
      </c>
      <c r="M2000" s="6"/>
      <c r="N2000" s="6" t="s">
        <v>2952</v>
      </c>
      <c r="O2000" s="6" t="str">
        <f>HYPERLINK("https://ceds.ed.gov/cedselementdetails.aspx?termid=5138")</f>
        <v>https://ceds.ed.gov/cedselementdetails.aspx?termid=5138</v>
      </c>
      <c r="P2000" s="6" t="str">
        <f>HYPERLINK("https://ceds.ed.gov/elementComment.aspx?elementName=High School Diploma Type &amp;elementID=5138", "Click here to submit comment")</f>
        <v>Click here to submit comment</v>
      </c>
    </row>
    <row r="2001" spans="1:16" ht="60">
      <c r="A2001" s="6" t="s">
        <v>6869</v>
      </c>
      <c r="B2001" s="6" t="s">
        <v>6872</v>
      </c>
      <c r="C2001" s="6" t="s">
        <v>6878</v>
      </c>
      <c r="D2001" s="6" t="s">
        <v>1739</v>
      </c>
      <c r="E2001" s="6" t="s">
        <v>1740</v>
      </c>
      <c r="F2001" s="6" t="s">
        <v>13</v>
      </c>
      <c r="G2001" s="6" t="s">
        <v>6093</v>
      </c>
      <c r="H2001" s="6"/>
      <c r="I2001" s="6" t="s">
        <v>1736</v>
      </c>
      <c r="J2001" s="6"/>
      <c r="K2001" s="6"/>
      <c r="L2001" s="6" t="s">
        <v>1741</v>
      </c>
      <c r="M2001" s="6"/>
      <c r="N2001" s="6" t="s">
        <v>1742</v>
      </c>
      <c r="O2001" s="6" t="str">
        <f>HYPERLINK("https://ceds.ed.gov/cedselementdetails.aspx?termid=5046")</f>
        <v>https://ceds.ed.gov/cedselementdetails.aspx?termid=5046</v>
      </c>
      <c r="P2001" s="6" t="str">
        <f>HYPERLINK("https://ceds.ed.gov/elementComment.aspx?elementName=Cohort Year &amp;elementID=5046", "Click here to submit comment")</f>
        <v>Click here to submit comment</v>
      </c>
    </row>
    <row r="2002" spans="1:16" ht="90">
      <c r="A2002" s="6" t="s">
        <v>6869</v>
      </c>
      <c r="B2002" s="6" t="s">
        <v>6872</v>
      </c>
      <c r="C2002" s="6" t="s">
        <v>6878</v>
      </c>
      <c r="D2002" s="6" t="s">
        <v>5361</v>
      </c>
      <c r="E2002" s="6" t="s">
        <v>5362</v>
      </c>
      <c r="F2002" s="6" t="s">
        <v>13</v>
      </c>
      <c r="G2002" s="6"/>
      <c r="H2002" s="6" t="s">
        <v>54</v>
      </c>
      <c r="I2002" s="6" t="s">
        <v>100</v>
      </c>
      <c r="J2002" s="6"/>
      <c r="K2002" s="6" t="s">
        <v>5363</v>
      </c>
      <c r="L2002" s="6" t="s">
        <v>5364</v>
      </c>
      <c r="M2002" s="6"/>
      <c r="N2002" s="6" t="s">
        <v>5365</v>
      </c>
      <c r="O2002" s="6" t="str">
        <f>HYPERLINK("https://ceds.ed.gov/cedselementdetails.aspx?termid=6459")</f>
        <v>https://ceds.ed.gov/cedselementdetails.aspx?termid=6459</v>
      </c>
      <c r="P2002" s="6" t="str">
        <f>HYPERLINK("https://ceds.ed.gov/elementComment.aspx?elementName=Short Name of Institution &amp;elementID=6459", "Click here to submit comment")</f>
        <v>Click here to submit comment</v>
      </c>
    </row>
    <row r="2003" spans="1:16" ht="345">
      <c r="A2003" s="6" t="s">
        <v>6869</v>
      </c>
      <c r="B2003" s="6" t="s">
        <v>6872</v>
      </c>
      <c r="C2003" s="6" t="s">
        <v>6817</v>
      </c>
      <c r="D2003" s="6" t="s">
        <v>5928</v>
      </c>
      <c r="E2003" s="6" t="s">
        <v>5929</v>
      </c>
      <c r="F2003" s="7" t="s">
        <v>6695</v>
      </c>
      <c r="G2003" s="6"/>
      <c r="H2003" s="6" t="s">
        <v>54</v>
      </c>
      <c r="I2003" s="6"/>
      <c r="J2003" s="6"/>
      <c r="K2003" s="6"/>
      <c r="L2003" s="6" t="s">
        <v>5930</v>
      </c>
      <c r="M2003" s="6"/>
      <c r="N2003" s="6" t="s">
        <v>5931</v>
      </c>
      <c r="O2003" s="6" t="str">
        <f>HYPERLINK("https://ceds.ed.gov/cedselementdetails.aspx?termid=6471")</f>
        <v>https://ceds.ed.gov/cedselementdetails.aspx?termid=6471</v>
      </c>
      <c r="P2003" s="6" t="str">
        <f>HYPERLINK("https://ceds.ed.gov/elementComment.aspx?elementName=Work-based Learning Opportunity Type &amp;elementID=6471", "Click here to submit comment")</f>
        <v>Click here to submit comment</v>
      </c>
    </row>
    <row r="2004" spans="1:16" ht="409.5">
      <c r="A2004" s="6" t="s">
        <v>6869</v>
      </c>
      <c r="B2004" s="6" t="s">
        <v>6879</v>
      </c>
      <c r="C2004" s="6"/>
      <c r="D2004" s="6" t="s">
        <v>296</v>
      </c>
      <c r="E2004" s="6" t="s">
        <v>297</v>
      </c>
      <c r="F2004" s="7" t="s">
        <v>6369</v>
      </c>
      <c r="G2004" s="6"/>
      <c r="H2004" s="6" t="s">
        <v>54</v>
      </c>
      <c r="I2004" s="6" t="s">
        <v>106</v>
      </c>
      <c r="J2004" s="6"/>
      <c r="K2004" s="6"/>
      <c r="L2004" s="6" t="s">
        <v>298</v>
      </c>
      <c r="M2004" s="6" t="s">
        <v>299</v>
      </c>
      <c r="N2004" s="6" t="s">
        <v>300</v>
      </c>
      <c r="O2004" s="6" t="str">
        <f>HYPERLINK("https://ceds.ed.gov/cedselementdetails.aspx?termid=6244")</f>
        <v>https://ceds.ed.gov/cedselementdetails.aspx?termid=6244</v>
      </c>
      <c r="P2004" s="6" t="str">
        <f>HYPERLINK("https://ceds.ed.gov/elementComment.aspx?elementName=Advanced Placement Course Code &amp;elementID=6244", "Click here to submit comment")</f>
        <v>Click here to submit comment</v>
      </c>
    </row>
    <row r="2005" spans="1:16" ht="150">
      <c r="A2005" s="6" t="s">
        <v>6869</v>
      </c>
      <c r="B2005" s="6" t="s">
        <v>6879</v>
      </c>
      <c r="C2005" s="6"/>
      <c r="D2005" s="6" t="s">
        <v>1829</v>
      </c>
      <c r="E2005" s="6" t="s">
        <v>1830</v>
      </c>
      <c r="F2005" s="6" t="s">
        <v>13</v>
      </c>
      <c r="G2005" s="6"/>
      <c r="H2005" s="6" t="s">
        <v>54</v>
      </c>
      <c r="I2005" s="6" t="s">
        <v>1832</v>
      </c>
      <c r="J2005" s="6"/>
      <c r="K2005" s="6" t="s">
        <v>1833</v>
      </c>
      <c r="L2005" s="6" t="s">
        <v>1834</v>
      </c>
      <c r="M2005" s="6"/>
      <c r="N2005" s="6" t="s">
        <v>1835</v>
      </c>
      <c r="O2005" s="6" t="str">
        <f>HYPERLINK("https://ceds.ed.gov/cedselementdetails.aspx?termid=6264")</f>
        <v>https://ceds.ed.gov/cedselementdetails.aspx?termid=6264</v>
      </c>
      <c r="P2005" s="6" t="str">
        <f>HYPERLINK("https://ceds.ed.gov/elementComment.aspx?elementName=Course Academic Grade Scale Code &amp;elementID=6264", "Click here to submit comment")</f>
        <v>Click here to submit comment</v>
      </c>
    </row>
    <row r="2006" spans="1:16" ht="60">
      <c r="A2006" s="6" t="s">
        <v>6869</v>
      </c>
      <c r="B2006" s="6" t="s">
        <v>6879</v>
      </c>
      <c r="C2006" s="6"/>
      <c r="D2006" s="6" t="s">
        <v>1863</v>
      </c>
      <c r="E2006" s="6" t="s">
        <v>1864</v>
      </c>
      <c r="F2006" s="5" t="s">
        <v>1702</v>
      </c>
      <c r="G2006" s="6"/>
      <c r="H2006" s="6" t="s">
        <v>54</v>
      </c>
      <c r="I2006" s="6"/>
      <c r="J2006" s="6"/>
      <c r="K2006" s="6"/>
      <c r="L2006" s="6" t="s">
        <v>1865</v>
      </c>
      <c r="M2006" s="6" t="s">
        <v>1866</v>
      </c>
      <c r="N2006" s="6" t="s">
        <v>1867</v>
      </c>
      <c r="O2006" s="6" t="str">
        <f>HYPERLINK("https://ceds.ed.gov/cedselementdetails.aspx?termid=6474")</f>
        <v>https://ceds.ed.gov/cedselementdetails.aspx?termid=6474</v>
      </c>
      <c r="P2006" s="6" t="str">
        <f>HYPERLINK("https://ceds.ed.gov/elementComment.aspx?elementName=Course Classification of Instructional Programs Code &amp;elementID=6474", "Click here to submit comment")</f>
        <v>Click here to submit comment</v>
      </c>
    </row>
    <row r="2007" spans="1:16" ht="409.5">
      <c r="A2007" s="6" t="s">
        <v>6869</v>
      </c>
      <c r="B2007" s="6" t="s">
        <v>6879</v>
      </c>
      <c r="C2007" s="6"/>
      <c r="D2007" s="6" t="s">
        <v>1872</v>
      </c>
      <c r="E2007" s="6" t="s">
        <v>1873</v>
      </c>
      <c r="F2007" s="7" t="s">
        <v>6436</v>
      </c>
      <c r="G2007" s="6"/>
      <c r="H2007" s="6" t="s">
        <v>54</v>
      </c>
      <c r="I2007" s="6"/>
      <c r="J2007" s="6"/>
      <c r="K2007" s="6"/>
      <c r="L2007" s="6" t="s">
        <v>1874</v>
      </c>
      <c r="M2007" s="6"/>
      <c r="N2007" s="6" t="s">
        <v>1875</v>
      </c>
      <c r="O2007" s="6" t="str">
        <f>HYPERLINK("https://ceds.ed.gov/cedselementdetails.aspx?termid=6269")</f>
        <v>https://ceds.ed.gov/cedselementdetails.aspx?termid=6269</v>
      </c>
      <c r="P2007" s="6" t="str">
        <f>HYPERLINK("https://ceds.ed.gov/elementComment.aspx?elementName=Course Credit Basis Type &amp;elementID=6269", "Click here to submit comment")</f>
        <v>Click here to submit comment</v>
      </c>
    </row>
    <row r="2008" spans="1:16" ht="375">
      <c r="A2008" s="6" t="s">
        <v>6869</v>
      </c>
      <c r="B2008" s="6" t="s">
        <v>6879</v>
      </c>
      <c r="C2008" s="6"/>
      <c r="D2008" s="6" t="s">
        <v>1876</v>
      </c>
      <c r="E2008" s="6" t="s">
        <v>1877</v>
      </c>
      <c r="F2008" s="7" t="s">
        <v>6437</v>
      </c>
      <c r="G2008" s="6"/>
      <c r="H2008" s="6" t="s">
        <v>54</v>
      </c>
      <c r="I2008" s="6"/>
      <c r="J2008" s="6"/>
      <c r="K2008" s="6"/>
      <c r="L2008" s="6" t="s">
        <v>1878</v>
      </c>
      <c r="M2008" s="6"/>
      <c r="N2008" s="6" t="s">
        <v>1879</v>
      </c>
      <c r="O2008" s="6" t="str">
        <f>HYPERLINK("https://ceds.ed.gov/cedselementdetails.aspx?termid=6270")</f>
        <v>https://ceds.ed.gov/cedselementdetails.aspx?termid=6270</v>
      </c>
      <c r="P2008" s="6" t="str">
        <f>HYPERLINK("https://ceds.ed.gov/elementComment.aspx?elementName=Course Credit Level Type &amp;elementID=6270", "Click here to submit comment")</f>
        <v>Click here to submit comment</v>
      </c>
    </row>
    <row r="2009" spans="1:16" ht="30">
      <c r="A2009" s="6" t="s">
        <v>6869</v>
      </c>
      <c r="B2009" s="6" t="s">
        <v>6879</v>
      </c>
      <c r="C2009" s="6"/>
      <c r="D2009" s="6" t="s">
        <v>1893</v>
      </c>
      <c r="E2009" s="6" t="s">
        <v>1894</v>
      </c>
      <c r="F2009" s="6" t="s">
        <v>13</v>
      </c>
      <c r="G2009" s="6"/>
      <c r="H2009" s="6" t="s">
        <v>54</v>
      </c>
      <c r="I2009" s="6" t="s">
        <v>73</v>
      </c>
      <c r="J2009" s="6"/>
      <c r="K2009" s="6"/>
      <c r="L2009" s="6" t="s">
        <v>1895</v>
      </c>
      <c r="M2009" s="6"/>
      <c r="N2009" s="6" t="s">
        <v>1896</v>
      </c>
      <c r="O2009" s="6" t="str">
        <f>HYPERLINK("https://ceds.ed.gov/cedselementdetails.aspx?termid=6271")</f>
        <v>https://ceds.ed.gov/cedselementdetails.aspx?termid=6271</v>
      </c>
      <c r="P2009" s="6" t="str">
        <f>HYPERLINK("https://ceds.ed.gov/elementComment.aspx?elementName=Course Drop Date &amp;elementID=6271", "Click here to submit comment")</f>
        <v>Click here to submit comment</v>
      </c>
    </row>
    <row r="2010" spans="1:16" ht="120">
      <c r="A2010" s="6" t="s">
        <v>6869</v>
      </c>
      <c r="B2010" s="6" t="s">
        <v>6879</v>
      </c>
      <c r="C2010" s="6"/>
      <c r="D2010" s="6" t="s">
        <v>1906</v>
      </c>
      <c r="E2010" s="6" t="s">
        <v>1907</v>
      </c>
      <c r="F2010" s="7" t="s">
        <v>6439</v>
      </c>
      <c r="G2010" s="6" t="s">
        <v>6078</v>
      </c>
      <c r="H2010" s="6" t="s">
        <v>66</v>
      </c>
      <c r="I2010" s="6"/>
      <c r="J2010" s="6" t="s">
        <v>1820</v>
      </c>
      <c r="K2010" s="6"/>
      <c r="L2010" s="6" t="s">
        <v>1908</v>
      </c>
      <c r="M2010" s="6" t="s">
        <v>1909</v>
      </c>
      <c r="N2010" s="6" t="s">
        <v>1910</v>
      </c>
      <c r="O2010" s="6" t="str">
        <f>HYPERLINK("https://ceds.ed.gov/cedselementdetails.aspx?termid=5060")</f>
        <v>https://ceds.ed.gov/cedselementdetails.aspx?termid=5060</v>
      </c>
      <c r="P2010" s="6" t="str">
        <f>HYPERLINK("https://ceds.ed.gov/elementComment.aspx?elementName=Course Grade Point Average Applicability &amp;elementID=5060", "Click here to submit comment")</f>
        <v>Click here to submit comment</v>
      </c>
    </row>
    <row r="2011" spans="1:16" ht="60">
      <c r="A2011" s="6" t="s">
        <v>6869</v>
      </c>
      <c r="B2011" s="6" t="s">
        <v>6879</v>
      </c>
      <c r="C2011" s="6"/>
      <c r="D2011" s="6" t="s">
        <v>1911</v>
      </c>
      <c r="E2011" s="6" t="s">
        <v>1912</v>
      </c>
      <c r="F2011" s="7" t="s">
        <v>6440</v>
      </c>
      <c r="G2011" s="6"/>
      <c r="H2011" s="6" t="s">
        <v>54</v>
      </c>
      <c r="I2011" s="6"/>
      <c r="J2011" s="6"/>
      <c r="K2011" s="6"/>
      <c r="L2011" s="6" t="s">
        <v>1913</v>
      </c>
      <c r="M2011" s="6"/>
      <c r="N2011" s="6" t="s">
        <v>1914</v>
      </c>
      <c r="O2011" s="6" t="str">
        <f>HYPERLINK("https://ceds.ed.gov/cedselementdetails.aspx?termid=6273")</f>
        <v>https://ceds.ed.gov/cedselementdetails.aspx?termid=6273</v>
      </c>
      <c r="P2011" s="6" t="str">
        <f>HYPERLINK("https://ceds.ed.gov/elementComment.aspx?elementName=Course Honors Type &amp;elementID=6273", "Click here to submit comment")</f>
        <v>Click here to submit comment</v>
      </c>
    </row>
    <row r="2012" spans="1:16" ht="409.5">
      <c r="A2012" s="6" t="s">
        <v>6869</v>
      </c>
      <c r="B2012" s="6" t="s">
        <v>6879</v>
      </c>
      <c r="C2012" s="6"/>
      <c r="D2012" s="6" t="s">
        <v>1921</v>
      </c>
      <c r="E2012" s="6" t="s">
        <v>1922</v>
      </c>
      <c r="F2012" s="6" t="s">
        <v>6117</v>
      </c>
      <c r="G2012" s="6"/>
      <c r="H2012" s="6" t="s">
        <v>54</v>
      </c>
      <c r="I2012" s="6"/>
      <c r="J2012" s="6"/>
      <c r="K2012" s="6"/>
      <c r="L2012" s="6" t="s">
        <v>1923</v>
      </c>
      <c r="M2012" s="6"/>
      <c r="N2012" s="6" t="s">
        <v>1924</v>
      </c>
      <c r="O2012" s="6" t="str">
        <f>HYPERLINK("https://ceds.ed.gov/cedselementdetails.aspx?termid=6274")</f>
        <v>https://ceds.ed.gov/cedselementdetails.aspx?termid=6274</v>
      </c>
      <c r="P2012" s="6" t="str">
        <f>HYPERLINK("https://ceds.ed.gov/elementComment.aspx?elementName=Course Instruction Method &amp;elementID=6274", "Click here to submit comment")</f>
        <v>Click here to submit comment</v>
      </c>
    </row>
    <row r="2013" spans="1:16" ht="30">
      <c r="A2013" s="6" t="s">
        <v>6869</v>
      </c>
      <c r="B2013" s="6" t="s">
        <v>6879</v>
      </c>
      <c r="C2013" s="6"/>
      <c r="D2013" s="6" t="s">
        <v>1925</v>
      </c>
      <c r="E2013" s="6" t="s">
        <v>1926</v>
      </c>
      <c r="F2013" s="6" t="s">
        <v>13</v>
      </c>
      <c r="G2013" s="6"/>
      <c r="H2013" s="6" t="s">
        <v>54</v>
      </c>
      <c r="I2013" s="6" t="s">
        <v>106</v>
      </c>
      <c r="J2013" s="6"/>
      <c r="K2013" s="6"/>
      <c r="L2013" s="6" t="s">
        <v>1927</v>
      </c>
      <c r="M2013" s="6"/>
      <c r="N2013" s="6" t="s">
        <v>1928</v>
      </c>
      <c r="O2013" s="6" t="str">
        <f>HYPERLINK("https://ceds.ed.gov/cedselementdetails.aspx?termid=6275")</f>
        <v>https://ceds.ed.gov/cedselementdetails.aspx?termid=6275</v>
      </c>
      <c r="P2013" s="6" t="str">
        <f>HYPERLINK("https://ceds.ed.gov/elementComment.aspx?elementName=Course Instruction Site Name &amp;elementID=6275", "Click here to submit comment")</f>
        <v>Click here to submit comment</v>
      </c>
    </row>
    <row r="2014" spans="1:16" ht="270">
      <c r="A2014" s="6" t="s">
        <v>6869</v>
      </c>
      <c r="B2014" s="6" t="s">
        <v>6879</v>
      </c>
      <c r="C2014" s="6"/>
      <c r="D2014" s="6" t="s">
        <v>1929</v>
      </c>
      <c r="E2014" s="6" t="s">
        <v>1930</v>
      </c>
      <c r="F2014" s="7" t="s">
        <v>6441</v>
      </c>
      <c r="G2014" s="6"/>
      <c r="H2014" s="6" t="s">
        <v>54</v>
      </c>
      <c r="I2014" s="6"/>
      <c r="J2014" s="6"/>
      <c r="K2014" s="6"/>
      <c r="L2014" s="6" t="s">
        <v>1931</v>
      </c>
      <c r="M2014" s="6"/>
      <c r="N2014" s="6" t="s">
        <v>1932</v>
      </c>
      <c r="O2014" s="6" t="str">
        <f>HYPERLINK("https://ceds.ed.gov/cedselementdetails.aspx?termid=6276")</f>
        <v>https://ceds.ed.gov/cedselementdetails.aspx?termid=6276</v>
      </c>
      <c r="P2014" s="6" t="str">
        <f>HYPERLINK("https://ceds.ed.gov/elementComment.aspx?elementName=Course Instruction Site Type &amp;elementID=6276", "Click here to submit comment")</f>
        <v>Click here to submit comment</v>
      </c>
    </row>
    <row r="2015" spans="1:16" ht="409.5">
      <c r="A2015" s="6" t="s">
        <v>6869</v>
      </c>
      <c r="B2015" s="6" t="s">
        <v>6879</v>
      </c>
      <c r="C2015" s="6"/>
      <c r="D2015" s="6" t="s">
        <v>1942</v>
      </c>
      <c r="E2015" s="6" t="s">
        <v>1943</v>
      </c>
      <c r="F2015" s="7" t="s">
        <v>6444</v>
      </c>
      <c r="G2015" s="6"/>
      <c r="H2015" s="6" t="s">
        <v>54</v>
      </c>
      <c r="I2015" s="6"/>
      <c r="J2015" s="6"/>
      <c r="K2015" s="6"/>
      <c r="L2015" s="6" t="s">
        <v>1944</v>
      </c>
      <c r="M2015" s="6"/>
      <c r="N2015" s="6" t="s">
        <v>1945</v>
      </c>
      <c r="O2015" s="6" t="str">
        <f>HYPERLINK("https://ceds.ed.gov/cedselementdetails.aspx?termid=6278")</f>
        <v>https://ceds.ed.gov/cedselementdetails.aspx?termid=6278</v>
      </c>
      <c r="P2015" s="6" t="str">
        <f>HYPERLINK("https://ceds.ed.gov/elementComment.aspx?elementName=Course Level Type &amp;elementID=6278", "Click here to submit comment")</f>
        <v>Click here to submit comment</v>
      </c>
    </row>
    <row r="2016" spans="1:16" ht="90">
      <c r="A2016" s="6" t="s">
        <v>6869</v>
      </c>
      <c r="B2016" s="6" t="s">
        <v>6879</v>
      </c>
      <c r="C2016" s="6"/>
      <c r="D2016" s="6" t="s">
        <v>1946</v>
      </c>
      <c r="E2016" s="6" t="s">
        <v>1947</v>
      </c>
      <c r="F2016" s="6" t="s">
        <v>13</v>
      </c>
      <c r="G2016" s="6"/>
      <c r="H2016" s="6" t="s">
        <v>54</v>
      </c>
      <c r="I2016" s="6" t="s">
        <v>319</v>
      </c>
      <c r="J2016" s="6"/>
      <c r="K2016" s="6"/>
      <c r="L2016" s="6" t="s">
        <v>1948</v>
      </c>
      <c r="M2016" s="6"/>
      <c r="N2016" s="6" t="s">
        <v>1949</v>
      </c>
      <c r="O2016" s="6" t="str">
        <f>HYPERLINK("https://ceds.ed.gov/cedselementdetails.aspx?termid=6279")</f>
        <v>https://ceds.ed.gov/cedselementdetails.aspx?termid=6279</v>
      </c>
      <c r="P2016" s="6" t="str">
        <f>HYPERLINK("https://ceds.ed.gov/elementComment.aspx?elementName=Course Narrative Explanation Grade &amp;elementID=6279", "Click here to submit comment")</f>
        <v>Click here to submit comment</v>
      </c>
    </row>
    <row r="2017" spans="1:16" ht="90">
      <c r="A2017" s="6" t="s">
        <v>6869</v>
      </c>
      <c r="B2017" s="6" t="s">
        <v>6879</v>
      </c>
      <c r="C2017" s="6"/>
      <c r="D2017" s="6" t="s">
        <v>1950</v>
      </c>
      <c r="E2017" s="6" t="s">
        <v>1951</v>
      </c>
      <c r="F2017" s="6" t="s">
        <v>13</v>
      </c>
      <c r="G2017" s="6"/>
      <c r="H2017" s="6" t="s">
        <v>54</v>
      </c>
      <c r="I2017" s="6" t="s">
        <v>100</v>
      </c>
      <c r="J2017" s="6"/>
      <c r="K2017" s="6"/>
      <c r="L2017" s="6" t="s">
        <v>1952</v>
      </c>
      <c r="M2017" s="6"/>
      <c r="N2017" s="6" t="s">
        <v>1953</v>
      </c>
      <c r="O2017" s="6" t="str">
        <f>HYPERLINK("https://ceds.ed.gov/cedselementdetails.aspx?termid=6280")</f>
        <v>https://ceds.ed.gov/cedselementdetails.aspx?termid=6280</v>
      </c>
      <c r="P2017" s="6" t="str">
        <f>HYPERLINK("https://ceds.ed.gov/elementComment.aspx?elementName=Course Number &amp;elementID=6280", "Click here to submit comment")</f>
        <v>Click here to submit comment</v>
      </c>
    </row>
    <row r="2018" spans="1:16" ht="285">
      <c r="A2018" s="6" t="s">
        <v>6869</v>
      </c>
      <c r="B2018" s="6" t="s">
        <v>6879</v>
      </c>
      <c r="C2018" s="6"/>
      <c r="D2018" s="6" t="s">
        <v>1962</v>
      </c>
      <c r="E2018" s="6" t="s">
        <v>1963</v>
      </c>
      <c r="F2018" s="7" t="s">
        <v>6445</v>
      </c>
      <c r="G2018" s="6" t="s">
        <v>5968</v>
      </c>
      <c r="H2018" s="6" t="s">
        <v>3</v>
      </c>
      <c r="I2018" s="6"/>
      <c r="J2018" s="6"/>
      <c r="K2018" s="6"/>
      <c r="L2018" s="6" t="s">
        <v>1964</v>
      </c>
      <c r="M2018" s="6"/>
      <c r="N2018" s="6" t="s">
        <v>1965</v>
      </c>
      <c r="O2018" s="6" t="str">
        <f>HYPERLINK("https://ceds.ed.gov/cedselementdetails.aspx?termid=5065")</f>
        <v>https://ceds.ed.gov/cedselementdetails.aspx?termid=5065</v>
      </c>
      <c r="P2018" s="6" t="str">
        <f>HYPERLINK("https://ceds.ed.gov/elementComment.aspx?elementName=Course Repeat Code &amp;elementID=5065", "Click here to submit comment")</f>
        <v>Click here to submit comment</v>
      </c>
    </row>
    <row r="2019" spans="1:16" ht="75">
      <c r="A2019" s="6" t="s">
        <v>6869</v>
      </c>
      <c r="B2019" s="6" t="s">
        <v>6879</v>
      </c>
      <c r="C2019" s="6"/>
      <c r="D2019" s="6" t="s">
        <v>2014</v>
      </c>
      <c r="E2019" s="6" t="s">
        <v>2015</v>
      </c>
      <c r="F2019" s="6" t="s">
        <v>13</v>
      </c>
      <c r="G2019" s="6"/>
      <c r="H2019" s="6" t="s">
        <v>54</v>
      </c>
      <c r="I2019" s="6" t="s">
        <v>100</v>
      </c>
      <c r="J2019" s="6"/>
      <c r="K2019" s="6"/>
      <c r="L2019" s="6" t="s">
        <v>2016</v>
      </c>
      <c r="M2019" s="6"/>
      <c r="N2019" s="6" t="s">
        <v>2017</v>
      </c>
      <c r="O2019" s="6" t="str">
        <f>HYPERLINK("https://ceds.ed.gov/cedselementdetails.aspx?termid=6281")</f>
        <v>https://ceds.ed.gov/cedselementdetails.aspx?termid=6281</v>
      </c>
      <c r="P2019" s="6" t="str">
        <f>HYPERLINK("https://ceds.ed.gov/elementComment.aspx?elementName=Course Section Number &amp;elementID=6281", "Click here to submit comment")</f>
        <v>Click here to submit comment</v>
      </c>
    </row>
    <row r="2020" spans="1:16" ht="45">
      <c r="A2020" s="6" t="s">
        <v>6869</v>
      </c>
      <c r="B2020" s="6" t="s">
        <v>6879</v>
      </c>
      <c r="C2020" s="6"/>
      <c r="D2020" s="6" t="s">
        <v>4206</v>
      </c>
      <c r="E2020" s="6" t="s">
        <v>4207</v>
      </c>
      <c r="F2020" s="6" t="s">
        <v>4208</v>
      </c>
      <c r="G2020" s="6"/>
      <c r="H2020" s="6" t="s">
        <v>54</v>
      </c>
      <c r="I2020" s="6"/>
      <c r="J2020" s="6"/>
      <c r="K2020" s="6"/>
      <c r="L2020" s="6" t="s">
        <v>4209</v>
      </c>
      <c r="M2020" s="6"/>
      <c r="N2020" s="6" t="s">
        <v>4210</v>
      </c>
      <c r="O2020" s="6" t="str">
        <f>HYPERLINK("https://ceds.ed.gov/cedselementdetails.aspx?termid=6383")</f>
        <v>https://ceds.ed.gov/cedselementdetails.aspx?termid=6383</v>
      </c>
      <c r="P2020" s="6" t="str">
        <f>HYPERLINK("https://ceds.ed.gov/elementComment.aspx?elementName=NCES College Course Map Code &amp;elementID=6383", "Click here to submit comment")</f>
        <v>Click here to submit comment</v>
      </c>
    </row>
    <row r="2021" spans="1:16" ht="75">
      <c r="A2021" s="6" t="s">
        <v>6869</v>
      </c>
      <c r="B2021" s="6" t="s">
        <v>6879</v>
      </c>
      <c r="C2021" s="6"/>
      <c r="D2021" s="6" t="s">
        <v>4371</v>
      </c>
      <c r="E2021" s="6" t="s">
        <v>4372</v>
      </c>
      <c r="F2021" s="6" t="s">
        <v>13</v>
      </c>
      <c r="G2021" s="6"/>
      <c r="H2021" s="6" t="s">
        <v>54</v>
      </c>
      <c r="I2021" s="6" t="s">
        <v>100</v>
      </c>
      <c r="J2021" s="6"/>
      <c r="K2021" s="6"/>
      <c r="L2021" s="6" t="s">
        <v>4373</v>
      </c>
      <c r="M2021" s="6"/>
      <c r="N2021" s="6" t="s">
        <v>4374</v>
      </c>
      <c r="O2021" s="6" t="str">
        <f>HYPERLINK("https://ceds.ed.gov/cedselementdetails.aspx?termid=6389")</f>
        <v>https://ceds.ed.gov/cedselementdetails.aspx?termid=6389</v>
      </c>
      <c r="P2021" s="6" t="str">
        <f>HYPERLINK("https://ceds.ed.gov/elementComment.aspx?elementName=Original Course Identifier &amp;elementID=6389", "Click here to submit comment")</f>
        <v>Click here to submit comment</v>
      </c>
    </row>
    <row r="2022" spans="1:16" ht="45">
      <c r="A2022" s="6" t="s">
        <v>6869</v>
      </c>
      <c r="B2022" s="6" t="s">
        <v>6879</v>
      </c>
      <c r="C2022" s="6"/>
      <c r="D2022" s="6" t="s">
        <v>4407</v>
      </c>
      <c r="E2022" s="6" t="s">
        <v>4408</v>
      </c>
      <c r="F2022" s="6" t="s">
        <v>13</v>
      </c>
      <c r="G2022" s="6"/>
      <c r="H2022" s="6" t="s">
        <v>54</v>
      </c>
      <c r="I2022" s="6" t="s">
        <v>100</v>
      </c>
      <c r="J2022" s="6"/>
      <c r="K2022" s="6"/>
      <c r="L2022" s="6" t="s">
        <v>4409</v>
      </c>
      <c r="M2022" s="6"/>
      <c r="N2022" s="6" t="s">
        <v>4410</v>
      </c>
      <c r="O2022" s="6" t="str">
        <f>HYPERLINK("https://ceds.ed.gov/cedselementdetails.aspx?termid=6391")</f>
        <v>https://ceds.ed.gov/cedselementdetails.aspx?termid=6391</v>
      </c>
      <c r="P2022" s="6" t="str">
        <f>HYPERLINK("https://ceds.ed.gov/elementComment.aspx?elementName=Override School Course Number &amp;elementID=6391", "Click here to submit comment")</f>
        <v>Click here to submit comment</v>
      </c>
    </row>
    <row r="2023" spans="1:16" ht="60">
      <c r="A2023" s="6" t="s">
        <v>6869</v>
      </c>
      <c r="B2023" s="6" t="s">
        <v>6879</v>
      </c>
      <c r="C2023" s="6" t="s">
        <v>6825</v>
      </c>
      <c r="D2023" s="6" t="s">
        <v>2029</v>
      </c>
      <c r="E2023" s="6" t="s">
        <v>2030</v>
      </c>
      <c r="F2023" s="6" t="s">
        <v>13</v>
      </c>
      <c r="G2023" s="6" t="s">
        <v>24</v>
      </c>
      <c r="H2023" s="6"/>
      <c r="I2023" s="6" t="s">
        <v>2031</v>
      </c>
      <c r="J2023" s="6"/>
      <c r="K2023" s="6"/>
      <c r="L2023" s="6" t="s">
        <v>2032</v>
      </c>
      <c r="M2023" s="6"/>
      <c r="N2023" s="6" t="s">
        <v>2033</v>
      </c>
      <c r="O2023" s="6" t="str">
        <f>HYPERLINK("https://ceds.ed.gov/cedselementdetails.aspx?termid=5066")</f>
        <v>https://ceds.ed.gov/cedselementdetails.aspx?termid=5066</v>
      </c>
      <c r="P2023" s="6" t="str">
        <f>HYPERLINK("https://ceds.ed.gov/elementComment.aspx?elementName=Course Subject Abbreviation &amp;elementID=5066", "Click here to submit comment")</f>
        <v>Click here to submit comment</v>
      </c>
    </row>
    <row r="2024" spans="1:16" ht="30">
      <c r="A2024" s="6" t="s">
        <v>6869</v>
      </c>
      <c r="B2024" s="6" t="s">
        <v>6879</v>
      </c>
      <c r="C2024" s="6" t="s">
        <v>6825</v>
      </c>
      <c r="D2024" s="6" t="s">
        <v>4520</v>
      </c>
      <c r="E2024" s="6" t="s">
        <v>4521</v>
      </c>
      <c r="F2024" s="6" t="s">
        <v>13</v>
      </c>
      <c r="G2024" s="6" t="s">
        <v>24</v>
      </c>
      <c r="H2024" s="6"/>
      <c r="I2024" s="6" t="s">
        <v>106</v>
      </c>
      <c r="J2024" s="6"/>
      <c r="K2024" s="6"/>
      <c r="L2024" s="6" t="s">
        <v>4522</v>
      </c>
      <c r="M2024" s="6"/>
      <c r="N2024" s="6" t="s">
        <v>4523</v>
      </c>
      <c r="O2024" s="6" t="str">
        <f>HYPERLINK("https://ceds.ed.gov/cedselementdetails.aspx?termid=5068")</f>
        <v>https://ceds.ed.gov/cedselementdetails.aspx?termid=5068</v>
      </c>
      <c r="P2024" s="6" t="str">
        <f>HYPERLINK("https://ceds.ed.gov/elementComment.aspx?elementName=Postsecondary Course Title &amp;elementID=5068", "Click here to submit comment")</f>
        <v>Click here to submit comment</v>
      </c>
    </row>
    <row r="2025" spans="1:16" ht="195">
      <c r="A2025" s="6" t="s">
        <v>6869</v>
      </c>
      <c r="B2025" s="6" t="s">
        <v>6879</v>
      </c>
      <c r="C2025" s="6" t="s">
        <v>6825</v>
      </c>
      <c r="D2025" s="6" t="s">
        <v>1880</v>
      </c>
      <c r="E2025" s="6" t="s">
        <v>1881</v>
      </c>
      <c r="F2025" s="7" t="s">
        <v>6438</v>
      </c>
      <c r="G2025" s="6" t="s">
        <v>24</v>
      </c>
      <c r="H2025" s="6"/>
      <c r="I2025" s="6"/>
      <c r="J2025" s="6"/>
      <c r="K2025" s="6"/>
      <c r="L2025" s="6" t="s">
        <v>1882</v>
      </c>
      <c r="M2025" s="6"/>
      <c r="N2025" s="6" t="s">
        <v>1883</v>
      </c>
      <c r="O2025" s="6" t="str">
        <f>HYPERLINK("https://ceds.ed.gov/cedselementdetails.aspx?termid=5057")</f>
        <v>https://ceds.ed.gov/cedselementdetails.aspx?termid=5057</v>
      </c>
      <c r="P2025" s="6" t="str">
        <f>HYPERLINK("https://ceds.ed.gov/elementComment.aspx?elementName=Course Credit Units &amp;elementID=5057", "Click here to submit comment")</f>
        <v>Click here to submit comment</v>
      </c>
    </row>
    <row r="2026" spans="1:16" ht="105">
      <c r="A2026" s="6" t="s">
        <v>6869</v>
      </c>
      <c r="B2026" s="6" t="s">
        <v>6879</v>
      </c>
      <c r="C2026" s="6" t="s">
        <v>6825</v>
      </c>
      <c r="D2026" s="6" t="s">
        <v>1884</v>
      </c>
      <c r="E2026" s="6" t="s">
        <v>1885</v>
      </c>
      <c r="F2026" s="6" t="s">
        <v>13</v>
      </c>
      <c r="G2026" s="6" t="s">
        <v>24</v>
      </c>
      <c r="H2026" s="6"/>
      <c r="I2026" s="6" t="s">
        <v>1461</v>
      </c>
      <c r="J2026" s="6"/>
      <c r="K2026" s="6" t="s">
        <v>1886</v>
      </c>
      <c r="L2026" s="6" t="s">
        <v>1887</v>
      </c>
      <c r="M2026" s="6"/>
      <c r="N2026" s="6" t="s">
        <v>1888</v>
      </c>
      <c r="O2026" s="6" t="str">
        <f>HYPERLINK("https://ceds.ed.gov/cedselementdetails.aspx?termid=5058")</f>
        <v>https://ceds.ed.gov/cedselementdetails.aspx?termid=5058</v>
      </c>
      <c r="P2026" s="6" t="str">
        <f>HYPERLINK("https://ceds.ed.gov/elementComment.aspx?elementName=Course Credit Value &amp;elementID=5058", "Click here to submit comment")</f>
        <v>Click here to submit comment</v>
      </c>
    </row>
    <row r="2027" spans="1:16" ht="30">
      <c r="A2027" s="6" t="s">
        <v>6869</v>
      </c>
      <c r="B2027" s="6" t="s">
        <v>6879</v>
      </c>
      <c r="C2027" s="6" t="s">
        <v>6825</v>
      </c>
      <c r="D2027" s="6" t="s">
        <v>1855</v>
      </c>
      <c r="E2027" s="6" t="s">
        <v>1856</v>
      </c>
      <c r="F2027" s="6" t="s">
        <v>13</v>
      </c>
      <c r="G2027" s="6" t="s">
        <v>6093</v>
      </c>
      <c r="H2027" s="6"/>
      <c r="I2027" s="6" t="s">
        <v>73</v>
      </c>
      <c r="J2027" s="6"/>
      <c r="K2027" s="6"/>
      <c r="L2027" s="6" t="s">
        <v>1857</v>
      </c>
      <c r="M2027" s="6"/>
      <c r="N2027" s="6" t="s">
        <v>1858</v>
      </c>
      <c r="O2027" s="6" t="str">
        <f>HYPERLINK("https://ceds.ed.gov/cedselementdetails.aspx?termid=5054")</f>
        <v>https://ceds.ed.gov/cedselementdetails.aspx?termid=5054</v>
      </c>
      <c r="P2027" s="6" t="str">
        <f>HYPERLINK("https://ceds.ed.gov/elementComment.aspx?elementName=Course Begin Date &amp;elementID=5054", "Click here to submit comment")</f>
        <v>Click here to submit comment</v>
      </c>
    </row>
    <row r="2028" spans="1:16" ht="30">
      <c r="A2028" s="6" t="s">
        <v>6869</v>
      </c>
      <c r="B2028" s="6" t="s">
        <v>6879</v>
      </c>
      <c r="C2028" s="6" t="s">
        <v>6825</v>
      </c>
      <c r="D2028" s="6" t="s">
        <v>1897</v>
      </c>
      <c r="E2028" s="6" t="s">
        <v>1898</v>
      </c>
      <c r="F2028" s="6" t="s">
        <v>13</v>
      </c>
      <c r="G2028" s="6" t="s">
        <v>6093</v>
      </c>
      <c r="H2028" s="6"/>
      <c r="I2028" s="6" t="s">
        <v>73</v>
      </c>
      <c r="J2028" s="6"/>
      <c r="K2028" s="6"/>
      <c r="L2028" s="6" t="s">
        <v>1899</v>
      </c>
      <c r="M2028" s="6"/>
      <c r="N2028" s="6" t="s">
        <v>1900</v>
      </c>
      <c r="O2028" s="6" t="str">
        <f>HYPERLINK("https://ceds.ed.gov/cedselementdetails.aspx?termid=5059")</f>
        <v>https://ceds.ed.gov/cedselementdetails.aspx?termid=5059</v>
      </c>
      <c r="P2028" s="6" t="str">
        <f>HYPERLINK("https://ceds.ed.gov/elementComment.aspx?elementName=Course End Date &amp;elementID=5059", "Click here to submit comment")</f>
        <v>Click here to submit comment</v>
      </c>
    </row>
    <row r="2029" spans="1:16" ht="60">
      <c r="A2029" s="6" t="s">
        <v>6869</v>
      </c>
      <c r="B2029" s="6" t="s">
        <v>6879</v>
      </c>
      <c r="C2029" s="6" t="s">
        <v>6825</v>
      </c>
      <c r="D2029" s="6" t="s">
        <v>312</v>
      </c>
      <c r="E2029" s="6" t="s">
        <v>313</v>
      </c>
      <c r="F2029" s="6" t="s">
        <v>13</v>
      </c>
      <c r="G2029" s="6"/>
      <c r="H2029" s="6" t="s">
        <v>54</v>
      </c>
      <c r="I2029" s="6" t="s">
        <v>100</v>
      </c>
      <c r="J2029" s="6"/>
      <c r="K2029" s="6"/>
      <c r="L2029" s="6" t="s">
        <v>315</v>
      </c>
      <c r="M2029" s="6"/>
      <c r="N2029" s="6" t="s">
        <v>316</v>
      </c>
      <c r="O2029" s="6" t="str">
        <f>HYPERLINK("https://ceds.ed.gov/cedselementdetails.aspx?termid=6246")</f>
        <v>https://ceds.ed.gov/cedselementdetails.aspx?termid=6246</v>
      </c>
      <c r="P2029" s="6" t="str">
        <f>HYPERLINK("https://ceds.ed.gov/elementComment.aspx?elementName=Agency Course Identifier &amp;elementID=6246", "Click here to submit comment")</f>
        <v>Click here to submit comment</v>
      </c>
    </row>
    <row r="2030" spans="1:16" ht="390">
      <c r="A2030" s="6" t="s">
        <v>6869</v>
      </c>
      <c r="B2030" s="6" t="s">
        <v>6879</v>
      </c>
      <c r="C2030" s="6" t="s">
        <v>6805</v>
      </c>
      <c r="D2030" s="6" t="s">
        <v>5383</v>
      </c>
      <c r="E2030" s="6" t="s">
        <v>5384</v>
      </c>
      <c r="F2030" s="6" t="s">
        <v>13</v>
      </c>
      <c r="G2030" s="6" t="s">
        <v>6315</v>
      </c>
      <c r="H2030" s="6" t="s">
        <v>3</v>
      </c>
      <c r="I2030" s="6" t="s">
        <v>5385</v>
      </c>
      <c r="J2030" s="6"/>
      <c r="K2030" s="6" t="s">
        <v>5386</v>
      </c>
      <c r="L2030" s="6" t="s">
        <v>5387</v>
      </c>
      <c r="M2030" s="6" t="s">
        <v>5388</v>
      </c>
      <c r="N2030" s="6" t="s">
        <v>5389</v>
      </c>
      <c r="O2030" s="6" t="str">
        <f>HYPERLINK("https://ceds.ed.gov/cedselementdetails.aspx?termid=5259")</f>
        <v>https://ceds.ed.gov/cedselementdetails.aspx?termid=5259</v>
      </c>
      <c r="P2030" s="6" t="str">
        <f>HYPERLINK("https://ceds.ed.gov/elementComment.aspx?elementName=Social Security Number &amp;elementID=5259", "Click here to submit comment")</f>
        <v>Click here to submit comment</v>
      </c>
    </row>
    <row r="2031" spans="1:16" ht="135">
      <c r="A2031" s="6" t="s">
        <v>6869</v>
      </c>
      <c r="B2031" s="6" t="s">
        <v>6879</v>
      </c>
      <c r="C2031" s="6" t="s">
        <v>6805</v>
      </c>
      <c r="D2031" s="6" t="s">
        <v>5614</v>
      </c>
      <c r="E2031" s="6" t="s">
        <v>5615</v>
      </c>
      <c r="F2031" s="6" t="s">
        <v>13</v>
      </c>
      <c r="G2031" s="6" t="s">
        <v>6330</v>
      </c>
      <c r="H2031" s="6"/>
      <c r="I2031" s="6" t="s">
        <v>100</v>
      </c>
      <c r="J2031" s="6"/>
      <c r="K2031" s="6"/>
      <c r="L2031" s="6" t="s">
        <v>5616</v>
      </c>
      <c r="M2031" s="6"/>
      <c r="N2031" s="6" t="s">
        <v>5617</v>
      </c>
      <c r="O2031" s="6" t="str">
        <f>HYPERLINK("https://ceds.ed.gov/cedselementdetails.aspx?termid=5157")</f>
        <v>https://ceds.ed.gov/cedselementdetails.aspx?termid=5157</v>
      </c>
      <c r="P2031" s="6" t="str">
        <f>HYPERLINK("https://ceds.ed.gov/elementComment.aspx?elementName=Student Identifier &amp;elementID=5157", "Click here to submit comment")</f>
        <v>Click here to submit comment</v>
      </c>
    </row>
    <row r="2032" spans="1:16" ht="285">
      <c r="A2032" s="6" t="s">
        <v>6869</v>
      </c>
      <c r="B2032" s="6" t="s">
        <v>6879</v>
      </c>
      <c r="C2032" s="6" t="s">
        <v>6805</v>
      </c>
      <c r="D2032" s="6" t="s">
        <v>5610</v>
      </c>
      <c r="E2032" s="6" t="s">
        <v>5611</v>
      </c>
      <c r="F2032" s="7" t="s">
        <v>6665</v>
      </c>
      <c r="G2032" s="6" t="s">
        <v>6330</v>
      </c>
      <c r="H2032" s="6"/>
      <c r="I2032" s="6"/>
      <c r="J2032" s="6"/>
      <c r="K2032" s="6"/>
      <c r="L2032" s="6" t="s">
        <v>5612</v>
      </c>
      <c r="M2032" s="6"/>
      <c r="N2032" s="6" t="s">
        <v>5613</v>
      </c>
      <c r="O2032" s="6" t="str">
        <f>HYPERLINK("https://ceds.ed.gov/cedselementdetails.aspx?termid=5163")</f>
        <v>https://ceds.ed.gov/cedselementdetails.aspx?termid=5163</v>
      </c>
      <c r="P2032" s="6" t="str">
        <f>HYPERLINK("https://ceds.ed.gov/elementComment.aspx?elementName=Student Identification System &amp;elementID=5163", "Click here to submit comment")</f>
        <v>Click here to submit comment</v>
      </c>
    </row>
    <row r="2033" spans="1:16" ht="45">
      <c r="A2033" s="6" t="s">
        <v>6869</v>
      </c>
      <c r="B2033" s="6" t="s">
        <v>6879</v>
      </c>
      <c r="C2033" s="6" t="s">
        <v>6805</v>
      </c>
      <c r="D2033" s="6" t="s">
        <v>1954</v>
      </c>
      <c r="E2033" s="6" t="s">
        <v>1955</v>
      </c>
      <c r="F2033" s="6" t="s">
        <v>13</v>
      </c>
      <c r="G2033" s="6" t="s">
        <v>24</v>
      </c>
      <c r="H2033" s="6"/>
      <c r="I2033" s="6" t="s">
        <v>25</v>
      </c>
      <c r="J2033" s="6"/>
      <c r="K2033" s="6"/>
      <c r="L2033" s="6" t="s">
        <v>1956</v>
      </c>
      <c r="M2033" s="6"/>
      <c r="N2033" s="6" t="s">
        <v>1957</v>
      </c>
      <c r="O2033" s="6" t="str">
        <f>HYPERLINK("https://ceds.ed.gov/cedselementdetails.aspx?termid=5063")</f>
        <v>https://ceds.ed.gov/cedselementdetails.aspx?termid=5063</v>
      </c>
      <c r="P2033" s="6" t="str">
        <f>HYPERLINK("https://ceds.ed.gov/elementComment.aspx?elementName=Course Override School &amp;elementID=5063", "Click here to submit comment")</f>
        <v>Click here to submit comment</v>
      </c>
    </row>
    <row r="2034" spans="1:16" ht="45">
      <c r="A2034" s="6" t="s">
        <v>6869</v>
      </c>
      <c r="B2034" s="6" t="s">
        <v>6879</v>
      </c>
      <c r="C2034" s="6" t="s">
        <v>6805</v>
      </c>
      <c r="D2034" s="6" t="s">
        <v>2119</v>
      </c>
      <c r="E2034" s="6" t="s">
        <v>2120</v>
      </c>
      <c r="F2034" s="6" t="s">
        <v>5963</v>
      </c>
      <c r="G2034" s="6" t="s">
        <v>24</v>
      </c>
      <c r="H2034" s="6"/>
      <c r="I2034" s="6"/>
      <c r="J2034" s="6"/>
      <c r="K2034" s="6"/>
      <c r="L2034" s="6" t="s">
        <v>2121</v>
      </c>
      <c r="M2034" s="6"/>
      <c r="N2034" s="6" t="s">
        <v>2122</v>
      </c>
      <c r="O2034" s="6" t="str">
        <f>HYPERLINK("https://ceds.ed.gov/cedselementdetails.aspx?termid=5077")</f>
        <v>https://ceds.ed.gov/cedselementdetails.aspx?termid=5077</v>
      </c>
      <c r="P2034" s="6" t="str">
        <f>HYPERLINK("https://ceds.ed.gov/elementComment.aspx?elementName=Degree Applicability &amp;elementID=5077", "Click here to submit comment")</f>
        <v>Click here to submit comment</v>
      </c>
    </row>
    <row r="2035" spans="1:16" ht="30">
      <c r="A2035" s="6" t="s">
        <v>6869</v>
      </c>
      <c r="B2035" s="6" t="s">
        <v>6879</v>
      </c>
      <c r="C2035" s="6" t="s">
        <v>6805</v>
      </c>
      <c r="D2035" s="6" t="s">
        <v>1823</v>
      </c>
      <c r="E2035" s="6" t="s">
        <v>1824</v>
      </c>
      <c r="F2035" s="6" t="s">
        <v>13</v>
      </c>
      <c r="G2035" s="6" t="s">
        <v>6093</v>
      </c>
      <c r="H2035" s="6"/>
      <c r="I2035" s="6" t="s">
        <v>1826</v>
      </c>
      <c r="J2035" s="6"/>
      <c r="K2035" s="6"/>
      <c r="L2035" s="6" t="s">
        <v>1827</v>
      </c>
      <c r="M2035" s="6"/>
      <c r="N2035" s="6" t="s">
        <v>1828</v>
      </c>
      <c r="O2035" s="6" t="str">
        <f>HYPERLINK("https://ceds.ed.gov/cedselementdetails.aspx?termid=5053")</f>
        <v>https://ceds.ed.gov/cedselementdetails.aspx?termid=5053</v>
      </c>
      <c r="P2035" s="6" t="str">
        <f>HYPERLINK("https://ceds.ed.gov/elementComment.aspx?elementName=Course Academic Grade &amp;elementID=5053", "Click here to submit comment")</f>
        <v>Click here to submit comment</v>
      </c>
    </row>
    <row r="2036" spans="1:16" ht="120">
      <c r="A2036" s="6" t="s">
        <v>6869</v>
      </c>
      <c r="B2036" s="6" t="s">
        <v>6879</v>
      </c>
      <c r="C2036" s="6" t="s">
        <v>6805</v>
      </c>
      <c r="D2036" s="6" t="s">
        <v>4257</v>
      </c>
      <c r="E2036" s="6" t="s">
        <v>4258</v>
      </c>
      <c r="F2036" s="6" t="s">
        <v>13</v>
      </c>
      <c r="G2036" s="6" t="s">
        <v>6252</v>
      </c>
      <c r="H2036" s="6" t="s">
        <v>66</v>
      </c>
      <c r="I2036" s="6" t="s">
        <v>1461</v>
      </c>
      <c r="J2036" s="6" t="s">
        <v>1820</v>
      </c>
      <c r="K2036" s="6"/>
      <c r="L2036" s="6" t="s">
        <v>4259</v>
      </c>
      <c r="M2036" s="6"/>
      <c r="N2036" s="6" t="s">
        <v>4260</v>
      </c>
      <c r="O2036" s="6" t="str">
        <f>HYPERLINK("https://ceds.ed.gov/cedselementdetails.aspx?termid=5200")</f>
        <v>https://ceds.ed.gov/cedselementdetails.aspx?termid=5200</v>
      </c>
      <c r="P2036" s="6" t="str">
        <f>HYPERLINK("https://ceds.ed.gov/elementComment.aspx?elementName=Number of Credits Earned &amp;elementID=5200", "Click here to submit comment")</f>
        <v>Click here to submit comment</v>
      </c>
    </row>
    <row r="2037" spans="1:16" ht="60">
      <c r="A2037" s="6" t="s">
        <v>6869</v>
      </c>
      <c r="B2037" s="6" t="s">
        <v>6879</v>
      </c>
      <c r="C2037" s="6" t="s">
        <v>6805</v>
      </c>
      <c r="D2037" s="6" t="s">
        <v>1958</v>
      </c>
      <c r="E2037" s="6" t="s">
        <v>1959</v>
      </c>
      <c r="F2037" s="6" t="s">
        <v>13</v>
      </c>
      <c r="G2037" s="6" t="s">
        <v>24</v>
      </c>
      <c r="H2037" s="6"/>
      <c r="I2037" s="6" t="s">
        <v>1461</v>
      </c>
      <c r="J2037" s="6"/>
      <c r="K2037" s="6"/>
      <c r="L2037" s="6" t="s">
        <v>1960</v>
      </c>
      <c r="M2037" s="6"/>
      <c r="N2037" s="6" t="s">
        <v>1961</v>
      </c>
      <c r="O2037" s="6" t="str">
        <f>HYPERLINK("https://ceds.ed.gov/cedselementdetails.aspx?termid=5064")</f>
        <v>https://ceds.ed.gov/cedselementdetails.aspx?termid=5064</v>
      </c>
      <c r="P2037" s="6" t="str">
        <f>HYPERLINK("https://ceds.ed.gov/elementComment.aspx?elementName=Course Quality Points Earned &amp;elementID=5064", "Click here to submit comment")</f>
        <v>Click here to submit comment</v>
      </c>
    </row>
    <row r="2038" spans="1:16" ht="30">
      <c r="A2038" s="6" t="s">
        <v>6869</v>
      </c>
      <c r="B2038" s="6" t="s">
        <v>6879</v>
      </c>
      <c r="C2038" s="6" t="s">
        <v>6805</v>
      </c>
      <c r="D2038" s="6" t="s">
        <v>1841</v>
      </c>
      <c r="E2038" s="6" t="s">
        <v>1842</v>
      </c>
      <c r="F2038" s="6" t="s">
        <v>13</v>
      </c>
      <c r="G2038" s="6"/>
      <c r="H2038" s="6" t="s">
        <v>54</v>
      </c>
      <c r="I2038" s="6" t="s">
        <v>73</v>
      </c>
      <c r="J2038" s="6"/>
      <c r="K2038" s="6"/>
      <c r="L2038" s="6" t="s">
        <v>1843</v>
      </c>
      <c r="M2038" s="6"/>
      <c r="N2038" s="6" t="s">
        <v>1844</v>
      </c>
      <c r="O2038" s="6" t="str">
        <f>HYPERLINK("https://ceds.ed.gov/cedselementdetails.aspx?termid=6266")</f>
        <v>https://ceds.ed.gov/cedselementdetails.aspx?termid=6266</v>
      </c>
      <c r="P2038" s="6" t="str">
        <f>HYPERLINK("https://ceds.ed.gov/elementComment.aspx?elementName=Course Add Date &amp;elementID=6266", "Click here to submit comment")</f>
        <v>Click here to submit comment</v>
      </c>
    </row>
    <row r="2039" spans="1:16" ht="405">
      <c r="A2039" s="6" t="s">
        <v>6869</v>
      </c>
      <c r="B2039" s="6" t="s">
        <v>6879</v>
      </c>
      <c r="C2039" s="6" t="s">
        <v>6880</v>
      </c>
      <c r="D2039" s="6" t="s">
        <v>1836</v>
      </c>
      <c r="E2039" s="6" t="s">
        <v>1837</v>
      </c>
      <c r="F2039" s="7" t="s">
        <v>6434</v>
      </c>
      <c r="G2039" s="6"/>
      <c r="H2039" s="6" t="s">
        <v>54</v>
      </c>
      <c r="I2039" s="6"/>
      <c r="J2039" s="6"/>
      <c r="K2039" s="6"/>
      <c r="L2039" s="6" t="s">
        <v>1839</v>
      </c>
      <c r="M2039" s="6"/>
      <c r="N2039" s="6" t="s">
        <v>1840</v>
      </c>
      <c r="O2039" s="6" t="str">
        <f>HYPERLINK("https://ceds.ed.gov/cedselementdetails.aspx?termid=6265")</f>
        <v>https://ceds.ed.gov/cedselementdetails.aspx?termid=6265</v>
      </c>
      <c r="P2039" s="6" t="str">
        <f>HYPERLINK("https://ceds.ed.gov/elementComment.aspx?elementName=Course Academic Grade Status Code &amp;elementID=6265", "Click here to submit comment")</f>
        <v>Click here to submit comment</v>
      </c>
    </row>
    <row r="2040" spans="1:16" ht="409.5">
      <c r="A2040" s="6" t="s">
        <v>6869</v>
      </c>
      <c r="B2040" s="6" t="s">
        <v>6879</v>
      </c>
      <c r="C2040" s="6" t="s">
        <v>6881</v>
      </c>
      <c r="D2040" s="6" t="s">
        <v>5502</v>
      </c>
      <c r="E2040" s="6" t="s">
        <v>5503</v>
      </c>
      <c r="F2040" s="7" t="s">
        <v>6662</v>
      </c>
      <c r="G2040" s="6" t="s">
        <v>6321</v>
      </c>
      <c r="H2040" s="6" t="s">
        <v>3</v>
      </c>
      <c r="I2040" s="6"/>
      <c r="J2040" s="6"/>
      <c r="K2040" s="6"/>
      <c r="L2040" s="6" t="s">
        <v>5504</v>
      </c>
      <c r="M2040" s="6"/>
      <c r="N2040" s="6" t="s">
        <v>5505</v>
      </c>
      <c r="O2040" s="6" t="str">
        <f>HYPERLINK("https://ceds.ed.gov/cedselementdetails.aspx?termid=5162")</f>
        <v>https://ceds.ed.gov/cedselementdetails.aspx?termid=5162</v>
      </c>
      <c r="P2040" s="6" t="str">
        <f>HYPERLINK("https://ceds.ed.gov/elementComment.aspx?elementName=Staff Member Identification System &amp;elementID=5162", "Click here to submit comment")</f>
        <v>Click here to submit comment</v>
      </c>
    </row>
    <row r="2041" spans="1:16" ht="135">
      <c r="A2041" s="6" t="s">
        <v>6869</v>
      </c>
      <c r="B2041" s="6" t="s">
        <v>6879</v>
      </c>
      <c r="C2041" s="6" t="s">
        <v>6881</v>
      </c>
      <c r="D2041" s="6" t="s">
        <v>5506</v>
      </c>
      <c r="E2041" s="6" t="s">
        <v>5507</v>
      </c>
      <c r="F2041" s="6" t="s">
        <v>13</v>
      </c>
      <c r="G2041" s="6" t="s">
        <v>6322</v>
      </c>
      <c r="H2041" s="6" t="s">
        <v>3</v>
      </c>
      <c r="I2041" s="6" t="s">
        <v>100</v>
      </c>
      <c r="J2041" s="6"/>
      <c r="K2041" s="6"/>
      <c r="L2041" s="6" t="s">
        <v>5508</v>
      </c>
      <c r="M2041" s="6"/>
      <c r="N2041" s="6" t="s">
        <v>5509</v>
      </c>
      <c r="O2041" s="6" t="str">
        <f>HYPERLINK("https://ceds.ed.gov/cedselementdetails.aspx?termid=5156")</f>
        <v>https://ceds.ed.gov/cedselementdetails.aspx?termid=5156</v>
      </c>
      <c r="P2041" s="6" t="str">
        <f>HYPERLINK("https://ceds.ed.gov/elementComment.aspx?elementName=Staff Member Identifier &amp;elementID=5156", "Click here to submit comment")</f>
        <v>Click here to submit comment</v>
      </c>
    </row>
    <row r="2042" spans="1:16" ht="195">
      <c r="A2042" s="6" t="s">
        <v>6869</v>
      </c>
      <c r="B2042" s="6" t="s">
        <v>6882</v>
      </c>
      <c r="C2042" s="6" t="s">
        <v>6717</v>
      </c>
      <c r="D2042" s="6" t="s">
        <v>2776</v>
      </c>
      <c r="E2042" s="6" t="s">
        <v>2777</v>
      </c>
      <c r="F2042" s="6" t="s">
        <v>13</v>
      </c>
      <c r="G2042" s="6" t="s">
        <v>6176</v>
      </c>
      <c r="H2042" s="6" t="s">
        <v>3</v>
      </c>
      <c r="I2042" s="6" t="s">
        <v>1368</v>
      </c>
      <c r="J2042" s="6"/>
      <c r="K2042" s="6" t="s">
        <v>2778</v>
      </c>
      <c r="L2042" s="6" t="s">
        <v>2779</v>
      </c>
      <c r="M2042" s="6"/>
      <c r="N2042" s="6" t="s">
        <v>2780</v>
      </c>
      <c r="O2042" s="6" t="str">
        <f>HYPERLINK("https://ceds.ed.gov/cedselementdetails.aspx?termid=5115")</f>
        <v>https://ceds.ed.gov/cedselementdetails.aspx?termid=5115</v>
      </c>
      <c r="P2042" s="6" t="str">
        <f>HYPERLINK("https://ceds.ed.gov/elementComment.aspx?elementName=First Name &amp;elementID=5115", "Click here to submit comment")</f>
        <v>Click here to submit comment</v>
      </c>
    </row>
    <row r="2043" spans="1:16" ht="195">
      <c r="A2043" s="6" t="s">
        <v>6869</v>
      </c>
      <c r="B2043" s="6" t="s">
        <v>6882</v>
      </c>
      <c r="C2043" s="6" t="s">
        <v>6717</v>
      </c>
      <c r="D2043" s="6" t="s">
        <v>4088</v>
      </c>
      <c r="E2043" s="6" t="s">
        <v>4089</v>
      </c>
      <c r="F2043" s="6" t="s">
        <v>13</v>
      </c>
      <c r="G2043" s="6" t="s">
        <v>6176</v>
      </c>
      <c r="H2043" s="6" t="s">
        <v>3</v>
      </c>
      <c r="I2043" s="6" t="s">
        <v>1368</v>
      </c>
      <c r="J2043" s="6"/>
      <c r="K2043" s="6" t="s">
        <v>2778</v>
      </c>
      <c r="L2043" s="6" t="s">
        <v>4090</v>
      </c>
      <c r="M2043" s="6"/>
      <c r="N2043" s="6" t="s">
        <v>4091</v>
      </c>
      <c r="O2043" s="6" t="str">
        <f>HYPERLINK("https://ceds.ed.gov/cedselementdetails.aspx?termid=5184")</f>
        <v>https://ceds.ed.gov/cedselementdetails.aspx?termid=5184</v>
      </c>
      <c r="P2043" s="6" t="str">
        <f>HYPERLINK("https://ceds.ed.gov/elementComment.aspx?elementName=Middle Name &amp;elementID=5184", "Click here to submit comment")</f>
        <v>Click here to submit comment</v>
      </c>
    </row>
    <row r="2044" spans="1:16" ht="195">
      <c r="A2044" s="6" t="s">
        <v>6869</v>
      </c>
      <c r="B2044" s="6" t="s">
        <v>6882</v>
      </c>
      <c r="C2044" s="6" t="s">
        <v>6717</v>
      </c>
      <c r="D2044" s="6" t="s">
        <v>3427</v>
      </c>
      <c r="E2044" s="6" t="s">
        <v>3428</v>
      </c>
      <c r="F2044" s="6" t="s">
        <v>13</v>
      </c>
      <c r="G2044" s="6" t="s">
        <v>6176</v>
      </c>
      <c r="H2044" s="6" t="s">
        <v>3</v>
      </c>
      <c r="I2044" s="6" t="s">
        <v>1368</v>
      </c>
      <c r="J2044" s="6"/>
      <c r="K2044" s="6" t="s">
        <v>2778</v>
      </c>
      <c r="L2044" s="6" t="s">
        <v>3429</v>
      </c>
      <c r="M2044" s="6" t="s">
        <v>3430</v>
      </c>
      <c r="N2044" s="6" t="s">
        <v>3431</v>
      </c>
      <c r="O2044" s="6" t="str">
        <f>HYPERLINK("https://ceds.ed.gov/cedselementdetails.aspx?termid=5172")</f>
        <v>https://ceds.ed.gov/cedselementdetails.aspx?termid=5172</v>
      </c>
      <c r="P2044" s="6" t="str">
        <f>HYPERLINK("https://ceds.ed.gov/elementComment.aspx?elementName=Last or Surname &amp;elementID=5172", "Click here to submit comment")</f>
        <v>Click here to submit comment</v>
      </c>
    </row>
    <row r="2045" spans="1:16" ht="150">
      <c r="A2045" s="6" t="s">
        <v>6869</v>
      </c>
      <c r="B2045" s="6" t="s">
        <v>6882</v>
      </c>
      <c r="C2045" s="6" t="s">
        <v>6717</v>
      </c>
      <c r="D2045" s="6" t="s">
        <v>2829</v>
      </c>
      <c r="E2045" s="6" t="s">
        <v>2830</v>
      </c>
      <c r="F2045" s="6" t="s">
        <v>13</v>
      </c>
      <c r="G2045" s="6" t="s">
        <v>6179</v>
      </c>
      <c r="H2045" s="6" t="s">
        <v>3</v>
      </c>
      <c r="I2045" s="6" t="s">
        <v>2031</v>
      </c>
      <c r="J2045" s="6"/>
      <c r="K2045" s="6" t="s">
        <v>2778</v>
      </c>
      <c r="L2045" s="6" t="s">
        <v>2831</v>
      </c>
      <c r="M2045" s="6"/>
      <c r="N2045" s="6" t="s">
        <v>2832</v>
      </c>
      <c r="O2045" s="6" t="str">
        <f>HYPERLINK("https://ceds.ed.gov/cedselementdetails.aspx?termid=5121")</f>
        <v>https://ceds.ed.gov/cedselementdetails.aspx?termid=5121</v>
      </c>
      <c r="P2045" s="6" t="str">
        <f>HYPERLINK("https://ceds.ed.gov/elementComment.aspx?elementName=Generation Code or Suffix &amp;elementID=5121", "Click here to submit comment")</f>
        <v>Click here to submit comment</v>
      </c>
    </row>
    <row r="2046" spans="1:16" ht="105">
      <c r="A2046" s="6" t="s">
        <v>6869</v>
      </c>
      <c r="B2046" s="6" t="s">
        <v>6882</v>
      </c>
      <c r="C2046" s="6" t="s">
        <v>6717</v>
      </c>
      <c r="D2046" s="6" t="s">
        <v>4498</v>
      </c>
      <c r="E2046" s="6" t="s">
        <v>4499</v>
      </c>
      <c r="F2046" s="6" t="s">
        <v>13</v>
      </c>
      <c r="G2046" s="6" t="s">
        <v>6280</v>
      </c>
      <c r="H2046" s="6" t="s">
        <v>3</v>
      </c>
      <c r="I2046" s="6" t="s">
        <v>100</v>
      </c>
      <c r="J2046" s="6"/>
      <c r="K2046" s="6"/>
      <c r="L2046" s="6" t="s">
        <v>4500</v>
      </c>
      <c r="M2046" s="6" t="s">
        <v>4501</v>
      </c>
      <c r="N2046" s="6" t="s">
        <v>4502</v>
      </c>
      <c r="O2046" s="6" t="str">
        <f>HYPERLINK("https://ceds.ed.gov/cedselementdetails.aspx?termid=5212")</f>
        <v>https://ceds.ed.gov/cedselementdetails.aspx?termid=5212</v>
      </c>
      <c r="P2046" s="6" t="str">
        <f>HYPERLINK("https://ceds.ed.gov/elementComment.aspx?elementName=Personal Title or Prefix &amp;elementID=5212", "Click here to submit comment")</f>
        <v>Click here to submit comment</v>
      </c>
    </row>
    <row r="2047" spans="1:16" ht="30">
      <c r="A2047" s="6" t="s">
        <v>6869</v>
      </c>
      <c r="B2047" s="6" t="s">
        <v>6882</v>
      </c>
      <c r="C2047" s="6" t="s">
        <v>6718</v>
      </c>
      <c r="D2047" s="6" t="s">
        <v>4375</v>
      </c>
      <c r="E2047" s="6" t="s">
        <v>4376</v>
      </c>
      <c r="F2047" s="6" t="s">
        <v>13</v>
      </c>
      <c r="G2047" s="6"/>
      <c r="H2047" s="6" t="s">
        <v>54</v>
      </c>
      <c r="I2047" s="6" t="s">
        <v>1368</v>
      </c>
      <c r="J2047" s="6"/>
      <c r="K2047" s="6" t="s">
        <v>4377</v>
      </c>
      <c r="L2047" s="6" t="s">
        <v>4378</v>
      </c>
      <c r="M2047" s="6"/>
      <c r="N2047" s="6" t="s">
        <v>4379</v>
      </c>
      <c r="O2047" s="6" t="str">
        <f>HYPERLINK("https://ceds.ed.gov/cedselementdetails.aspx?termid=6486")</f>
        <v>https://ceds.ed.gov/cedselementdetails.aspx?termid=6486</v>
      </c>
      <c r="P2047" s="6" t="str">
        <f>HYPERLINK("https://ceds.ed.gov/elementComment.aspx?elementName=Other First Name &amp;elementID=6486", "Click here to submit comment")</f>
        <v>Click here to submit comment</v>
      </c>
    </row>
    <row r="2048" spans="1:16" ht="30">
      <c r="A2048" s="6" t="s">
        <v>6869</v>
      </c>
      <c r="B2048" s="6" t="s">
        <v>6882</v>
      </c>
      <c r="C2048" s="6" t="s">
        <v>6718</v>
      </c>
      <c r="D2048" s="6" t="s">
        <v>4380</v>
      </c>
      <c r="E2048" s="6" t="s">
        <v>4381</v>
      </c>
      <c r="F2048" s="6" t="s">
        <v>13</v>
      </c>
      <c r="G2048" s="6"/>
      <c r="H2048" s="6" t="s">
        <v>54</v>
      </c>
      <c r="I2048" s="6" t="s">
        <v>1368</v>
      </c>
      <c r="J2048" s="6"/>
      <c r="K2048" s="6" t="s">
        <v>4382</v>
      </c>
      <c r="L2048" s="6" t="s">
        <v>4383</v>
      </c>
      <c r="M2048" s="6"/>
      <c r="N2048" s="6" t="s">
        <v>4384</v>
      </c>
      <c r="O2048" s="6" t="str">
        <f>HYPERLINK("https://ceds.ed.gov/cedselementdetails.aspx?termid=6485")</f>
        <v>https://ceds.ed.gov/cedselementdetails.aspx?termid=6485</v>
      </c>
      <c r="P2048" s="6" t="str">
        <f>HYPERLINK("https://ceds.ed.gov/elementComment.aspx?elementName=Other Last Name &amp;elementID=6485", "Click here to submit comment")</f>
        <v>Click here to submit comment</v>
      </c>
    </row>
    <row r="2049" spans="1:16" ht="30">
      <c r="A2049" s="6" t="s">
        <v>6869</v>
      </c>
      <c r="B2049" s="6" t="s">
        <v>6882</v>
      </c>
      <c r="C2049" s="6" t="s">
        <v>6718</v>
      </c>
      <c r="D2049" s="6" t="s">
        <v>4385</v>
      </c>
      <c r="E2049" s="6" t="s">
        <v>4386</v>
      </c>
      <c r="F2049" s="6" t="s">
        <v>13</v>
      </c>
      <c r="G2049" s="6"/>
      <c r="H2049" s="6" t="s">
        <v>54</v>
      </c>
      <c r="I2049" s="6" t="s">
        <v>1368</v>
      </c>
      <c r="J2049" s="6"/>
      <c r="K2049" s="6" t="s">
        <v>4387</v>
      </c>
      <c r="L2049" s="6" t="s">
        <v>4388</v>
      </c>
      <c r="M2049" s="6"/>
      <c r="N2049" s="6" t="s">
        <v>4389</v>
      </c>
      <c r="O2049" s="6" t="str">
        <f>HYPERLINK("https://ceds.ed.gov/cedselementdetails.aspx?termid=6487")</f>
        <v>https://ceds.ed.gov/cedselementdetails.aspx?termid=6487</v>
      </c>
      <c r="P2049" s="6" t="str">
        <f>HYPERLINK("https://ceds.ed.gov/elementComment.aspx?elementName=Other Middle Name &amp;elementID=6487", "Click here to submit comment")</f>
        <v>Click here to submit comment</v>
      </c>
    </row>
    <row r="2050" spans="1:16" ht="150">
      <c r="A2050" s="6" t="s">
        <v>6869</v>
      </c>
      <c r="B2050" s="6" t="s">
        <v>6882</v>
      </c>
      <c r="C2050" s="6" t="s">
        <v>6718</v>
      </c>
      <c r="D2050" s="6" t="s">
        <v>4390</v>
      </c>
      <c r="E2050" s="6" t="s">
        <v>4391</v>
      </c>
      <c r="F2050" s="6" t="s">
        <v>13</v>
      </c>
      <c r="G2050" s="6" t="s">
        <v>6179</v>
      </c>
      <c r="H2050" s="6" t="s">
        <v>3</v>
      </c>
      <c r="I2050" s="6" t="s">
        <v>149</v>
      </c>
      <c r="J2050" s="6"/>
      <c r="K2050" s="6"/>
      <c r="L2050" s="6" t="s">
        <v>4392</v>
      </c>
      <c r="M2050" s="6"/>
      <c r="N2050" s="6" t="s">
        <v>4393</v>
      </c>
      <c r="O2050" s="6" t="str">
        <f>HYPERLINK("https://ceds.ed.gov/cedselementdetails.aspx?termid=5206")</f>
        <v>https://ceds.ed.gov/cedselementdetails.aspx?termid=5206</v>
      </c>
      <c r="P2050" s="6" t="str">
        <f>HYPERLINK("https://ceds.ed.gov/elementComment.aspx?elementName=Other Name &amp;elementID=5206", "Click here to submit comment")</f>
        <v>Click here to submit comment</v>
      </c>
    </row>
    <row r="2051" spans="1:16" ht="90">
      <c r="A2051" s="6" t="s">
        <v>6869</v>
      </c>
      <c r="B2051" s="6" t="s">
        <v>6882</v>
      </c>
      <c r="C2051" s="6" t="s">
        <v>6718</v>
      </c>
      <c r="D2051" s="6" t="s">
        <v>4394</v>
      </c>
      <c r="E2051" s="6" t="s">
        <v>4395</v>
      </c>
      <c r="F2051" s="7" t="s">
        <v>6593</v>
      </c>
      <c r="G2051" s="6" t="s">
        <v>6273</v>
      </c>
      <c r="H2051" s="6" t="s">
        <v>3</v>
      </c>
      <c r="I2051" s="6" t="s">
        <v>100</v>
      </c>
      <c r="J2051" s="6"/>
      <c r="K2051" s="6"/>
      <c r="L2051" s="6" t="s">
        <v>4396</v>
      </c>
      <c r="M2051" s="6"/>
      <c r="N2051" s="6" t="s">
        <v>4397</v>
      </c>
      <c r="O2051" s="6" t="str">
        <f>HYPERLINK("https://ceds.ed.gov/cedselementdetails.aspx?termid=5627")</f>
        <v>https://ceds.ed.gov/cedselementdetails.aspx?termid=5627</v>
      </c>
      <c r="P2051" s="6" t="str">
        <f>HYPERLINK("https://ceds.ed.gov/elementComment.aspx?elementName=Other Name Type &amp;elementID=5627", "Click here to submit comment")</f>
        <v>Click here to submit comment</v>
      </c>
    </row>
    <row r="2052" spans="1:16" ht="390">
      <c r="A2052" s="6" t="s">
        <v>6869</v>
      </c>
      <c r="B2052" s="6" t="s">
        <v>6882</v>
      </c>
      <c r="C2052" s="6" t="s">
        <v>6719</v>
      </c>
      <c r="D2052" s="6" t="s">
        <v>5383</v>
      </c>
      <c r="E2052" s="6" t="s">
        <v>5384</v>
      </c>
      <c r="F2052" s="6" t="s">
        <v>13</v>
      </c>
      <c r="G2052" s="6" t="s">
        <v>6315</v>
      </c>
      <c r="H2052" s="6" t="s">
        <v>3</v>
      </c>
      <c r="I2052" s="6" t="s">
        <v>5385</v>
      </c>
      <c r="J2052" s="6"/>
      <c r="K2052" s="6" t="s">
        <v>5386</v>
      </c>
      <c r="L2052" s="6" t="s">
        <v>5387</v>
      </c>
      <c r="M2052" s="6" t="s">
        <v>5388</v>
      </c>
      <c r="N2052" s="6" t="s">
        <v>5389</v>
      </c>
      <c r="O2052" s="6" t="str">
        <f>HYPERLINK("https://ceds.ed.gov/cedselementdetails.aspx?termid=5259")</f>
        <v>https://ceds.ed.gov/cedselementdetails.aspx?termid=5259</v>
      </c>
      <c r="P2052" s="6" t="str">
        <f>HYPERLINK("https://ceds.ed.gov/elementComment.aspx?elementName=Social Security Number &amp;elementID=5259", "Click here to submit comment")</f>
        <v>Click here to submit comment</v>
      </c>
    </row>
    <row r="2053" spans="1:16" ht="135">
      <c r="A2053" s="6" t="s">
        <v>6869</v>
      </c>
      <c r="B2053" s="6" t="s">
        <v>6882</v>
      </c>
      <c r="C2053" s="6" t="s">
        <v>6719</v>
      </c>
      <c r="D2053" s="6" t="s">
        <v>5506</v>
      </c>
      <c r="E2053" s="6" t="s">
        <v>5507</v>
      </c>
      <c r="F2053" s="6" t="s">
        <v>13</v>
      </c>
      <c r="G2053" s="6" t="s">
        <v>6322</v>
      </c>
      <c r="H2053" s="6" t="s">
        <v>3</v>
      </c>
      <c r="I2053" s="6" t="s">
        <v>100</v>
      </c>
      <c r="J2053" s="6"/>
      <c r="K2053" s="6"/>
      <c r="L2053" s="6" t="s">
        <v>5508</v>
      </c>
      <c r="M2053" s="6"/>
      <c r="N2053" s="6" t="s">
        <v>5509</v>
      </c>
      <c r="O2053" s="6" t="str">
        <f>HYPERLINK("https://ceds.ed.gov/cedselementdetails.aspx?termid=5156")</f>
        <v>https://ceds.ed.gov/cedselementdetails.aspx?termid=5156</v>
      </c>
      <c r="P2053" s="6" t="str">
        <f>HYPERLINK("https://ceds.ed.gov/elementComment.aspx?elementName=Staff Member Identifier &amp;elementID=5156", "Click here to submit comment")</f>
        <v>Click here to submit comment</v>
      </c>
    </row>
    <row r="2054" spans="1:16" ht="409.5">
      <c r="A2054" s="6" t="s">
        <v>6869</v>
      </c>
      <c r="B2054" s="6" t="s">
        <v>6882</v>
      </c>
      <c r="C2054" s="6" t="s">
        <v>6719</v>
      </c>
      <c r="D2054" s="6" t="s">
        <v>5502</v>
      </c>
      <c r="E2054" s="6" t="s">
        <v>5503</v>
      </c>
      <c r="F2054" s="7" t="s">
        <v>6662</v>
      </c>
      <c r="G2054" s="6" t="s">
        <v>6321</v>
      </c>
      <c r="H2054" s="6" t="s">
        <v>3</v>
      </c>
      <c r="I2054" s="6"/>
      <c r="J2054" s="6"/>
      <c r="K2054" s="6"/>
      <c r="L2054" s="6" t="s">
        <v>5504</v>
      </c>
      <c r="M2054" s="6"/>
      <c r="N2054" s="6" t="s">
        <v>5505</v>
      </c>
      <c r="O2054" s="6" t="str">
        <f>HYPERLINK("https://ceds.ed.gov/cedselementdetails.aspx?termid=5162")</f>
        <v>https://ceds.ed.gov/cedselementdetails.aspx?termid=5162</v>
      </c>
      <c r="P2054" s="6" t="str">
        <f>HYPERLINK("https://ceds.ed.gov/elementComment.aspx?elementName=Staff Member Identification System &amp;elementID=5162", "Click here to submit comment")</f>
        <v>Click here to submit comment</v>
      </c>
    </row>
    <row r="2055" spans="1:16" ht="375">
      <c r="A2055" s="6" t="s">
        <v>6869</v>
      </c>
      <c r="B2055" s="6" t="s">
        <v>6882</v>
      </c>
      <c r="C2055" s="6" t="s">
        <v>6719</v>
      </c>
      <c r="D2055" s="6" t="s">
        <v>4494</v>
      </c>
      <c r="E2055" s="6" t="s">
        <v>4495</v>
      </c>
      <c r="F2055" s="7" t="s">
        <v>6599</v>
      </c>
      <c r="G2055" s="6"/>
      <c r="H2055" s="6" t="s">
        <v>3</v>
      </c>
      <c r="I2055" s="6"/>
      <c r="J2055" s="6"/>
      <c r="K2055" s="6"/>
      <c r="L2055" s="6" t="s">
        <v>4496</v>
      </c>
      <c r="M2055" s="6"/>
      <c r="N2055" s="6" t="s">
        <v>4497</v>
      </c>
      <c r="O2055" s="6" t="str">
        <f>HYPERLINK("https://ceds.ed.gov/cedselementdetails.aspx?termid=5611")</f>
        <v>https://ceds.ed.gov/cedselementdetails.aspx?termid=5611</v>
      </c>
      <c r="P2055" s="6" t="str">
        <f>HYPERLINK("https://ceds.ed.gov/elementComment.aspx?elementName=Personal Information Verification &amp;elementID=5611", "Click here to submit comment")</f>
        <v>Click here to submit comment</v>
      </c>
    </row>
    <row r="2056" spans="1:16" ht="150">
      <c r="A2056" s="6" t="s">
        <v>6869</v>
      </c>
      <c r="B2056" s="6" t="s">
        <v>6882</v>
      </c>
      <c r="C2056" s="6" t="s">
        <v>6720</v>
      </c>
      <c r="D2056" s="6" t="s">
        <v>200</v>
      </c>
      <c r="E2056" s="6" t="s">
        <v>201</v>
      </c>
      <c r="F2056" s="7" t="s">
        <v>6355</v>
      </c>
      <c r="G2056" s="6" t="s">
        <v>202</v>
      </c>
      <c r="H2056" s="6" t="s">
        <v>3</v>
      </c>
      <c r="I2056" s="6" t="s">
        <v>100</v>
      </c>
      <c r="J2056" s="6"/>
      <c r="K2056" s="6"/>
      <c r="L2056" s="6" t="s">
        <v>203</v>
      </c>
      <c r="M2056" s="6"/>
      <c r="N2056" s="6" t="s">
        <v>204</v>
      </c>
      <c r="O2056" s="6" t="str">
        <f>HYPERLINK("https://ceds.ed.gov/cedselementdetails.aspx?termid=5698")</f>
        <v>https://ceds.ed.gov/cedselementdetails.aspx?termid=5698</v>
      </c>
      <c r="P2056" s="6" t="str">
        <f>HYPERLINK("https://ceds.ed.gov/elementComment.aspx?elementName=Address Type for Staff &amp;elementID=5698", "Click here to submit comment")</f>
        <v>Click here to submit comment</v>
      </c>
    </row>
    <row r="2057" spans="1:16" ht="225">
      <c r="A2057" s="6" t="s">
        <v>6869</v>
      </c>
      <c r="B2057" s="6" t="s">
        <v>6882</v>
      </c>
      <c r="C2057" s="6" t="s">
        <v>6720</v>
      </c>
      <c r="D2057" s="6" t="s">
        <v>170</v>
      </c>
      <c r="E2057" s="6" t="s">
        <v>171</v>
      </c>
      <c r="F2057" s="6" t="s">
        <v>13</v>
      </c>
      <c r="G2057" s="6" t="s">
        <v>5973</v>
      </c>
      <c r="H2057" s="6" t="s">
        <v>3</v>
      </c>
      <c r="I2057" s="6" t="s">
        <v>100</v>
      </c>
      <c r="J2057" s="6"/>
      <c r="K2057" s="6"/>
      <c r="L2057" s="6" t="s">
        <v>172</v>
      </c>
      <c r="M2057" s="6"/>
      <c r="N2057" s="6" t="s">
        <v>173</v>
      </c>
      <c r="O2057" s="6" t="str">
        <f>HYPERLINK("https://ceds.ed.gov/cedselementdetails.aspx?termid=5019")</f>
        <v>https://ceds.ed.gov/cedselementdetails.aspx?termid=5019</v>
      </c>
      <c r="P2057" s="6" t="str">
        <f>HYPERLINK("https://ceds.ed.gov/elementComment.aspx?elementName=Address Apartment Room or Suite Number &amp;elementID=5019", "Click here to submit comment")</f>
        <v>Click here to submit comment</v>
      </c>
    </row>
    <row r="2058" spans="1:16" ht="225">
      <c r="A2058" s="6" t="s">
        <v>6869</v>
      </c>
      <c r="B2058" s="6" t="s">
        <v>6882</v>
      </c>
      <c r="C2058" s="6" t="s">
        <v>6720</v>
      </c>
      <c r="D2058" s="6" t="s">
        <v>187</v>
      </c>
      <c r="E2058" s="6" t="s">
        <v>188</v>
      </c>
      <c r="F2058" s="6" t="s">
        <v>13</v>
      </c>
      <c r="G2058" s="6" t="s">
        <v>5973</v>
      </c>
      <c r="H2058" s="6" t="s">
        <v>3</v>
      </c>
      <c r="I2058" s="6" t="s">
        <v>149</v>
      </c>
      <c r="J2058" s="6"/>
      <c r="K2058" s="6"/>
      <c r="L2058" s="6" t="s">
        <v>189</v>
      </c>
      <c r="M2058" s="6"/>
      <c r="N2058" s="6" t="s">
        <v>190</v>
      </c>
      <c r="O2058" s="6" t="str">
        <f>HYPERLINK("https://ceds.ed.gov/cedselementdetails.aspx?termid=5269")</f>
        <v>https://ceds.ed.gov/cedselementdetails.aspx?termid=5269</v>
      </c>
      <c r="P2058" s="6" t="str">
        <f>HYPERLINK("https://ceds.ed.gov/elementComment.aspx?elementName=Address Street Number and Name &amp;elementID=5269", "Click here to submit comment")</f>
        <v>Click here to submit comment</v>
      </c>
    </row>
    <row r="2059" spans="1:16" ht="225">
      <c r="A2059" s="6" t="s">
        <v>6869</v>
      </c>
      <c r="B2059" s="6" t="s">
        <v>6882</v>
      </c>
      <c r="C2059" s="6" t="s">
        <v>6720</v>
      </c>
      <c r="D2059" s="6" t="s">
        <v>174</v>
      </c>
      <c r="E2059" s="6" t="s">
        <v>175</v>
      </c>
      <c r="F2059" s="6" t="s">
        <v>13</v>
      </c>
      <c r="G2059" s="6" t="s">
        <v>5973</v>
      </c>
      <c r="H2059" s="6" t="s">
        <v>3</v>
      </c>
      <c r="I2059" s="6" t="s">
        <v>100</v>
      </c>
      <c r="J2059" s="6"/>
      <c r="K2059" s="6"/>
      <c r="L2059" s="6" t="s">
        <v>176</v>
      </c>
      <c r="M2059" s="6"/>
      <c r="N2059" s="6" t="s">
        <v>177</v>
      </c>
      <c r="O2059" s="6" t="str">
        <f>HYPERLINK("https://ceds.ed.gov/cedselementdetails.aspx?termid=5040")</f>
        <v>https://ceds.ed.gov/cedselementdetails.aspx?termid=5040</v>
      </c>
      <c r="P2059" s="6" t="str">
        <f>HYPERLINK("https://ceds.ed.gov/elementComment.aspx?elementName=Address City &amp;elementID=5040", "Click here to submit comment")</f>
        <v>Click here to submit comment</v>
      </c>
    </row>
    <row r="2060" spans="1:16" ht="409.5">
      <c r="A2060" s="6" t="s">
        <v>6869</v>
      </c>
      <c r="B2060" s="6" t="s">
        <v>6882</v>
      </c>
      <c r="C2060" s="6" t="s">
        <v>6720</v>
      </c>
      <c r="D2060" s="6" t="s">
        <v>5533</v>
      </c>
      <c r="E2060" s="6" t="s">
        <v>5534</v>
      </c>
      <c r="F2060" s="7" t="s">
        <v>6633</v>
      </c>
      <c r="G2060" s="6" t="s">
        <v>6324</v>
      </c>
      <c r="H2060" s="6" t="s">
        <v>3</v>
      </c>
      <c r="I2060" s="6"/>
      <c r="J2060" s="6"/>
      <c r="K2060" s="6"/>
      <c r="L2060" s="6" t="s">
        <v>5535</v>
      </c>
      <c r="M2060" s="6"/>
      <c r="N2060" s="6" t="s">
        <v>5536</v>
      </c>
      <c r="O2060" s="6" t="str">
        <f>HYPERLINK("https://ceds.ed.gov/cedselementdetails.aspx?termid=5267")</f>
        <v>https://ceds.ed.gov/cedselementdetails.aspx?termid=5267</v>
      </c>
      <c r="P2060" s="6" t="str">
        <f>HYPERLINK("https://ceds.ed.gov/elementComment.aspx?elementName=State Abbreviation &amp;elementID=5267", "Click here to submit comment")</f>
        <v>Click here to submit comment</v>
      </c>
    </row>
    <row r="2061" spans="1:16" ht="225">
      <c r="A2061" s="6" t="s">
        <v>6869</v>
      </c>
      <c r="B2061" s="6" t="s">
        <v>6882</v>
      </c>
      <c r="C2061" s="6" t="s">
        <v>6720</v>
      </c>
      <c r="D2061" s="6" t="s">
        <v>182</v>
      </c>
      <c r="E2061" s="6" t="s">
        <v>183</v>
      </c>
      <c r="F2061" s="6" t="s">
        <v>13</v>
      </c>
      <c r="G2061" s="6" t="s">
        <v>5973</v>
      </c>
      <c r="H2061" s="6" t="s">
        <v>3</v>
      </c>
      <c r="I2061" s="6" t="s">
        <v>184</v>
      </c>
      <c r="J2061" s="6"/>
      <c r="K2061" s="6"/>
      <c r="L2061" s="6" t="s">
        <v>185</v>
      </c>
      <c r="M2061" s="6"/>
      <c r="N2061" s="6" t="s">
        <v>186</v>
      </c>
      <c r="O2061" s="6" t="str">
        <f>HYPERLINK("https://ceds.ed.gov/cedselementdetails.aspx?termid=5214")</f>
        <v>https://ceds.ed.gov/cedselementdetails.aspx?termid=5214</v>
      </c>
      <c r="P2061" s="6" t="str">
        <f>HYPERLINK("https://ceds.ed.gov/elementComment.aspx?elementName=Address Postal Code &amp;elementID=5214", "Click here to submit comment")</f>
        <v>Click here to submit comment</v>
      </c>
    </row>
    <row r="2062" spans="1:16" ht="225">
      <c r="A2062" s="6" t="s">
        <v>6869</v>
      </c>
      <c r="B2062" s="6" t="s">
        <v>6882</v>
      </c>
      <c r="C2062" s="6" t="s">
        <v>6720</v>
      </c>
      <c r="D2062" s="6" t="s">
        <v>178</v>
      </c>
      <c r="E2062" s="6" t="s">
        <v>179</v>
      </c>
      <c r="F2062" s="6" t="s">
        <v>13</v>
      </c>
      <c r="G2062" s="6" t="s">
        <v>5973</v>
      </c>
      <c r="H2062" s="6" t="s">
        <v>3</v>
      </c>
      <c r="I2062" s="6" t="s">
        <v>100</v>
      </c>
      <c r="J2062" s="6"/>
      <c r="K2062" s="6"/>
      <c r="L2062" s="6" t="s">
        <v>180</v>
      </c>
      <c r="M2062" s="6"/>
      <c r="N2062" s="6" t="s">
        <v>181</v>
      </c>
      <c r="O2062" s="6" t="str">
        <f>HYPERLINK("https://ceds.ed.gov/cedselementdetails.aspx?termid=5190")</f>
        <v>https://ceds.ed.gov/cedselementdetails.aspx?termid=5190</v>
      </c>
      <c r="P2062" s="6" t="str">
        <f>HYPERLINK("https://ceds.ed.gov/elementComment.aspx?elementName=Address County Name &amp;elementID=5190", "Click here to submit comment")</f>
        <v>Click here to submit comment</v>
      </c>
    </row>
    <row r="2063" spans="1:16" ht="409.5">
      <c r="A2063" s="6" t="s">
        <v>6869</v>
      </c>
      <c r="B2063" s="6" t="s">
        <v>6882</v>
      </c>
      <c r="C2063" s="6" t="s">
        <v>6720</v>
      </c>
      <c r="D2063" s="6" t="s">
        <v>1809</v>
      </c>
      <c r="E2063" s="6" t="s">
        <v>1810</v>
      </c>
      <c r="F2063" s="7" t="s">
        <v>6433</v>
      </c>
      <c r="G2063" s="6" t="s">
        <v>6107</v>
      </c>
      <c r="H2063" s="6" t="s">
        <v>3</v>
      </c>
      <c r="I2063" s="6"/>
      <c r="J2063" s="6"/>
      <c r="K2063" s="6"/>
      <c r="L2063" s="6" t="s">
        <v>1811</v>
      </c>
      <c r="M2063" s="6"/>
      <c r="N2063" s="6" t="s">
        <v>1812</v>
      </c>
      <c r="O2063" s="6" t="str">
        <f>HYPERLINK("https://ceds.ed.gov/cedselementdetails.aspx?termid=5050")</f>
        <v>https://ceds.ed.gov/cedselementdetails.aspx?termid=5050</v>
      </c>
      <c r="P2063" s="6" t="str">
        <f>HYPERLINK("https://ceds.ed.gov/elementComment.aspx?elementName=Country Code &amp;elementID=5050", "Click here to submit comment")</f>
        <v>Click here to submit comment</v>
      </c>
    </row>
    <row r="2064" spans="1:16" ht="240">
      <c r="A2064" s="6" t="s">
        <v>6869</v>
      </c>
      <c r="B2064" s="6" t="s">
        <v>6882</v>
      </c>
      <c r="C2064" s="6" t="s">
        <v>6722</v>
      </c>
      <c r="D2064" s="6" t="s">
        <v>1474</v>
      </c>
      <c r="E2064" s="6" t="s">
        <v>1475</v>
      </c>
      <c r="F2064" s="6" t="s">
        <v>13</v>
      </c>
      <c r="G2064" s="6" t="s">
        <v>6080</v>
      </c>
      <c r="H2064" s="6" t="s">
        <v>3</v>
      </c>
      <c r="I2064" s="6" t="s">
        <v>73</v>
      </c>
      <c r="J2064" s="6"/>
      <c r="K2064" s="6"/>
      <c r="L2064" s="6" t="s">
        <v>1476</v>
      </c>
      <c r="M2064" s="6"/>
      <c r="N2064" s="6" t="s">
        <v>1474</v>
      </c>
      <c r="O2064" s="6" t="str">
        <f>HYPERLINK("https://ceds.ed.gov/cedselementdetails.aspx?termid=5033")</f>
        <v>https://ceds.ed.gov/cedselementdetails.aspx?termid=5033</v>
      </c>
      <c r="P2064" s="6" t="str">
        <f>HYPERLINK("https://ceds.ed.gov/elementComment.aspx?elementName=Birthdate &amp;elementID=5033", "Click here to submit comment")</f>
        <v>Click here to submit comment</v>
      </c>
    </row>
    <row r="2065" spans="1:16" ht="255">
      <c r="A2065" s="6" t="s">
        <v>6869</v>
      </c>
      <c r="B2065" s="6" t="s">
        <v>6882</v>
      </c>
      <c r="C2065" s="6" t="s">
        <v>6722</v>
      </c>
      <c r="D2065" s="6" t="s">
        <v>5353</v>
      </c>
      <c r="E2065" s="6" t="s">
        <v>5354</v>
      </c>
      <c r="F2065" s="7" t="s">
        <v>6656</v>
      </c>
      <c r="G2065" s="6" t="s">
        <v>6312</v>
      </c>
      <c r="H2065" s="6" t="s">
        <v>3</v>
      </c>
      <c r="I2065" s="6"/>
      <c r="J2065" s="6"/>
      <c r="K2065" s="6" t="s">
        <v>5355</v>
      </c>
      <c r="L2065" s="6" t="s">
        <v>5356</v>
      </c>
      <c r="M2065" s="6"/>
      <c r="N2065" s="6" t="s">
        <v>5353</v>
      </c>
      <c r="O2065" s="6" t="str">
        <f>HYPERLINK("https://ceds.ed.gov/cedselementdetails.aspx?termid=5255")</f>
        <v>https://ceds.ed.gov/cedselementdetails.aspx?termid=5255</v>
      </c>
      <c r="P2065" s="6" t="str">
        <f>HYPERLINK("https://ceds.ed.gov/elementComment.aspx?elementName=Sex &amp;elementID=5255", "Click here to submit comment")</f>
        <v>Click here to submit comment</v>
      </c>
    </row>
    <row r="2066" spans="1:16" ht="225">
      <c r="A2066" s="6" t="s">
        <v>6869</v>
      </c>
      <c r="B2066" s="6" t="s">
        <v>6882</v>
      </c>
      <c r="C2066" s="6" t="s">
        <v>6722</v>
      </c>
      <c r="D2066" s="6" t="s">
        <v>351</v>
      </c>
      <c r="E2066" s="6" t="s">
        <v>352</v>
      </c>
      <c r="F2066" s="7" t="s">
        <v>6373</v>
      </c>
      <c r="G2066" s="6" t="s">
        <v>5986</v>
      </c>
      <c r="H2066" s="6"/>
      <c r="I2066" s="6"/>
      <c r="J2066" s="6"/>
      <c r="K2066" s="6" t="s">
        <v>353</v>
      </c>
      <c r="L2066" s="6" t="s">
        <v>354</v>
      </c>
      <c r="M2066" s="6"/>
      <c r="N2066" s="6" t="s">
        <v>355</v>
      </c>
      <c r="O2066" s="6" t="str">
        <f>HYPERLINK("https://ceds.ed.gov/cedselementdetails.aspx?termid=5655")</f>
        <v>https://ceds.ed.gov/cedselementdetails.aspx?termid=5655</v>
      </c>
      <c r="P2066" s="6" t="str">
        <f>HYPERLINK("https://ceds.ed.gov/elementComment.aspx?elementName=American Indian or Alaska Native &amp;elementID=5655", "Click here to submit comment")</f>
        <v>Click here to submit comment</v>
      </c>
    </row>
    <row r="2067" spans="1:16" ht="225">
      <c r="A2067" s="6" t="s">
        <v>6869</v>
      </c>
      <c r="B2067" s="6" t="s">
        <v>6882</v>
      </c>
      <c r="C2067" s="6" t="s">
        <v>6722</v>
      </c>
      <c r="D2067" s="6" t="s">
        <v>392</v>
      </c>
      <c r="E2067" s="6" t="s">
        <v>393</v>
      </c>
      <c r="F2067" s="7" t="s">
        <v>6373</v>
      </c>
      <c r="G2067" s="6" t="s">
        <v>5986</v>
      </c>
      <c r="H2067" s="6"/>
      <c r="I2067" s="6"/>
      <c r="J2067" s="6"/>
      <c r="K2067" s="6" t="s">
        <v>353</v>
      </c>
      <c r="L2067" s="6" t="s">
        <v>394</v>
      </c>
      <c r="M2067" s="6"/>
      <c r="N2067" s="6" t="s">
        <v>392</v>
      </c>
      <c r="O2067" s="6" t="str">
        <f>HYPERLINK("https://ceds.ed.gov/cedselementdetails.aspx?termid=5656")</f>
        <v>https://ceds.ed.gov/cedselementdetails.aspx?termid=5656</v>
      </c>
      <c r="P2067" s="6" t="str">
        <f>HYPERLINK("https://ceds.ed.gov/elementComment.aspx?elementName=Asian &amp;elementID=5656", "Click here to submit comment")</f>
        <v>Click here to submit comment</v>
      </c>
    </row>
    <row r="2068" spans="1:16" ht="225">
      <c r="A2068" s="6" t="s">
        <v>6869</v>
      </c>
      <c r="B2068" s="6" t="s">
        <v>6882</v>
      </c>
      <c r="C2068" s="6" t="s">
        <v>6722</v>
      </c>
      <c r="D2068" s="6" t="s">
        <v>1483</v>
      </c>
      <c r="E2068" s="6" t="s">
        <v>1484</v>
      </c>
      <c r="F2068" s="7" t="s">
        <v>6373</v>
      </c>
      <c r="G2068" s="6" t="s">
        <v>5986</v>
      </c>
      <c r="H2068" s="6"/>
      <c r="I2068" s="6"/>
      <c r="J2068" s="6"/>
      <c r="K2068" s="6" t="s">
        <v>353</v>
      </c>
      <c r="L2068" s="6" t="s">
        <v>1485</v>
      </c>
      <c r="M2068" s="6"/>
      <c r="N2068" s="6" t="s">
        <v>1486</v>
      </c>
      <c r="O2068" s="6" t="str">
        <f>HYPERLINK("https://ceds.ed.gov/cedselementdetails.aspx?termid=5657")</f>
        <v>https://ceds.ed.gov/cedselementdetails.aspx?termid=5657</v>
      </c>
      <c r="P2068" s="6" t="str">
        <f>HYPERLINK("https://ceds.ed.gov/elementComment.aspx?elementName=Black or African American &amp;elementID=5657", "Click here to submit comment")</f>
        <v>Click here to submit comment</v>
      </c>
    </row>
    <row r="2069" spans="1:16" ht="225">
      <c r="A2069" s="6" t="s">
        <v>6869</v>
      </c>
      <c r="B2069" s="6" t="s">
        <v>6882</v>
      </c>
      <c r="C2069" s="6" t="s">
        <v>6722</v>
      </c>
      <c r="D2069" s="6" t="s">
        <v>4202</v>
      </c>
      <c r="E2069" s="6" t="s">
        <v>4203</v>
      </c>
      <c r="F2069" s="7" t="s">
        <v>6373</v>
      </c>
      <c r="G2069" s="6" t="s">
        <v>5986</v>
      </c>
      <c r="H2069" s="6"/>
      <c r="I2069" s="6"/>
      <c r="J2069" s="6"/>
      <c r="K2069" s="6" t="s">
        <v>353</v>
      </c>
      <c r="L2069" s="6" t="s">
        <v>4204</v>
      </c>
      <c r="M2069" s="6"/>
      <c r="N2069" s="6" t="s">
        <v>4205</v>
      </c>
      <c r="O2069" s="6" t="str">
        <f>HYPERLINK("https://ceds.ed.gov/cedselementdetails.aspx?termid=5658")</f>
        <v>https://ceds.ed.gov/cedselementdetails.aspx?termid=5658</v>
      </c>
      <c r="P2069" s="6" t="str">
        <f>HYPERLINK("https://ceds.ed.gov/elementComment.aspx?elementName=Native Hawaiian or Other Pacific Islander &amp;elementID=5658", "Click here to submit comment")</f>
        <v>Click here to submit comment</v>
      </c>
    </row>
    <row r="2070" spans="1:16" ht="225">
      <c r="A2070" s="6" t="s">
        <v>6869</v>
      </c>
      <c r="B2070" s="6" t="s">
        <v>6882</v>
      </c>
      <c r="C2070" s="6" t="s">
        <v>6722</v>
      </c>
      <c r="D2070" s="6" t="s">
        <v>5925</v>
      </c>
      <c r="E2070" s="6" t="s">
        <v>5926</v>
      </c>
      <c r="F2070" s="7" t="s">
        <v>6373</v>
      </c>
      <c r="G2070" s="6" t="s">
        <v>5986</v>
      </c>
      <c r="H2070" s="6"/>
      <c r="I2070" s="6"/>
      <c r="J2070" s="6"/>
      <c r="K2070" s="6" t="s">
        <v>353</v>
      </c>
      <c r="L2070" s="6" t="s">
        <v>5927</v>
      </c>
      <c r="M2070" s="6"/>
      <c r="N2070" s="6" t="s">
        <v>5925</v>
      </c>
      <c r="O2070" s="6" t="str">
        <f>HYPERLINK("https://ceds.ed.gov/cedselementdetails.aspx?termid=5659")</f>
        <v>https://ceds.ed.gov/cedselementdetails.aspx?termid=5659</v>
      </c>
      <c r="P2070" s="6" t="str">
        <f>HYPERLINK("https://ceds.ed.gov/elementComment.aspx?elementName=White &amp;elementID=5659", "Click here to submit comment")</f>
        <v>Click here to submit comment</v>
      </c>
    </row>
    <row r="2071" spans="1:16" ht="225">
      <c r="A2071" s="6" t="s">
        <v>6869</v>
      </c>
      <c r="B2071" s="6" t="s">
        <v>6882</v>
      </c>
      <c r="C2071" s="6" t="s">
        <v>6722</v>
      </c>
      <c r="D2071" s="6" t="s">
        <v>2985</v>
      </c>
      <c r="E2071" s="6" t="s">
        <v>2986</v>
      </c>
      <c r="F2071" s="7" t="s">
        <v>6373</v>
      </c>
      <c r="G2071" s="6" t="s">
        <v>5986</v>
      </c>
      <c r="H2071" s="6"/>
      <c r="I2071" s="6"/>
      <c r="J2071" s="6"/>
      <c r="K2071" s="6" t="s">
        <v>353</v>
      </c>
      <c r="L2071" s="6" t="s">
        <v>2987</v>
      </c>
      <c r="M2071" s="6"/>
      <c r="N2071" s="6" t="s">
        <v>2988</v>
      </c>
      <c r="O2071" s="6" t="str">
        <f>HYPERLINK("https://ceds.ed.gov/cedselementdetails.aspx?termid=5144")</f>
        <v>https://ceds.ed.gov/cedselementdetails.aspx?termid=5144</v>
      </c>
      <c r="P2071" s="6" t="str">
        <f>HYPERLINK("https://ceds.ed.gov/elementComment.aspx?elementName=Hispanic or Latino Ethnicity &amp;elementID=5144", "Click here to submit comment")</f>
        <v>Click here to submit comment</v>
      </c>
    </row>
    <row r="2072" spans="1:16" ht="135">
      <c r="A2072" s="6" t="s">
        <v>6869</v>
      </c>
      <c r="B2072" s="6" t="s">
        <v>6882</v>
      </c>
      <c r="C2072" s="6" t="s">
        <v>6722</v>
      </c>
      <c r="D2072" s="6" t="s">
        <v>5867</v>
      </c>
      <c r="E2072" s="6" t="s">
        <v>5868</v>
      </c>
      <c r="F2072" s="7" t="s">
        <v>6689</v>
      </c>
      <c r="G2072" s="6" t="s">
        <v>6340</v>
      </c>
      <c r="H2072" s="6"/>
      <c r="I2072" s="6"/>
      <c r="J2072" s="6"/>
      <c r="K2072" s="6" t="s">
        <v>5355</v>
      </c>
      <c r="L2072" s="6" t="s">
        <v>5869</v>
      </c>
      <c r="M2072" s="6"/>
      <c r="N2072" s="6" t="s">
        <v>5870</v>
      </c>
      <c r="O2072" s="6" t="str">
        <f>HYPERLINK("https://ceds.ed.gov/cedselementdetails.aspx?termid=5299")</f>
        <v>https://ceds.ed.gov/cedselementdetails.aspx?termid=5299</v>
      </c>
      <c r="P2072" s="6" t="str">
        <f>HYPERLINK("https://ceds.ed.gov/elementComment.aspx?elementName=United States Citizenship Status &amp;elementID=5299", "Click here to submit comment")</f>
        <v>Click here to submit comment</v>
      </c>
    </row>
    <row r="2073" spans="1:16" ht="210">
      <c r="A2073" s="6" t="s">
        <v>6869</v>
      </c>
      <c r="B2073" s="6" t="s">
        <v>6882</v>
      </c>
      <c r="C2073" s="6" t="s">
        <v>6770</v>
      </c>
      <c r="D2073" s="6" t="s">
        <v>2980</v>
      </c>
      <c r="E2073" s="6" t="s">
        <v>2981</v>
      </c>
      <c r="F2073" s="6" t="s">
        <v>13</v>
      </c>
      <c r="G2073" s="6" t="s">
        <v>6197</v>
      </c>
      <c r="H2073" s="6" t="s">
        <v>3</v>
      </c>
      <c r="I2073" s="6" t="s">
        <v>73</v>
      </c>
      <c r="J2073" s="6"/>
      <c r="K2073" s="6" t="s">
        <v>2982</v>
      </c>
      <c r="L2073" s="6" t="s">
        <v>2983</v>
      </c>
      <c r="M2073" s="6"/>
      <c r="N2073" s="6" t="s">
        <v>2984</v>
      </c>
      <c r="O2073" s="6" t="str">
        <f>HYPERLINK("https://ceds.ed.gov/cedselementdetails.aspx?termid=5143")</f>
        <v>https://ceds.ed.gov/cedselementdetails.aspx?termid=5143</v>
      </c>
      <c r="P2073" s="6" t="str">
        <f>HYPERLINK("https://ceds.ed.gov/elementComment.aspx?elementName=Hire Date &amp;elementID=5143", "Click here to submit comment")</f>
        <v>Click here to submit comment</v>
      </c>
    </row>
    <row r="2074" spans="1:16" ht="405">
      <c r="A2074" s="6" t="s">
        <v>6869</v>
      </c>
      <c r="B2074" s="6" t="s">
        <v>6882</v>
      </c>
      <c r="C2074" s="6" t="s">
        <v>6770</v>
      </c>
      <c r="D2074" s="6" t="s">
        <v>2628</v>
      </c>
      <c r="E2074" s="6" t="s">
        <v>2629</v>
      </c>
      <c r="F2074" s="6" t="s">
        <v>5963</v>
      </c>
      <c r="G2074" s="6" t="s">
        <v>36</v>
      </c>
      <c r="H2074" s="6"/>
      <c r="I2074" s="6"/>
      <c r="J2074" s="6"/>
      <c r="K2074" s="6" t="s">
        <v>2630</v>
      </c>
      <c r="L2074" s="6" t="s">
        <v>2631</v>
      </c>
      <c r="M2074" s="6"/>
      <c r="N2074" s="6" t="s">
        <v>2632</v>
      </c>
      <c r="O2074" s="6" t="str">
        <f>HYPERLINK("https://ceds.ed.gov/cedselementdetails.aspx?termid=5711")</f>
        <v>https://ceds.ed.gov/cedselementdetails.aspx?termid=5711</v>
      </c>
      <c r="P2074" s="6" t="str">
        <f>HYPERLINK("https://ceds.ed.gov/elementComment.aspx?elementName=Faculty Status &amp;elementID=5711", "Click here to submit comment")</f>
        <v>Click here to submit comment</v>
      </c>
    </row>
    <row r="2075" spans="1:16" ht="180">
      <c r="A2075" s="6" t="s">
        <v>6869</v>
      </c>
      <c r="B2075" s="6" t="s">
        <v>6882</v>
      </c>
      <c r="C2075" s="6" t="s">
        <v>6770</v>
      </c>
      <c r="D2075" s="6" t="s">
        <v>2815</v>
      </c>
      <c r="E2075" s="6" t="s">
        <v>2816</v>
      </c>
      <c r="F2075" s="6" t="s">
        <v>6178</v>
      </c>
      <c r="G2075" s="6" t="s">
        <v>36</v>
      </c>
      <c r="H2075" s="6"/>
      <c r="I2075" s="6"/>
      <c r="J2075" s="6"/>
      <c r="K2075" s="6" t="s">
        <v>2817</v>
      </c>
      <c r="L2075" s="6" t="s">
        <v>2818</v>
      </c>
      <c r="M2075" s="6"/>
      <c r="N2075" s="6" t="s">
        <v>2819</v>
      </c>
      <c r="O2075" s="6" t="str">
        <f>HYPERLINK("https://ceds.ed.gov/cedselementdetails.aspx?termid=5713")</f>
        <v>https://ceds.ed.gov/cedselementdetails.aspx?termid=5713</v>
      </c>
      <c r="P2075" s="6" t="str">
        <f>HYPERLINK("https://ceds.ed.gov/elementComment.aspx?elementName=Full-time Status &amp;elementID=5713", "Click here to submit comment")</f>
        <v>Click here to submit comment</v>
      </c>
    </row>
    <row r="2076" spans="1:16" ht="105">
      <c r="A2076" s="6" t="s">
        <v>6869</v>
      </c>
      <c r="B2076" s="6" t="s">
        <v>6882</v>
      </c>
      <c r="C2076" s="6" t="s">
        <v>6770</v>
      </c>
      <c r="D2076" s="6" t="s">
        <v>1783</v>
      </c>
      <c r="E2076" s="6" t="s">
        <v>1784</v>
      </c>
      <c r="F2076" s="7" t="s">
        <v>6429</v>
      </c>
      <c r="G2076" s="6" t="s">
        <v>36</v>
      </c>
      <c r="H2076" s="6"/>
      <c r="I2076" s="6"/>
      <c r="J2076" s="6"/>
      <c r="K2076" s="6" t="s">
        <v>1785</v>
      </c>
      <c r="L2076" s="6" t="s">
        <v>1786</v>
      </c>
      <c r="M2076" s="6"/>
      <c r="N2076" s="6" t="s">
        <v>1787</v>
      </c>
      <c r="O2076" s="6" t="str">
        <f>HYPERLINK("https://ceds.ed.gov/cedselementdetails.aspx?termid=5714")</f>
        <v>https://ceds.ed.gov/cedselementdetails.aspx?termid=5714</v>
      </c>
      <c r="P2076" s="6" t="str">
        <f>HYPERLINK("https://ceds.ed.gov/elementComment.aspx?elementName=Contract Type &amp;elementID=5714", "Click here to submit comment")</f>
        <v>Click here to submit comment</v>
      </c>
    </row>
    <row r="2077" spans="1:16" ht="120">
      <c r="A2077" s="6" t="s">
        <v>6869</v>
      </c>
      <c r="B2077" s="6" t="s">
        <v>6882</v>
      </c>
      <c r="C2077" s="6" t="s">
        <v>6770</v>
      </c>
      <c r="D2077" s="6" t="s">
        <v>5519</v>
      </c>
      <c r="E2077" s="6" t="s">
        <v>5520</v>
      </c>
      <c r="F2077" s="6" t="s">
        <v>13</v>
      </c>
      <c r="G2077" s="6" t="s">
        <v>36</v>
      </c>
      <c r="H2077" s="6"/>
      <c r="I2077" s="6" t="s">
        <v>5521</v>
      </c>
      <c r="J2077" s="6"/>
      <c r="K2077" s="6"/>
      <c r="L2077" s="6" t="s">
        <v>5522</v>
      </c>
      <c r="M2077" s="6"/>
      <c r="N2077" s="6" t="s">
        <v>5523</v>
      </c>
      <c r="O2077" s="6" t="str">
        <f>HYPERLINK("https://ceds.ed.gov/cedselementdetails.aspx?termid=5707")</f>
        <v>https://ceds.ed.gov/cedselementdetails.aspx?termid=5707</v>
      </c>
      <c r="P2077" s="6" t="str">
        <f>HYPERLINK("https://ceds.ed.gov/elementComment.aspx?elementName=Standard Occupational Classification &amp;elementID=5707", "Click here to submit comment")</f>
        <v>Click here to submit comment</v>
      </c>
    </row>
    <row r="2078" spans="1:16" ht="409.5">
      <c r="A2078" s="6" t="s">
        <v>6869</v>
      </c>
      <c r="B2078" s="6" t="s">
        <v>6882</v>
      </c>
      <c r="C2078" s="6" t="s">
        <v>6770</v>
      </c>
      <c r="D2078" s="6" t="s">
        <v>3379</v>
      </c>
      <c r="E2078" s="6" t="s">
        <v>3380</v>
      </c>
      <c r="F2078" s="7" t="s">
        <v>6559</v>
      </c>
      <c r="G2078" s="6" t="s">
        <v>36</v>
      </c>
      <c r="H2078" s="6"/>
      <c r="I2078" s="6"/>
      <c r="J2078" s="6"/>
      <c r="K2078" s="6" t="s">
        <v>3381</v>
      </c>
      <c r="L2078" s="6" t="s">
        <v>3382</v>
      </c>
      <c r="M2078" s="6"/>
      <c r="N2078" s="6" t="s">
        <v>3383</v>
      </c>
      <c r="O2078" s="6" t="str">
        <f>HYPERLINK("https://ceds.ed.gov/cedselementdetails.aspx?termid=5708")</f>
        <v>https://ceds.ed.gov/cedselementdetails.aspx?termid=5708</v>
      </c>
      <c r="P2078" s="6" t="str">
        <f>HYPERLINK("https://ceds.ed.gov/elementComment.aspx?elementName=IPEDS Occupational Category &amp;elementID=5708", "Click here to submit comment")</f>
        <v>Click here to submit comment</v>
      </c>
    </row>
    <row r="2079" spans="1:16" ht="90">
      <c r="A2079" s="6" t="s">
        <v>6869</v>
      </c>
      <c r="B2079" s="6" t="s">
        <v>6882</v>
      </c>
      <c r="C2079" s="6" t="s">
        <v>6770</v>
      </c>
      <c r="D2079" s="6" t="s">
        <v>3335</v>
      </c>
      <c r="E2079" s="6" t="s">
        <v>3336</v>
      </c>
      <c r="F2079" s="6" t="s">
        <v>5963</v>
      </c>
      <c r="G2079" s="6"/>
      <c r="H2079" s="6"/>
      <c r="I2079" s="6"/>
      <c r="J2079" s="6"/>
      <c r="K2079" s="6" t="s">
        <v>2630</v>
      </c>
      <c r="L2079" s="6" t="s">
        <v>3337</v>
      </c>
      <c r="M2079" s="6"/>
      <c r="N2079" s="6" t="s">
        <v>3338</v>
      </c>
      <c r="O2079" s="6" t="str">
        <f>HYPERLINK("https://ceds.ed.gov/cedselementdetails.aspx?termid=5709")</f>
        <v>https://ceds.ed.gov/cedselementdetails.aspx?termid=5709</v>
      </c>
      <c r="P2079" s="6" t="str">
        <f>HYPERLINK("https://ceds.ed.gov/elementComment.aspx?elementName=Instructional Staff Status &amp;elementID=5709", "Click here to submit comment")</f>
        <v>Click here to submit comment</v>
      </c>
    </row>
    <row r="2080" spans="1:16" ht="180">
      <c r="A2080" s="6" t="s">
        <v>6869</v>
      </c>
      <c r="B2080" s="6" t="s">
        <v>6882</v>
      </c>
      <c r="C2080" s="6" t="s">
        <v>6770</v>
      </c>
      <c r="D2080" s="6" t="s">
        <v>4074</v>
      </c>
      <c r="E2080" s="6" t="s">
        <v>4075</v>
      </c>
      <c r="F2080" s="6" t="s">
        <v>5963</v>
      </c>
      <c r="G2080" s="6" t="s">
        <v>36</v>
      </c>
      <c r="H2080" s="6"/>
      <c r="I2080" s="6"/>
      <c r="J2080" s="6"/>
      <c r="K2080" s="6" t="s">
        <v>2630</v>
      </c>
      <c r="L2080" s="6" t="s">
        <v>4076</v>
      </c>
      <c r="M2080" s="6"/>
      <c r="N2080" s="6" t="s">
        <v>4077</v>
      </c>
      <c r="O2080" s="6" t="str">
        <f>HYPERLINK("https://ceds.ed.gov/cedselementdetails.aspx?termid=5710")</f>
        <v>https://ceds.ed.gov/cedselementdetails.aspx?termid=5710</v>
      </c>
      <c r="P2080" s="6" t="str">
        <f>HYPERLINK("https://ceds.ed.gov/elementComment.aspx?elementName=Medical School Staff Status &amp;elementID=5710", "Click here to submit comment")</f>
        <v>Click here to submit comment</v>
      </c>
    </row>
    <row r="2081" spans="1:16" ht="105">
      <c r="A2081" s="6" t="s">
        <v>6869</v>
      </c>
      <c r="B2081" s="6" t="s">
        <v>6882</v>
      </c>
      <c r="C2081" s="6" t="s">
        <v>6770</v>
      </c>
      <c r="D2081" s="6" t="s">
        <v>3326</v>
      </c>
      <c r="E2081" s="6" t="s">
        <v>3327</v>
      </c>
      <c r="F2081" s="7" t="s">
        <v>6555</v>
      </c>
      <c r="G2081" s="6" t="s">
        <v>36</v>
      </c>
      <c r="H2081" s="6"/>
      <c r="I2081" s="6"/>
      <c r="J2081" s="6"/>
      <c r="K2081" s="6" t="s">
        <v>3328</v>
      </c>
      <c r="L2081" s="6" t="s">
        <v>3329</v>
      </c>
      <c r="M2081" s="6"/>
      <c r="N2081" s="6" t="s">
        <v>3330</v>
      </c>
      <c r="O2081" s="6" t="str">
        <f>HYPERLINK("https://ceds.ed.gov/cedselementdetails.aspx?termid=5712")</f>
        <v>https://ceds.ed.gov/cedselementdetails.aspx?termid=5712</v>
      </c>
      <c r="P2081" s="6" t="str">
        <f>HYPERLINK("https://ceds.ed.gov/elementComment.aspx?elementName=Instructional Staff Contract Length &amp;elementID=5712", "Click here to submit comment")</f>
        <v>Click here to submit comment</v>
      </c>
    </row>
    <row r="2082" spans="1:16" ht="120">
      <c r="A2082" s="6" t="s">
        <v>6869</v>
      </c>
      <c r="B2082" s="6" t="s">
        <v>6882</v>
      </c>
      <c r="C2082" s="6" t="s">
        <v>6770</v>
      </c>
      <c r="D2082" s="6" t="s">
        <v>3331</v>
      </c>
      <c r="E2082" s="6" t="s">
        <v>3332</v>
      </c>
      <c r="F2082" s="7" t="s">
        <v>6556</v>
      </c>
      <c r="G2082" s="6" t="s">
        <v>36</v>
      </c>
      <c r="H2082" s="6"/>
      <c r="I2082" s="6"/>
      <c r="J2082" s="6"/>
      <c r="K2082" s="6" t="s">
        <v>1785</v>
      </c>
      <c r="L2082" s="6" t="s">
        <v>3333</v>
      </c>
      <c r="M2082" s="6"/>
      <c r="N2082" s="6" t="s">
        <v>3334</v>
      </c>
      <c r="O2082" s="6" t="str">
        <f>HYPERLINK("https://ceds.ed.gov/cedselementdetails.aspx?termid=5716")</f>
        <v>https://ceds.ed.gov/cedselementdetails.aspx?termid=5716</v>
      </c>
      <c r="P2082" s="6" t="str">
        <f>HYPERLINK("https://ceds.ed.gov/elementComment.aspx?elementName=Instructional Staff Faculty Tenure Status &amp;elementID=5716", "Click here to submit comment")</f>
        <v>Click here to submit comment</v>
      </c>
    </row>
    <row r="2083" spans="1:16" ht="150">
      <c r="A2083" s="6" t="s">
        <v>6869</v>
      </c>
      <c r="B2083" s="6" t="s">
        <v>6882</v>
      </c>
      <c r="C2083" s="6" t="s">
        <v>6770</v>
      </c>
      <c r="D2083" s="6" t="s">
        <v>33</v>
      </c>
      <c r="E2083" s="6" t="s">
        <v>34</v>
      </c>
      <c r="F2083" s="7" t="s">
        <v>6348</v>
      </c>
      <c r="G2083" s="6" t="s">
        <v>36</v>
      </c>
      <c r="H2083" s="6"/>
      <c r="I2083" s="6"/>
      <c r="J2083" s="6"/>
      <c r="K2083" s="6" t="s">
        <v>37</v>
      </c>
      <c r="L2083" s="6" t="s">
        <v>38</v>
      </c>
      <c r="M2083" s="6"/>
      <c r="N2083" s="6" t="s">
        <v>39</v>
      </c>
      <c r="O2083" s="6" t="str">
        <f>HYPERLINK("https://ceds.ed.gov/cedselementdetails.aspx?termid=5717")</f>
        <v>https://ceds.ed.gov/cedselementdetails.aspx?termid=5717</v>
      </c>
      <c r="P2083" s="6" t="str">
        <f>HYPERLINK("https://ceds.ed.gov/elementComment.aspx?elementName=Academic Rank &amp;elementID=5717", "Click here to submit comment")</f>
        <v>Click here to submit comment</v>
      </c>
    </row>
    <row r="2084" spans="1:16" ht="120">
      <c r="A2084" s="6" t="s">
        <v>6869</v>
      </c>
      <c r="B2084" s="6" t="s">
        <v>6882</v>
      </c>
      <c r="C2084" s="6" t="s">
        <v>6770</v>
      </c>
      <c r="D2084" s="6" t="s">
        <v>3297</v>
      </c>
      <c r="E2084" s="6" t="s">
        <v>3298</v>
      </c>
      <c r="F2084" s="7" t="s">
        <v>6554</v>
      </c>
      <c r="G2084" s="6" t="s">
        <v>36</v>
      </c>
      <c r="H2084" s="6"/>
      <c r="I2084" s="6"/>
      <c r="J2084" s="6"/>
      <c r="K2084" s="6" t="s">
        <v>3299</v>
      </c>
      <c r="L2084" s="6" t="s">
        <v>3300</v>
      </c>
      <c r="M2084" s="6"/>
      <c r="N2084" s="6" t="s">
        <v>3301</v>
      </c>
      <c r="O2084" s="6" t="str">
        <f>HYPERLINK("https://ceds.ed.gov/cedselementdetails.aspx?termid=5719")</f>
        <v>https://ceds.ed.gov/cedselementdetails.aspx?termid=5719</v>
      </c>
      <c r="P2084" s="6" t="str">
        <f>HYPERLINK("https://ceds.ed.gov/elementComment.aspx?elementName=Instruction Credit Type &amp;elementID=5719", "Click here to submit comment")</f>
        <v>Click here to submit comment</v>
      </c>
    </row>
    <row r="2085" spans="1:16" ht="150">
      <c r="A2085" s="6" t="s">
        <v>6869</v>
      </c>
      <c r="B2085" s="6" t="s">
        <v>6882</v>
      </c>
      <c r="C2085" s="6" t="s">
        <v>6770</v>
      </c>
      <c r="D2085" s="6" t="s">
        <v>2899</v>
      </c>
      <c r="E2085" s="6" t="s">
        <v>2900</v>
      </c>
      <c r="F2085" s="6" t="s">
        <v>5963</v>
      </c>
      <c r="G2085" s="6" t="s">
        <v>36</v>
      </c>
      <c r="H2085" s="6"/>
      <c r="I2085" s="6"/>
      <c r="J2085" s="6"/>
      <c r="K2085" s="6" t="s">
        <v>358</v>
      </c>
      <c r="L2085" s="6" t="s">
        <v>2901</v>
      </c>
      <c r="M2085" s="6"/>
      <c r="N2085" s="6" t="s">
        <v>2902</v>
      </c>
      <c r="O2085" s="6" t="str">
        <f>HYPERLINK("https://ceds.ed.gov/cedselementdetails.aspx?termid=5720")</f>
        <v>https://ceds.ed.gov/cedselementdetails.aspx?termid=5720</v>
      </c>
      <c r="P2085" s="6" t="str">
        <f>HYPERLINK("https://ceds.ed.gov/elementComment.aspx?elementName=Graduate Assistant Status &amp;elementID=5720", "Click here to submit comment")</f>
        <v>Click here to submit comment</v>
      </c>
    </row>
    <row r="2086" spans="1:16" ht="270">
      <c r="A2086" s="6" t="s">
        <v>6869</v>
      </c>
      <c r="B2086" s="6" t="s">
        <v>6882</v>
      </c>
      <c r="C2086" s="6" t="s">
        <v>6770</v>
      </c>
      <c r="D2086" s="6" t="s">
        <v>2895</v>
      </c>
      <c r="E2086" s="6" t="s">
        <v>2896</v>
      </c>
      <c r="F2086" s="7" t="s">
        <v>6523</v>
      </c>
      <c r="G2086" s="6" t="s">
        <v>36</v>
      </c>
      <c r="H2086" s="6"/>
      <c r="I2086" s="6"/>
      <c r="J2086" s="6"/>
      <c r="K2086" s="6" t="s">
        <v>1785</v>
      </c>
      <c r="L2086" s="6" t="s">
        <v>2897</v>
      </c>
      <c r="M2086" s="6"/>
      <c r="N2086" s="6" t="s">
        <v>2898</v>
      </c>
      <c r="O2086" s="6" t="str">
        <f>HYPERLINK("https://ceds.ed.gov/cedselementdetails.aspx?termid=5721")</f>
        <v>https://ceds.ed.gov/cedselementdetails.aspx?termid=5721</v>
      </c>
      <c r="P2086" s="6" t="str">
        <f>HYPERLINK("https://ceds.ed.gov/elementComment.aspx?elementName=Graduate Assistant IPEDS Occupation Category &amp;elementID=5721", "Click here to submit comment")</f>
        <v>Click here to submit comment</v>
      </c>
    </row>
    <row r="2087" spans="1:16" ht="30">
      <c r="A2087" s="6" t="s">
        <v>6869</v>
      </c>
      <c r="B2087" s="6" t="s">
        <v>6882</v>
      </c>
      <c r="C2087" s="6" t="s">
        <v>6770</v>
      </c>
      <c r="D2087" s="6" t="s">
        <v>356</v>
      </c>
      <c r="E2087" s="6" t="s">
        <v>357</v>
      </c>
      <c r="F2087" s="6" t="s">
        <v>13</v>
      </c>
      <c r="G2087" s="6" t="s">
        <v>36</v>
      </c>
      <c r="H2087" s="6"/>
      <c r="I2087" s="6" t="s">
        <v>308</v>
      </c>
      <c r="J2087" s="6"/>
      <c r="K2087" s="6" t="s">
        <v>358</v>
      </c>
      <c r="L2087" s="6" t="s">
        <v>359</v>
      </c>
      <c r="M2087" s="6"/>
      <c r="N2087" s="6" t="s">
        <v>360</v>
      </c>
      <c r="O2087" s="6" t="str">
        <f>HYPERLINK("https://ceds.ed.gov/cedselementdetails.aspx?termid=5722")</f>
        <v>https://ceds.ed.gov/cedselementdetails.aspx?termid=5722</v>
      </c>
      <c r="P2087" s="6" t="str">
        <f>HYPERLINK("https://ceds.ed.gov/elementComment.aspx?elementName=Annual Base Contractual Salary &amp;elementID=5722", "Click here to submit comment")</f>
        <v>Click here to submit comment</v>
      </c>
    </row>
    <row r="2088" spans="1:16" ht="60">
      <c r="A2088" s="6" t="s">
        <v>6869</v>
      </c>
      <c r="B2088" s="6" t="s">
        <v>6882</v>
      </c>
      <c r="C2088" s="6" t="s">
        <v>6770</v>
      </c>
      <c r="D2088" s="6" t="s">
        <v>2492</v>
      </c>
      <c r="E2088" s="6" t="s">
        <v>2493</v>
      </c>
      <c r="F2088" s="6" t="s">
        <v>13</v>
      </c>
      <c r="G2088" s="6" t="s">
        <v>202</v>
      </c>
      <c r="H2088" s="6" t="s">
        <v>3</v>
      </c>
      <c r="I2088" s="6" t="s">
        <v>73</v>
      </c>
      <c r="J2088" s="6"/>
      <c r="K2088" s="6"/>
      <c r="L2088" s="6" t="s">
        <v>2494</v>
      </c>
      <c r="M2088" s="6"/>
      <c r="N2088" s="6" t="s">
        <v>2495</v>
      </c>
      <c r="O2088" s="6" t="str">
        <f>HYPERLINK("https://ceds.ed.gov/cedselementdetails.aspx?termid=5794")</f>
        <v>https://ceds.ed.gov/cedselementdetails.aspx?termid=5794</v>
      </c>
      <c r="P2088" s="6" t="str">
        <f>HYPERLINK("https://ceds.ed.gov/elementComment.aspx?elementName=Employment End Date &amp;elementID=5794", "Click here to submit comment")</f>
        <v>Click here to submit comment</v>
      </c>
    </row>
    <row r="2089" spans="1:16" ht="60">
      <c r="A2089" s="6" t="s">
        <v>6869</v>
      </c>
      <c r="B2089" s="6" t="s">
        <v>6882</v>
      </c>
      <c r="C2089" s="6" t="s">
        <v>6770</v>
      </c>
      <c r="D2089" s="6" t="s">
        <v>2534</v>
      </c>
      <c r="E2089" s="6" t="s">
        <v>2535</v>
      </c>
      <c r="F2089" s="6" t="s">
        <v>13</v>
      </c>
      <c r="G2089" s="6" t="s">
        <v>6154</v>
      </c>
      <c r="H2089" s="6" t="s">
        <v>3</v>
      </c>
      <c r="I2089" s="6" t="s">
        <v>73</v>
      </c>
      <c r="J2089" s="6"/>
      <c r="K2089" s="6"/>
      <c r="L2089" s="6" t="s">
        <v>2536</v>
      </c>
      <c r="M2089" s="6"/>
      <c r="N2089" s="6" t="s">
        <v>2537</v>
      </c>
      <c r="O2089" s="6" t="str">
        <f>HYPERLINK("https://ceds.ed.gov/cedselementdetails.aspx?termid=5345")</f>
        <v>https://ceds.ed.gov/cedselementdetails.aspx?termid=5345</v>
      </c>
      <c r="P2089" s="6" t="str">
        <f>HYPERLINK("https://ceds.ed.gov/elementComment.aspx?elementName=Employment Start Date &amp;elementID=5345", "Click here to submit comment")</f>
        <v>Click here to submit comment</v>
      </c>
    </row>
    <row r="2090" spans="1:16" ht="75">
      <c r="A2090" s="6" t="s">
        <v>6869</v>
      </c>
      <c r="B2090" s="6" t="s">
        <v>6882</v>
      </c>
      <c r="C2090" s="6" t="s">
        <v>6771</v>
      </c>
      <c r="D2090" s="6" t="s">
        <v>1562</v>
      </c>
      <c r="E2090" s="6" t="s">
        <v>1563</v>
      </c>
      <c r="F2090" s="6" t="s">
        <v>5963</v>
      </c>
      <c r="G2090" s="6"/>
      <c r="H2090" s="6" t="s">
        <v>54</v>
      </c>
      <c r="I2090" s="6"/>
      <c r="J2090" s="6"/>
      <c r="K2090" s="6"/>
      <c r="L2090" s="6" t="s">
        <v>1564</v>
      </c>
      <c r="M2090" s="6" t="s">
        <v>1565</v>
      </c>
      <c r="N2090" s="6" t="s">
        <v>1566</v>
      </c>
      <c r="O2090" s="6" t="str">
        <f>HYPERLINK("https://ceds.ed.gov/cedselementdetails.aspx?termid=6284")</f>
        <v>https://ceds.ed.gov/cedselementdetails.aspx?termid=6284</v>
      </c>
      <c r="P2090" s="6" t="str">
        <f>HYPERLINK("https://ceds.ed.gov/elementComment.aspx?elementName=Career and Technical Education Instructor Industry Certification &amp;elementID=6284", "Click here to submit comment")</f>
        <v>Click here to submit comment</v>
      </c>
    </row>
    <row r="2091" spans="1:16" ht="90">
      <c r="A2091" s="6" t="s">
        <v>6869</v>
      </c>
      <c r="B2091" s="6" t="s">
        <v>6882</v>
      </c>
      <c r="C2091" s="6" t="s">
        <v>6771</v>
      </c>
      <c r="D2091" s="6" t="s">
        <v>2050</v>
      </c>
      <c r="E2091" s="6" t="s">
        <v>2051</v>
      </c>
      <c r="F2091" s="6" t="s">
        <v>6125</v>
      </c>
      <c r="G2091" s="6"/>
      <c r="H2091" s="6" t="s">
        <v>3</v>
      </c>
      <c r="I2091" s="6"/>
      <c r="J2091" s="6"/>
      <c r="K2091" s="6"/>
      <c r="L2091" s="6" t="s">
        <v>2052</v>
      </c>
      <c r="M2091" s="6"/>
      <c r="N2091" s="6" t="s">
        <v>2053</v>
      </c>
      <c r="O2091" s="6" t="str">
        <f>HYPERLINK("https://ceds.ed.gov/cedselementdetails.aspx?termid=5071")</f>
        <v>https://ceds.ed.gov/cedselementdetails.aspx?termid=5071</v>
      </c>
      <c r="P2091" s="6" t="str">
        <f>HYPERLINK("https://ceds.ed.gov/elementComment.aspx?elementName=Credential Type &amp;elementID=5071", "Click here to submit comment")</f>
        <v>Click here to submit comment</v>
      </c>
    </row>
    <row r="2092" spans="1:16" ht="165">
      <c r="A2092" s="6" t="s">
        <v>6869</v>
      </c>
      <c r="B2092" s="6" t="s">
        <v>6883</v>
      </c>
      <c r="C2092" s="6"/>
      <c r="D2092" s="6" t="s">
        <v>234</v>
      </c>
      <c r="E2092" s="6" t="s">
        <v>235</v>
      </c>
      <c r="F2092" s="7" t="s">
        <v>6359</v>
      </c>
      <c r="G2092" s="6" t="s">
        <v>237</v>
      </c>
      <c r="H2092" s="6"/>
      <c r="I2092" s="6"/>
      <c r="J2092" s="6"/>
      <c r="K2092" s="6" t="s">
        <v>238</v>
      </c>
      <c r="L2092" s="6" t="s">
        <v>239</v>
      </c>
      <c r="M2092" s="6"/>
      <c r="N2092" s="6" t="s">
        <v>240</v>
      </c>
      <c r="O2092" s="6" t="str">
        <f>HYPERLINK("https://ceds.ed.gov/cedselementdetails.aspx?termid=5736")</f>
        <v>https://ceds.ed.gov/cedselementdetails.aspx?termid=5736</v>
      </c>
      <c r="P2092" s="6" t="str">
        <f>HYPERLINK("https://ceds.ed.gov/elementComment.aspx?elementName=Admitted Student &amp;elementID=5736", "Click here to submit comment")</f>
        <v>Click here to submit comment</v>
      </c>
    </row>
    <row r="2093" spans="1:16" ht="180">
      <c r="A2093" s="6" t="s">
        <v>6869</v>
      </c>
      <c r="B2093" s="6" t="s">
        <v>6883</v>
      </c>
      <c r="C2093" s="6"/>
      <c r="D2093" s="6" t="s">
        <v>2860</v>
      </c>
      <c r="E2093" s="6" t="s">
        <v>2861</v>
      </c>
      <c r="F2093" s="6" t="s">
        <v>13</v>
      </c>
      <c r="G2093" s="6" t="s">
        <v>6185</v>
      </c>
      <c r="H2093" s="6"/>
      <c r="I2093" s="6" t="s">
        <v>2857</v>
      </c>
      <c r="J2093" s="6"/>
      <c r="K2093" s="6" t="s">
        <v>2862</v>
      </c>
      <c r="L2093" s="6" t="s">
        <v>2863</v>
      </c>
      <c r="M2093" s="6" t="s">
        <v>2864</v>
      </c>
      <c r="N2093" s="6" t="s">
        <v>2865</v>
      </c>
      <c r="O2093" s="6" t="str">
        <f>HYPERLINK("https://ceds.ed.gov/cedselementdetails.aspx?termid=5128")</f>
        <v>https://ceds.ed.gov/cedselementdetails.aspx?termid=5128</v>
      </c>
      <c r="P2093" s="6" t="str">
        <f>HYPERLINK("https://ceds.ed.gov/elementComment.aspx?elementName=Grade Point Average Cumulative &amp;elementID=5128", "Click here to submit comment")</f>
        <v>Click here to submit comment</v>
      </c>
    </row>
    <row r="2094" spans="1:16" ht="150">
      <c r="A2094" s="6" t="s">
        <v>6869</v>
      </c>
      <c r="B2094" s="6" t="s">
        <v>6883</v>
      </c>
      <c r="C2094" s="6"/>
      <c r="D2094" s="6" t="s">
        <v>2866</v>
      </c>
      <c r="E2094" s="6" t="s">
        <v>2867</v>
      </c>
      <c r="F2094" s="7" t="s">
        <v>6521</v>
      </c>
      <c r="G2094" s="6" t="s">
        <v>237</v>
      </c>
      <c r="H2094" s="6"/>
      <c r="I2094" s="6"/>
      <c r="J2094" s="6"/>
      <c r="K2094" s="6" t="s">
        <v>2868</v>
      </c>
      <c r="L2094" s="6" t="s">
        <v>2869</v>
      </c>
      <c r="M2094" s="6" t="s">
        <v>2870</v>
      </c>
      <c r="N2094" s="6" t="s">
        <v>2871</v>
      </c>
      <c r="O2094" s="6" t="str">
        <f>HYPERLINK("https://ceds.ed.gov/cedselementdetails.aspx?termid=5739")</f>
        <v>https://ceds.ed.gov/cedselementdetails.aspx?termid=5739</v>
      </c>
      <c r="P2094" s="6" t="str">
        <f>HYPERLINK("https://ceds.ed.gov/elementComment.aspx?elementName=Grade Point Average Domain &amp;elementID=5739", "Click here to submit comment")</f>
        <v>Click here to submit comment</v>
      </c>
    </row>
    <row r="2095" spans="1:16" ht="45">
      <c r="A2095" s="6" t="s">
        <v>6869</v>
      </c>
      <c r="B2095" s="6" t="s">
        <v>6883</v>
      </c>
      <c r="C2095" s="6"/>
      <c r="D2095" s="6" t="s">
        <v>2877</v>
      </c>
      <c r="E2095" s="6" t="s">
        <v>2878</v>
      </c>
      <c r="F2095" s="6" t="s">
        <v>6186</v>
      </c>
      <c r="G2095" s="6" t="s">
        <v>6188</v>
      </c>
      <c r="H2095" s="6"/>
      <c r="I2095" s="6"/>
      <c r="J2095" s="6"/>
      <c r="K2095" s="6"/>
      <c r="L2095" s="6" t="s">
        <v>2879</v>
      </c>
      <c r="M2095" s="6" t="s">
        <v>2880</v>
      </c>
      <c r="N2095" s="6" t="s">
        <v>2881</v>
      </c>
      <c r="O2095" s="6" t="str">
        <f>HYPERLINK("https://ceds.ed.gov/cedselementdetails.aspx?termid=5123")</f>
        <v>https://ceds.ed.gov/cedselementdetails.aspx?termid=5123</v>
      </c>
      <c r="P2095" s="6" t="str">
        <f>HYPERLINK("https://ceds.ed.gov/elementComment.aspx?elementName=Grade Point Average Weighted Indicator &amp;elementID=5123", "Click here to submit comment")</f>
        <v>Click here to submit comment</v>
      </c>
    </row>
    <row r="2096" spans="1:16" ht="120">
      <c r="A2096" s="6" t="s">
        <v>6869</v>
      </c>
      <c r="B2096" s="6" t="s">
        <v>6883</v>
      </c>
      <c r="C2096" s="6"/>
      <c r="D2096" s="6" t="s">
        <v>2957</v>
      </c>
      <c r="E2096" s="6" t="s">
        <v>2958</v>
      </c>
      <c r="F2096" s="6" t="s">
        <v>13</v>
      </c>
      <c r="G2096" s="6" t="s">
        <v>237</v>
      </c>
      <c r="H2096" s="6"/>
      <c r="I2096" s="6" t="s">
        <v>740</v>
      </c>
      <c r="J2096" s="6"/>
      <c r="K2096" s="6" t="s">
        <v>2959</v>
      </c>
      <c r="L2096" s="6" t="s">
        <v>2960</v>
      </c>
      <c r="M2096" s="6"/>
      <c r="N2096" s="6" t="s">
        <v>2961</v>
      </c>
      <c r="O2096" s="6" t="str">
        <f>HYPERLINK("https://ceds.ed.gov/cedselementdetails.aspx?termid=5740")</f>
        <v>https://ceds.ed.gov/cedselementdetails.aspx?termid=5740</v>
      </c>
      <c r="P2096" s="6" t="str">
        <f>HYPERLINK("https://ceds.ed.gov/elementComment.aspx?elementName=High School Percentile &amp;elementID=5740", "Click here to submit comment")</f>
        <v>Click here to submit comment</v>
      </c>
    </row>
    <row r="2097" spans="1:16" ht="120">
      <c r="A2097" s="6" t="s">
        <v>6869</v>
      </c>
      <c r="B2097" s="6" t="s">
        <v>6883</v>
      </c>
      <c r="C2097" s="6"/>
      <c r="D2097" s="6" t="s">
        <v>2962</v>
      </c>
      <c r="E2097" s="6" t="s">
        <v>2963</v>
      </c>
      <c r="F2097" s="6" t="s">
        <v>13</v>
      </c>
      <c r="G2097" s="6" t="s">
        <v>6193</v>
      </c>
      <c r="H2097" s="6"/>
      <c r="I2097" s="6" t="s">
        <v>308</v>
      </c>
      <c r="J2097" s="6"/>
      <c r="K2097" s="6"/>
      <c r="L2097" s="6" t="s">
        <v>2964</v>
      </c>
      <c r="M2097" s="6"/>
      <c r="N2097" s="6" t="s">
        <v>2965</v>
      </c>
      <c r="O2097" s="6" t="str">
        <f>HYPERLINK("https://ceds.ed.gov/cedselementdetails.aspx?termid=5041")</f>
        <v>https://ceds.ed.gov/cedselementdetails.aspx?termid=5041</v>
      </c>
      <c r="P2097" s="6" t="str">
        <f>HYPERLINK("https://ceds.ed.gov/elementComment.aspx?elementName=High School Student Class Rank &amp;elementID=5041", "Click here to submit comment")</f>
        <v>Click here to submit comment</v>
      </c>
    </row>
    <row r="2098" spans="1:16" ht="180">
      <c r="A2098" s="6" t="s">
        <v>6869</v>
      </c>
      <c r="B2098" s="6" t="s">
        <v>6883</v>
      </c>
      <c r="C2098" s="6"/>
      <c r="D2098" s="6" t="s">
        <v>4511</v>
      </c>
      <c r="E2098" s="6" t="s">
        <v>4512</v>
      </c>
      <c r="F2098" s="6" t="s">
        <v>5963</v>
      </c>
      <c r="G2098" s="6" t="s">
        <v>237</v>
      </c>
      <c r="H2098" s="6"/>
      <c r="I2098" s="6"/>
      <c r="J2098" s="6"/>
      <c r="K2098" s="6" t="s">
        <v>4513</v>
      </c>
      <c r="L2098" s="6" t="s">
        <v>4514</v>
      </c>
      <c r="M2098" s="6"/>
      <c r="N2098" s="6" t="s">
        <v>4515</v>
      </c>
      <c r="O2098" s="6" t="str">
        <f>HYPERLINK("https://ceds.ed.gov/cedselementdetails.aspx?termid=5735")</f>
        <v>https://ceds.ed.gov/cedselementdetails.aspx?termid=5735</v>
      </c>
      <c r="P2098" s="6" t="str">
        <f>HYPERLINK("https://ceds.ed.gov/elementComment.aspx?elementName=Postsecondary Applicant &amp;elementID=5735", "Click here to submit comment")</f>
        <v>Click here to submit comment</v>
      </c>
    </row>
    <row r="2099" spans="1:16" ht="120">
      <c r="A2099" s="6" t="s">
        <v>6869</v>
      </c>
      <c r="B2099" s="6" t="s">
        <v>6883</v>
      </c>
      <c r="C2099" s="6"/>
      <c r="D2099" s="6" t="s">
        <v>5379</v>
      </c>
      <c r="E2099" s="6" t="s">
        <v>5380</v>
      </c>
      <c r="F2099" s="6" t="s">
        <v>13</v>
      </c>
      <c r="G2099" s="6" t="s">
        <v>6193</v>
      </c>
      <c r="H2099" s="6"/>
      <c r="I2099" s="6" t="s">
        <v>308</v>
      </c>
      <c r="J2099" s="6"/>
      <c r="K2099" s="6"/>
      <c r="L2099" s="6" t="s">
        <v>5381</v>
      </c>
      <c r="M2099" s="6"/>
      <c r="N2099" s="6" t="s">
        <v>5382</v>
      </c>
      <c r="O2099" s="6" t="str">
        <f>HYPERLINK("https://ceds.ed.gov/cedselementdetails.aspx?termid=5294")</f>
        <v>https://ceds.ed.gov/cedselementdetails.aspx?termid=5294</v>
      </c>
      <c r="P2099" s="6" t="str">
        <f>HYPERLINK("https://ceds.ed.gov/elementComment.aspx?elementName=Size of High School Graduating Class &amp;elementID=5294", "Click here to submit comment")</f>
        <v>Click here to submit comment</v>
      </c>
    </row>
    <row r="2100" spans="1:16" ht="60">
      <c r="A2100" s="6" t="s">
        <v>6869</v>
      </c>
      <c r="B2100" s="6" t="s">
        <v>6883</v>
      </c>
      <c r="C2100" s="6"/>
      <c r="D2100" s="6" t="s">
        <v>5899</v>
      </c>
      <c r="E2100" s="6" t="s">
        <v>5900</v>
      </c>
      <c r="F2100" s="6" t="s">
        <v>5963</v>
      </c>
      <c r="G2100" s="6" t="s">
        <v>237</v>
      </c>
      <c r="H2100" s="6"/>
      <c r="I2100" s="6"/>
      <c r="J2100" s="6"/>
      <c r="K2100" s="6" t="s">
        <v>2746</v>
      </c>
      <c r="L2100" s="6" t="s">
        <v>5901</v>
      </c>
      <c r="M2100" s="6"/>
      <c r="N2100" s="6" t="s">
        <v>5902</v>
      </c>
      <c r="O2100" s="6" t="str">
        <f>HYPERLINK("https://ceds.ed.gov/cedselementdetails.aspx?termid=5738")</f>
        <v>https://ceds.ed.gov/cedselementdetails.aspx?termid=5738</v>
      </c>
      <c r="P2100" s="6" t="str">
        <f>HYPERLINK("https://ceds.ed.gov/elementComment.aspx?elementName=Wait Listed Student &amp;elementID=5738", "Click here to submit comment")</f>
        <v>Click here to submit comment</v>
      </c>
    </row>
    <row r="2101" spans="1:16" ht="165">
      <c r="A2101" s="6" t="s">
        <v>6869</v>
      </c>
      <c r="B2101" s="6" t="s">
        <v>6830</v>
      </c>
      <c r="C2101" s="6"/>
      <c r="D2101" s="6" t="s">
        <v>590</v>
      </c>
      <c r="E2101" s="6" t="s">
        <v>591</v>
      </c>
      <c r="F2101" s="6" t="s">
        <v>13</v>
      </c>
      <c r="G2101" s="6" t="s">
        <v>6015</v>
      </c>
      <c r="H2101" s="6"/>
      <c r="I2101" s="6" t="s">
        <v>100</v>
      </c>
      <c r="J2101" s="6"/>
      <c r="K2101" s="6"/>
      <c r="L2101" s="6" t="s">
        <v>592</v>
      </c>
      <c r="M2101" s="6"/>
      <c r="N2101" s="6" t="s">
        <v>593</v>
      </c>
      <c r="O2101" s="6" t="str">
        <f>HYPERLINK("https://ceds.ed.gov/cedselementdetails.aspx?termid=5152")</f>
        <v>https://ceds.ed.gov/cedselementdetails.aspx?termid=5152</v>
      </c>
      <c r="P2101" s="6" t="str">
        <f>HYPERLINK("https://ceds.ed.gov/elementComment.aspx?elementName=Assessment Identifier &amp;elementID=5152", "Click here to submit comment")</f>
        <v>Click here to submit comment</v>
      </c>
    </row>
    <row r="2102" spans="1:16" ht="165">
      <c r="A2102" s="6" t="s">
        <v>6869</v>
      </c>
      <c r="B2102" s="6" t="s">
        <v>6830</v>
      </c>
      <c r="C2102" s="6"/>
      <c r="D2102" s="6" t="s">
        <v>1387</v>
      </c>
      <c r="E2102" s="6" t="s">
        <v>1388</v>
      </c>
      <c r="F2102" s="6" t="s">
        <v>13</v>
      </c>
      <c r="G2102" s="6" t="s">
        <v>6073</v>
      </c>
      <c r="H2102" s="6"/>
      <c r="I2102" s="6" t="s">
        <v>106</v>
      </c>
      <c r="J2102" s="6"/>
      <c r="K2102" s="6"/>
      <c r="L2102" s="6" t="s">
        <v>1389</v>
      </c>
      <c r="M2102" s="6"/>
      <c r="N2102" s="6" t="s">
        <v>1390</v>
      </c>
      <c r="O2102" s="6" t="str">
        <f>HYPERLINK("https://ceds.ed.gov/cedselementdetails.aspx?termid=5028")</f>
        <v>https://ceds.ed.gov/cedselementdetails.aspx?termid=5028</v>
      </c>
      <c r="P2102" s="6" t="str">
        <f>HYPERLINK("https://ceds.ed.gov/elementComment.aspx?elementName=Assessment Title &amp;elementID=5028", "Click here to submit comment")</f>
        <v>Click here to submit comment</v>
      </c>
    </row>
    <row r="2103" spans="1:16" ht="409.5">
      <c r="A2103" s="6" t="s">
        <v>6869</v>
      </c>
      <c r="B2103" s="6" t="s">
        <v>6830</v>
      </c>
      <c r="C2103" s="6"/>
      <c r="D2103" s="6" t="s">
        <v>1391</v>
      </c>
      <c r="E2103" s="6" t="s">
        <v>1392</v>
      </c>
      <c r="F2103" s="7" t="s">
        <v>6405</v>
      </c>
      <c r="G2103" s="6" t="s">
        <v>6000</v>
      </c>
      <c r="H2103" s="6"/>
      <c r="I2103" s="6"/>
      <c r="J2103" s="6"/>
      <c r="K2103" s="6"/>
      <c r="L2103" s="6" t="s">
        <v>1393</v>
      </c>
      <c r="M2103" s="6"/>
      <c r="N2103" s="6" t="s">
        <v>1394</v>
      </c>
      <c r="O2103" s="6" t="str">
        <f>HYPERLINK("https://ceds.ed.gov/cedselementdetails.aspx?termid=5029")</f>
        <v>https://ceds.ed.gov/cedselementdetails.aspx?termid=5029</v>
      </c>
      <c r="P2103" s="6" t="str">
        <f>HYPERLINK("https://ceds.ed.gov/elementComment.aspx?elementName=Assessment Type &amp;elementID=5029", "Click here to submit comment")</f>
        <v>Click here to submit comment</v>
      </c>
    </row>
    <row r="2104" spans="1:16" ht="405">
      <c r="A2104" s="6" t="s">
        <v>6869</v>
      </c>
      <c r="B2104" s="6" t="s">
        <v>6830</v>
      </c>
      <c r="C2104" s="6"/>
      <c r="D2104" s="6" t="s">
        <v>395</v>
      </c>
      <c r="E2104" s="6" t="s">
        <v>396</v>
      </c>
      <c r="F2104" s="7" t="s">
        <v>6375</v>
      </c>
      <c r="G2104" s="6" t="s">
        <v>5990</v>
      </c>
      <c r="H2104" s="6"/>
      <c r="I2104" s="6"/>
      <c r="J2104" s="6"/>
      <c r="K2104" s="6"/>
      <c r="L2104" s="6" t="s">
        <v>397</v>
      </c>
      <c r="M2104" s="6"/>
      <c r="N2104" s="6" t="s">
        <v>398</v>
      </c>
      <c r="O2104" s="6" t="str">
        <f>HYPERLINK("https://ceds.ed.gov/cedselementdetails.aspx?termid=5021")</f>
        <v>https://ceds.ed.gov/cedselementdetails.aspx?termid=5021</v>
      </c>
      <c r="P2104" s="6" t="str">
        <f>HYPERLINK("https://ceds.ed.gov/elementComment.aspx?elementName=Assessment Academic Subject &amp;elementID=5021", "Click here to submit comment")</f>
        <v>Click here to submit comment</v>
      </c>
    </row>
    <row r="2105" spans="1:16" ht="409.5">
      <c r="A2105" s="6" t="s">
        <v>6869</v>
      </c>
      <c r="B2105" s="6" t="s">
        <v>6830</v>
      </c>
      <c r="C2105" s="6"/>
      <c r="D2105" s="6" t="s">
        <v>1156</v>
      </c>
      <c r="E2105" s="6" t="s">
        <v>1157</v>
      </c>
      <c r="F2105" s="7" t="s">
        <v>6399</v>
      </c>
      <c r="G2105" s="6" t="s">
        <v>6000</v>
      </c>
      <c r="H2105" s="6"/>
      <c r="I2105" s="6"/>
      <c r="J2105" s="6"/>
      <c r="K2105" s="6" t="s">
        <v>1158</v>
      </c>
      <c r="L2105" s="6" t="s">
        <v>1159</v>
      </c>
      <c r="M2105" s="6"/>
      <c r="N2105" s="6" t="s">
        <v>1160</v>
      </c>
      <c r="O2105" s="6" t="str">
        <f>HYPERLINK("https://ceds.ed.gov/cedselementdetails.aspx?termid=5026")</f>
        <v>https://ceds.ed.gov/cedselementdetails.aspx?termid=5026</v>
      </c>
      <c r="P2105" s="6" t="str">
        <f>HYPERLINK("https://ceds.ed.gov/elementComment.aspx?elementName=Assessment Purpose &amp;elementID=5026", "Click here to submit comment")</f>
        <v>Click here to submit comment</v>
      </c>
    </row>
    <row r="2106" spans="1:16" ht="150">
      <c r="A2106" s="6" t="s">
        <v>6869</v>
      </c>
      <c r="B2106" s="6" t="s">
        <v>6830</v>
      </c>
      <c r="C2106" s="6"/>
      <c r="D2106" s="6" t="s">
        <v>514</v>
      </c>
      <c r="E2106" s="6" t="s">
        <v>515</v>
      </c>
      <c r="F2106" s="6" t="s">
        <v>13</v>
      </c>
      <c r="G2106" s="6" t="s">
        <v>6006</v>
      </c>
      <c r="H2106" s="6"/>
      <c r="I2106" s="6" t="s">
        <v>149</v>
      </c>
      <c r="J2106" s="6"/>
      <c r="K2106" s="6"/>
      <c r="L2106" s="6" t="s">
        <v>516</v>
      </c>
      <c r="M2106" s="6"/>
      <c r="N2106" s="6" t="s">
        <v>517</v>
      </c>
      <c r="O2106" s="6" t="str">
        <f>HYPERLINK("https://ceds.ed.gov/cedselementdetails.aspx?termid=5024")</f>
        <v>https://ceds.ed.gov/cedselementdetails.aspx?termid=5024</v>
      </c>
      <c r="P2106" s="6" t="str">
        <f>HYPERLINK("https://ceds.ed.gov/elementComment.aspx?elementName=Assessment Form Name &amp;elementID=5024", "Click here to submit comment")</f>
        <v>Click here to submit comment</v>
      </c>
    </row>
    <row r="2107" spans="1:16" ht="225">
      <c r="A2107" s="6" t="s">
        <v>6869</v>
      </c>
      <c r="B2107" s="6" t="s">
        <v>6830</v>
      </c>
      <c r="C2107" s="6"/>
      <c r="D2107" s="6" t="s">
        <v>487</v>
      </c>
      <c r="E2107" s="6" t="s">
        <v>488</v>
      </c>
      <c r="F2107" s="7" t="s">
        <v>6380</v>
      </c>
      <c r="G2107" s="6" t="s">
        <v>6000</v>
      </c>
      <c r="H2107" s="6"/>
      <c r="I2107" s="6"/>
      <c r="J2107" s="6"/>
      <c r="K2107" s="6"/>
      <c r="L2107" s="6" t="s">
        <v>489</v>
      </c>
      <c r="M2107" s="6"/>
      <c r="N2107" s="6" t="s">
        <v>490</v>
      </c>
      <c r="O2107" s="6" t="str">
        <f>HYPERLINK("https://ceds.ed.gov/cedselementdetails.aspx?termid=5598")</f>
        <v>https://ceds.ed.gov/cedselementdetails.aspx?termid=5598</v>
      </c>
      <c r="P2107" s="6" t="str">
        <f>HYPERLINK("https://ceds.ed.gov/elementComment.aspx?elementName=Assessment Content Standard Type &amp;elementID=5598", "Click here to submit comment")</f>
        <v>Click here to submit comment</v>
      </c>
    </row>
    <row r="2108" spans="1:16" ht="45">
      <c r="A2108" s="6" t="s">
        <v>6869</v>
      </c>
      <c r="B2108" s="6" t="s">
        <v>6830</v>
      </c>
      <c r="C2108" s="6"/>
      <c r="D2108" s="6" t="s">
        <v>1302</v>
      </c>
      <c r="E2108" s="6" t="s">
        <v>1303</v>
      </c>
      <c r="F2108" s="6" t="s">
        <v>13</v>
      </c>
      <c r="G2108" s="6" t="s">
        <v>6064</v>
      </c>
      <c r="H2108" s="6"/>
      <c r="I2108" s="6" t="s">
        <v>100</v>
      </c>
      <c r="J2108" s="6"/>
      <c r="K2108" s="6"/>
      <c r="L2108" s="6" t="s">
        <v>1304</v>
      </c>
      <c r="M2108" s="6"/>
      <c r="N2108" s="6" t="s">
        <v>1305</v>
      </c>
      <c r="O2108" s="6" t="str">
        <f>HYPERLINK("https://ceds.ed.gov/cedselementdetails.aspx?termid=5366")</f>
        <v>https://ceds.ed.gov/cedselementdetails.aspx?termid=5366</v>
      </c>
      <c r="P2108" s="6" t="str">
        <f>HYPERLINK("https://ceds.ed.gov/elementComment.aspx?elementName=Assessment Subtest Identifier &amp;elementID=5366", "Click here to submit comment")</f>
        <v>Click here to submit comment</v>
      </c>
    </row>
    <row r="2109" spans="1:16" ht="165">
      <c r="A2109" s="6" t="s">
        <v>6869</v>
      </c>
      <c r="B2109" s="6" t="s">
        <v>6830</v>
      </c>
      <c r="C2109" s="6"/>
      <c r="D2109" s="6" t="s">
        <v>1379</v>
      </c>
      <c r="E2109" s="6" t="s">
        <v>1380</v>
      </c>
      <c r="F2109" s="6" t="s">
        <v>13</v>
      </c>
      <c r="G2109" s="6" t="s">
        <v>6073</v>
      </c>
      <c r="H2109" s="6"/>
      <c r="I2109" s="6" t="s">
        <v>106</v>
      </c>
      <c r="J2109" s="6"/>
      <c r="K2109" s="6"/>
      <c r="L2109" s="6" t="s">
        <v>1381</v>
      </c>
      <c r="M2109" s="6"/>
      <c r="N2109" s="6" t="s">
        <v>1382</v>
      </c>
      <c r="O2109" s="6" t="str">
        <f>HYPERLINK("https://ceds.ed.gov/cedselementdetails.aspx?termid=5275")</f>
        <v>https://ceds.ed.gov/cedselementdetails.aspx?termid=5275</v>
      </c>
      <c r="P2109" s="6" t="str">
        <f>HYPERLINK("https://ceds.ed.gov/elementComment.aspx?elementName=Assessment Subtest Title &amp;elementID=5275", "Click here to submit comment")</f>
        <v>Click here to submit comment</v>
      </c>
    </row>
    <row r="2110" spans="1:16" ht="45">
      <c r="A2110" s="6" t="s">
        <v>6869</v>
      </c>
      <c r="B2110" s="6" t="s">
        <v>6830</v>
      </c>
      <c r="C2110" s="6"/>
      <c r="D2110" s="6" t="s">
        <v>1294</v>
      </c>
      <c r="E2110" s="6" t="s">
        <v>1295</v>
      </c>
      <c r="F2110" s="6" t="s">
        <v>13</v>
      </c>
      <c r="G2110" s="6" t="s">
        <v>6063</v>
      </c>
      <c r="H2110" s="6"/>
      <c r="I2110" s="6" t="s">
        <v>100</v>
      </c>
      <c r="J2110" s="6"/>
      <c r="K2110" s="6"/>
      <c r="L2110" s="6" t="s">
        <v>1296</v>
      </c>
      <c r="M2110" s="6"/>
      <c r="N2110" s="6" t="s">
        <v>1297</v>
      </c>
      <c r="O2110" s="6" t="str">
        <f>HYPERLINK("https://ceds.ed.gov/cedselementdetails.aspx?termid=5367")</f>
        <v>https://ceds.ed.gov/cedselementdetails.aspx?termid=5367</v>
      </c>
      <c r="P2110" s="6" t="str">
        <f>HYPERLINK("https://ceds.ed.gov/elementComment.aspx?elementName=Assessment Subtest Abbreviation &amp;elementID=5367", "Click here to submit comment")</f>
        <v>Click here to submit comment</v>
      </c>
    </row>
    <row r="2111" spans="1:16" ht="150">
      <c r="A2111" s="6" t="s">
        <v>6869</v>
      </c>
      <c r="B2111" s="6" t="s">
        <v>6830</v>
      </c>
      <c r="C2111" s="6"/>
      <c r="D2111" s="6" t="s">
        <v>1298</v>
      </c>
      <c r="E2111" s="6" t="s">
        <v>1299</v>
      </c>
      <c r="F2111" s="6" t="s">
        <v>13</v>
      </c>
      <c r="G2111" s="6" t="s">
        <v>6006</v>
      </c>
      <c r="H2111" s="6"/>
      <c r="I2111" s="6" t="s">
        <v>106</v>
      </c>
      <c r="J2111" s="6"/>
      <c r="K2111" s="6"/>
      <c r="L2111" s="6" t="s">
        <v>1300</v>
      </c>
      <c r="M2111" s="6"/>
      <c r="N2111" s="6" t="s">
        <v>1301</v>
      </c>
      <c r="O2111" s="6" t="str">
        <f>HYPERLINK("https://ceds.ed.gov/cedselementdetails.aspx?termid=5274")</f>
        <v>https://ceds.ed.gov/cedselementdetails.aspx?termid=5274</v>
      </c>
      <c r="P2111" s="6" t="str">
        <f>HYPERLINK("https://ceds.ed.gov/elementComment.aspx?elementName=Assessment Subtest Description &amp;elementID=5274", "Click here to submit comment")</f>
        <v>Click here to submit comment</v>
      </c>
    </row>
    <row r="2112" spans="1:16" ht="45">
      <c r="A2112" s="6" t="s">
        <v>6869</v>
      </c>
      <c r="B2112" s="6" t="s">
        <v>6830</v>
      </c>
      <c r="C2112" s="6"/>
      <c r="D2112" s="6" t="s">
        <v>1383</v>
      </c>
      <c r="E2112" s="6" t="s">
        <v>1384</v>
      </c>
      <c r="F2112" s="6" t="s">
        <v>13</v>
      </c>
      <c r="G2112" s="6" t="s">
        <v>6064</v>
      </c>
      <c r="H2112" s="6"/>
      <c r="I2112" s="6" t="s">
        <v>100</v>
      </c>
      <c r="J2112" s="6"/>
      <c r="K2112" s="6"/>
      <c r="L2112" s="6" t="s">
        <v>1385</v>
      </c>
      <c r="M2112" s="6"/>
      <c r="N2112" s="6" t="s">
        <v>1386</v>
      </c>
      <c r="O2112" s="6" t="str">
        <f>HYPERLINK("https://ceds.ed.gov/cedselementdetails.aspx?termid=5379")</f>
        <v>https://ceds.ed.gov/cedselementdetails.aspx?termid=5379</v>
      </c>
      <c r="P2112" s="6" t="str">
        <f>HYPERLINK("https://ceds.ed.gov/elementComment.aspx?elementName=Assessment Subtest Version &amp;elementID=5379", "Click here to submit comment")</f>
        <v>Click here to submit comment</v>
      </c>
    </row>
    <row r="2113" spans="1:16" ht="409.5">
      <c r="A2113" s="6" t="s">
        <v>6869</v>
      </c>
      <c r="B2113" s="6" t="s">
        <v>6830</v>
      </c>
      <c r="C2113" s="6"/>
      <c r="D2113" s="6" t="s">
        <v>1375</v>
      </c>
      <c r="E2113" s="6" t="s">
        <v>1376</v>
      </c>
      <c r="F2113" s="7" t="s">
        <v>6398</v>
      </c>
      <c r="G2113" s="6" t="s">
        <v>6064</v>
      </c>
      <c r="H2113" s="6"/>
      <c r="I2113" s="6"/>
      <c r="J2113" s="6"/>
      <c r="K2113" s="6"/>
      <c r="L2113" s="6" t="s">
        <v>1377</v>
      </c>
      <c r="M2113" s="6"/>
      <c r="N2113" s="6" t="s">
        <v>1378</v>
      </c>
      <c r="O2113" s="6" t="str">
        <f>HYPERLINK("https://ceds.ed.gov/cedselementdetails.aspx?termid=5368")</f>
        <v>https://ceds.ed.gov/cedselementdetails.aspx?termid=5368</v>
      </c>
      <c r="P2113" s="6" t="str">
        <f>HYPERLINK("https://ceds.ed.gov/elementComment.aspx?elementName=Assessment Subtest Score Metric Type &amp;elementID=5368", "Click here to submit comment")</f>
        <v>Click here to submit comment</v>
      </c>
    </row>
    <row r="2114" spans="1:16" ht="195">
      <c r="A2114" s="6" t="s">
        <v>6869</v>
      </c>
      <c r="B2114" s="6" t="s">
        <v>6830</v>
      </c>
      <c r="C2114" s="6"/>
      <c r="D2114" s="6" t="s">
        <v>1366</v>
      </c>
      <c r="E2114" s="6" t="s">
        <v>1367</v>
      </c>
      <c r="F2114" s="6" t="s">
        <v>13</v>
      </c>
      <c r="G2114" s="6" t="s">
        <v>6071</v>
      </c>
      <c r="H2114" s="6"/>
      <c r="I2114" s="6" t="s">
        <v>1368</v>
      </c>
      <c r="J2114" s="6"/>
      <c r="K2114" s="6"/>
      <c r="L2114" s="6" t="s">
        <v>1369</v>
      </c>
      <c r="M2114" s="6"/>
      <c r="N2114" s="6" t="s">
        <v>1370</v>
      </c>
      <c r="O2114" s="6" t="str">
        <f>HYPERLINK("https://ceds.ed.gov/cedselementdetails.aspx?termid=5245")</f>
        <v>https://ceds.ed.gov/cedselementdetails.aspx?termid=5245</v>
      </c>
      <c r="P2114" s="6" t="str">
        <f>HYPERLINK("https://ceds.ed.gov/elementComment.aspx?elementName=Assessment Subtest Result Score Value &amp;elementID=5245", "Click here to submit comment")</f>
        <v>Click here to submit comment</v>
      </c>
    </row>
    <row r="2115" spans="1:16" ht="195">
      <c r="A2115" s="6" t="s">
        <v>6869</v>
      </c>
      <c r="B2115" s="6" t="s">
        <v>6741</v>
      </c>
      <c r="C2115" s="6" t="s">
        <v>6717</v>
      </c>
      <c r="D2115" s="6" t="s">
        <v>2776</v>
      </c>
      <c r="E2115" s="6" t="s">
        <v>2777</v>
      </c>
      <c r="F2115" s="6" t="s">
        <v>13</v>
      </c>
      <c r="G2115" s="6" t="s">
        <v>6176</v>
      </c>
      <c r="H2115" s="6" t="s">
        <v>3</v>
      </c>
      <c r="I2115" s="6" t="s">
        <v>1368</v>
      </c>
      <c r="J2115" s="6"/>
      <c r="K2115" s="6" t="s">
        <v>2778</v>
      </c>
      <c r="L2115" s="6" t="s">
        <v>2779</v>
      </c>
      <c r="M2115" s="6"/>
      <c r="N2115" s="6" t="s">
        <v>2780</v>
      </c>
      <c r="O2115" s="6" t="str">
        <f>HYPERLINK("https://ceds.ed.gov/cedselementdetails.aspx?termid=5115")</f>
        <v>https://ceds.ed.gov/cedselementdetails.aspx?termid=5115</v>
      </c>
      <c r="P2115" s="6" t="str">
        <f>HYPERLINK("https://ceds.ed.gov/elementComment.aspx?elementName=First Name &amp;elementID=5115", "Click here to submit comment")</f>
        <v>Click here to submit comment</v>
      </c>
    </row>
    <row r="2116" spans="1:16" ht="195">
      <c r="A2116" s="6" t="s">
        <v>6869</v>
      </c>
      <c r="B2116" s="6" t="s">
        <v>6741</v>
      </c>
      <c r="C2116" s="6" t="s">
        <v>6717</v>
      </c>
      <c r="D2116" s="6" t="s">
        <v>4088</v>
      </c>
      <c r="E2116" s="6" t="s">
        <v>4089</v>
      </c>
      <c r="F2116" s="6" t="s">
        <v>13</v>
      </c>
      <c r="G2116" s="6" t="s">
        <v>6176</v>
      </c>
      <c r="H2116" s="6" t="s">
        <v>3</v>
      </c>
      <c r="I2116" s="6" t="s">
        <v>1368</v>
      </c>
      <c r="J2116" s="6"/>
      <c r="K2116" s="6" t="s">
        <v>2778</v>
      </c>
      <c r="L2116" s="6" t="s">
        <v>4090</v>
      </c>
      <c r="M2116" s="6"/>
      <c r="N2116" s="6" t="s">
        <v>4091</v>
      </c>
      <c r="O2116" s="6" t="str">
        <f>HYPERLINK("https://ceds.ed.gov/cedselementdetails.aspx?termid=5184")</f>
        <v>https://ceds.ed.gov/cedselementdetails.aspx?termid=5184</v>
      </c>
      <c r="P2116" s="6" t="str">
        <f>HYPERLINK("https://ceds.ed.gov/elementComment.aspx?elementName=Middle Name &amp;elementID=5184", "Click here to submit comment")</f>
        <v>Click here to submit comment</v>
      </c>
    </row>
    <row r="2117" spans="1:16" ht="195">
      <c r="A2117" s="6" t="s">
        <v>6869</v>
      </c>
      <c r="B2117" s="6" t="s">
        <v>6741</v>
      </c>
      <c r="C2117" s="6" t="s">
        <v>6717</v>
      </c>
      <c r="D2117" s="6" t="s">
        <v>3427</v>
      </c>
      <c r="E2117" s="6" t="s">
        <v>3428</v>
      </c>
      <c r="F2117" s="6" t="s">
        <v>13</v>
      </c>
      <c r="G2117" s="6" t="s">
        <v>6176</v>
      </c>
      <c r="H2117" s="6" t="s">
        <v>3</v>
      </c>
      <c r="I2117" s="6" t="s">
        <v>1368</v>
      </c>
      <c r="J2117" s="6"/>
      <c r="K2117" s="6" t="s">
        <v>2778</v>
      </c>
      <c r="L2117" s="6" t="s">
        <v>3429</v>
      </c>
      <c r="M2117" s="6" t="s">
        <v>3430</v>
      </c>
      <c r="N2117" s="6" t="s">
        <v>3431</v>
      </c>
      <c r="O2117" s="6" t="str">
        <f>HYPERLINK("https://ceds.ed.gov/cedselementdetails.aspx?termid=5172")</f>
        <v>https://ceds.ed.gov/cedselementdetails.aspx?termid=5172</v>
      </c>
      <c r="P2117" s="6" t="str">
        <f>HYPERLINK("https://ceds.ed.gov/elementComment.aspx?elementName=Last or Surname &amp;elementID=5172", "Click here to submit comment")</f>
        <v>Click here to submit comment</v>
      </c>
    </row>
    <row r="2118" spans="1:16" ht="150">
      <c r="A2118" s="6" t="s">
        <v>6869</v>
      </c>
      <c r="B2118" s="6" t="s">
        <v>6741</v>
      </c>
      <c r="C2118" s="6" t="s">
        <v>6717</v>
      </c>
      <c r="D2118" s="6" t="s">
        <v>2829</v>
      </c>
      <c r="E2118" s="6" t="s">
        <v>2830</v>
      </c>
      <c r="F2118" s="6" t="s">
        <v>13</v>
      </c>
      <c r="G2118" s="6" t="s">
        <v>6179</v>
      </c>
      <c r="H2118" s="6" t="s">
        <v>3</v>
      </c>
      <c r="I2118" s="6" t="s">
        <v>2031</v>
      </c>
      <c r="J2118" s="6"/>
      <c r="K2118" s="6" t="s">
        <v>2778</v>
      </c>
      <c r="L2118" s="6" t="s">
        <v>2831</v>
      </c>
      <c r="M2118" s="6"/>
      <c r="N2118" s="6" t="s">
        <v>2832</v>
      </c>
      <c r="O2118" s="6" t="str">
        <f>HYPERLINK("https://ceds.ed.gov/cedselementdetails.aspx?termid=5121")</f>
        <v>https://ceds.ed.gov/cedselementdetails.aspx?termid=5121</v>
      </c>
      <c r="P2118" s="6" t="str">
        <f>HYPERLINK("https://ceds.ed.gov/elementComment.aspx?elementName=Generation Code or Suffix &amp;elementID=5121", "Click here to submit comment")</f>
        <v>Click here to submit comment</v>
      </c>
    </row>
    <row r="2119" spans="1:16" ht="105">
      <c r="A2119" s="6" t="s">
        <v>6869</v>
      </c>
      <c r="B2119" s="6" t="s">
        <v>6741</v>
      </c>
      <c r="C2119" s="6" t="s">
        <v>6717</v>
      </c>
      <c r="D2119" s="6" t="s">
        <v>4498</v>
      </c>
      <c r="E2119" s="6" t="s">
        <v>4499</v>
      </c>
      <c r="F2119" s="6" t="s">
        <v>13</v>
      </c>
      <c r="G2119" s="6" t="s">
        <v>6280</v>
      </c>
      <c r="H2119" s="6" t="s">
        <v>3</v>
      </c>
      <c r="I2119" s="6" t="s">
        <v>100</v>
      </c>
      <c r="J2119" s="6"/>
      <c r="K2119" s="6"/>
      <c r="L2119" s="6" t="s">
        <v>4500</v>
      </c>
      <c r="M2119" s="6" t="s">
        <v>4501</v>
      </c>
      <c r="N2119" s="6" t="s">
        <v>4502</v>
      </c>
      <c r="O2119" s="6" t="str">
        <f>HYPERLINK("https://ceds.ed.gov/cedselementdetails.aspx?termid=5212")</f>
        <v>https://ceds.ed.gov/cedselementdetails.aspx?termid=5212</v>
      </c>
      <c r="P2119" s="6" t="str">
        <f>HYPERLINK("https://ceds.ed.gov/elementComment.aspx?elementName=Personal Title or Prefix &amp;elementID=5212", "Click here to submit comment")</f>
        <v>Click here to submit comment</v>
      </c>
    </row>
    <row r="2120" spans="1:16" ht="30">
      <c r="A2120" s="6" t="s">
        <v>6869</v>
      </c>
      <c r="B2120" s="6" t="s">
        <v>6741</v>
      </c>
      <c r="C2120" s="6" t="s">
        <v>6718</v>
      </c>
      <c r="D2120" s="6" t="s">
        <v>4375</v>
      </c>
      <c r="E2120" s="6" t="s">
        <v>4376</v>
      </c>
      <c r="F2120" s="6" t="s">
        <v>13</v>
      </c>
      <c r="G2120" s="6"/>
      <c r="H2120" s="6" t="s">
        <v>54</v>
      </c>
      <c r="I2120" s="6" t="s">
        <v>1368</v>
      </c>
      <c r="J2120" s="6"/>
      <c r="K2120" s="6" t="s">
        <v>4377</v>
      </c>
      <c r="L2120" s="6" t="s">
        <v>4378</v>
      </c>
      <c r="M2120" s="6"/>
      <c r="N2120" s="6" t="s">
        <v>4379</v>
      </c>
      <c r="O2120" s="6" t="str">
        <f>HYPERLINK("https://ceds.ed.gov/cedselementdetails.aspx?termid=6486")</f>
        <v>https://ceds.ed.gov/cedselementdetails.aspx?termid=6486</v>
      </c>
      <c r="P2120" s="6" t="str">
        <f>HYPERLINK("https://ceds.ed.gov/elementComment.aspx?elementName=Other First Name &amp;elementID=6486", "Click here to submit comment")</f>
        <v>Click here to submit comment</v>
      </c>
    </row>
    <row r="2121" spans="1:16" ht="30">
      <c r="A2121" s="6" t="s">
        <v>6869</v>
      </c>
      <c r="B2121" s="6" t="s">
        <v>6741</v>
      </c>
      <c r="C2121" s="6" t="s">
        <v>6718</v>
      </c>
      <c r="D2121" s="6" t="s">
        <v>4380</v>
      </c>
      <c r="E2121" s="6" t="s">
        <v>4381</v>
      </c>
      <c r="F2121" s="6" t="s">
        <v>13</v>
      </c>
      <c r="G2121" s="6"/>
      <c r="H2121" s="6" t="s">
        <v>54</v>
      </c>
      <c r="I2121" s="6" t="s">
        <v>1368</v>
      </c>
      <c r="J2121" s="6"/>
      <c r="K2121" s="6" t="s">
        <v>4382</v>
      </c>
      <c r="L2121" s="6" t="s">
        <v>4383</v>
      </c>
      <c r="M2121" s="6"/>
      <c r="N2121" s="6" t="s">
        <v>4384</v>
      </c>
      <c r="O2121" s="6" t="str">
        <f>HYPERLINK("https://ceds.ed.gov/cedselementdetails.aspx?termid=6485")</f>
        <v>https://ceds.ed.gov/cedselementdetails.aspx?termid=6485</v>
      </c>
      <c r="P2121" s="6" t="str">
        <f>HYPERLINK("https://ceds.ed.gov/elementComment.aspx?elementName=Other Last Name &amp;elementID=6485", "Click here to submit comment")</f>
        <v>Click here to submit comment</v>
      </c>
    </row>
    <row r="2122" spans="1:16" ht="30">
      <c r="A2122" s="6" t="s">
        <v>6869</v>
      </c>
      <c r="B2122" s="6" t="s">
        <v>6741</v>
      </c>
      <c r="C2122" s="6" t="s">
        <v>6718</v>
      </c>
      <c r="D2122" s="6" t="s">
        <v>4385</v>
      </c>
      <c r="E2122" s="6" t="s">
        <v>4386</v>
      </c>
      <c r="F2122" s="6" t="s">
        <v>13</v>
      </c>
      <c r="G2122" s="6"/>
      <c r="H2122" s="6" t="s">
        <v>54</v>
      </c>
      <c r="I2122" s="6" t="s">
        <v>1368</v>
      </c>
      <c r="J2122" s="6"/>
      <c r="K2122" s="6" t="s">
        <v>4387</v>
      </c>
      <c r="L2122" s="6" t="s">
        <v>4388</v>
      </c>
      <c r="M2122" s="6"/>
      <c r="N2122" s="6" t="s">
        <v>4389</v>
      </c>
      <c r="O2122" s="6" t="str">
        <f>HYPERLINK("https://ceds.ed.gov/cedselementdetails.aspx?termid=6487")</f>
        <v>https://ceds.ed.gov/cedselementdetails.aspx?termid=6487</v>
      </c>
      <c r="P2122" s="6" t="str">
        <f>HYPERLINK("https://ceds.ed.gov/elementComment.aspx?elementName=Other Middle Name &amp;elementID=6487", "Click here to submit comment")</f>
        <v>Click here to submit comment</v>
      </c>
    </row>
    <row r="2123" spans="1:16" ht="150">
      <c r="A2123" s="6" t="s">
        <v>6869</v>
      </c>
      <c r="B2123" s="6" t="s">
        <v>6741</v>
      </c>
      <c r="C2123" s="6" t="s">
        <v>6718</v>
      </c>
      <c r="D2123" s="6" t="s">
        <v>4390</v>
      </c>
      <c r="E2123" s="6" t="s">
        <v>4391</v>
      </c>
      <c r="F2123" s="6" t="s">
        <v>13</v>
      </c>
      <c r="G2123" s="6" t="s">
        <v>6179</v>
      </c>
      <c r="H2123" s="6" t="s">
        <v>3</v>
      </c>
      <c r="I2123" s="6" t="s">
        <v>149</v>
      </c>
      <c r="J2123" s="6"/>
      <c r="K2123" s="6"/>
      <c r="L2123" s="6" t="s">
        <v>4392</v>
      </c>
      <c r="M2123" s="6"/>
      <c r="N2123" s="6" t="s">
        <v>4393</v>
      </c>
      <c r="O2123" s="6" t="str">
        <f>HYPERLINK("https://ceds.ed.gov/cedselementdetails.aspx?termid=5206")</f>
        <v>https://ceds.ed.gov/cedselementdetails.aspx?termid=5206</v>
      </c>
      <c r="P2123" s="6" t="str">
        <f>HYPERLINK("https://ceds.ed.gov/elementComment.aspx?elementName=Other Name &amp;elementID=5206", "Click here to submit comment")</f>
        <v>Click here to submit comment</v>
      </c>
    </row>
    <row r="2124" spans="1:16" ht="90">
      <c r="A2124" s="6" t="s">
        <v>6869</v>
      </c>
      <c r="B2124" s="6" t="s">
        <v>6741</v>
      </c>
      <c r="C2124" s="6" t="s">
        <v>6718</v>
      </c>
      <c r="D2124" s="6" t="s">
        <v>4394</v>
      </c>
      <c r="E2124" s="6" t="s">
        <v>4395</v>
      </c>
      <c r="F2124" s="7" t="s">
        <v>6593</v>
      </c>
      <c r="G2124" s="6" t="s">
        <v>6273</v>
      </c>
      <c r="H2124" s="6" t="s">
        <v>3</v>
      </c>
      <c r="I2124" s="6" t="s">
        <v>100</v>
      </c>
      <c r="J2124" s="6"/>
      <c r="K2124" s="6"/>
      <c r="L2124" s="6" t="s">
        <v>4396</v>
      </c>
      <c r="M2124" s="6"/>
      <c r="N2124" s="6" t="s">
        <v>4397</v>
      </c>
      <c r="O2124" s="6" t="str">
        <f>HYPERLINK("https://ceds.ed.gov/cedselementdetails.aspx?termid=5627")</f>
        <v>https://ceds.ed.gov/cedselementdetails.aspx?termid=5627</v>
      </c>
      <c r="P2124" s="6" t="str">
        <f>HYPERLINK("https://ceds.ed.gov/elementComment.aspx?elementName=Other Name Type &amp;elementID=5627", "Click here to submit comment")</f>
        <v>Click here to submit comment</v>
      </c>
    </row>
    <row r="2125" spans="1:16" ht="390">
      <c r="A2125" s="6" t="s">
        <v>6869</v>
      </c>
      <c r="B2125" s="6" t="s">
        <v>6741</v>
      </c>
      <c r="C2125" s="6" t="s">
        <v>6719</v>
      </c>
      <c r="D2125" s="6" t="s">
        <v>5383</v>
      </c>
      <c r="E2125" s="6" t="s">
        <v>5384</v>
      </c>
      <c r="F2125" s="6" t="s">
        <v>13</v>
      </c>
      <c r="G2125" s="6" t="s">
        <v>6315</v>
      </c>
      <c r="H2125" s="6" t="s">
        <v>3</v>
      </c>
      <c r="I2125" s="6" t="s">
        <v>5385</v>
      </c>
      <c r="J2125" s="6"/>
      <c r="K2125" s="6" t="s">
        <v>5386</v>
      </c>
      <c r="L2125" s="6" t="s">
        <v>5387</v>
      </c>
      <c r="M2125" s="6" t="s">
        <v>5388</v>
      </c>
      <c r="N2125" s="6" t="s">
        <v>5389</v>
      </c>
      <c r="O2125" s="6" t="str">
        <f>HYPERLINK("https://ceds.ed.gov/cedselementdetails.aspx?termid=5259")</f>
        <v>https://ceds.ed.gov/cedselementdetails.aspx?termid=5259</v>
      </c>
      <c r="P2125" s="6" t="str">
        <f>HYPERLINK("https://ceds.ed.gov/elementComment.aspx?elementName=Social Security Number &amp;elementID=5259", "Click here to submit comment")</f>
        <v>Click here to submit comment</v>
      </c>
    </row>
    <row r="2126" spans="1:16" ht="375">
      <c r="A2126" s="6" t="s">
        <v>6869</v>
      </c>
      <c r="B2126" s="6" t="s">
        <v>6741</v>
      </c>
      <c r="C2126" s="6" t="s">
        <v>6719</v>
      </c>
      <c r="D2126" s="6" t="s">
        <v>4494</v>
      </c>
      <c r="E2126" s="6" t="s">
        <v>4495</v>
      </c>
      <c r="F2126" s="7" t="s">
        <v>6599</v>
      </c>
      <c r="G2126" s="6"/>
      <c r="H2126" s="6" t="s">
        <v>3</v>
      </c>
      <c r="I2126" s="6"/>
      <c r="J2126" s="6"/>
      <c r="K2126" s="6"/>
      <c r="L2126" s="6" t="s">
        <v>4496</v>
      </c>
      <c r="M2126" s="6"/>
      <c r="N2126" s="6" t="s">
        <v>4497</v>
      </c>
      <c r="O2126" s="6" t="str">
        <f>HYPERLINK("https://ceds.ed.gov/cedselementdetails.aspx?termid=5611")</f>
        <v>https://ceds.ed.gov/cedselementdetails.aspx?termid=5611</v>
      </c>
      <c r="P2126" s="6" t="str">
        <f>HYPERLINK("https://ceds.ed.gov/elementComment.aspx?elementName=Personal Information Verification &amp;elementID=5611", "Click here to submit comment")</f>
        <v>Click here to submit comment</v>
      </c>
    </row>
    <row r="2127" spans="1:16" ht="285">
      <c r="A2127" s="6" t="s">
        <v>6869</v>
      </c>
      <c r="B2127" s="6" t="s">
        <v>6741</v>
      </c>
      <c r="C2127" s="6" t="s">
        <v>6720</v>
      </c>
      <c r="D2127" s="6" t="s">
        <v>191</v>
      </c>
      <c r="E2127" s="6" t="s">
        <v>192</v>
      </c>
      <c r="F2127" s="7" t="s">
        <v>6353</v>
      </c>
      <c r="G2127" s="6" t="s">
        <v>5976</v>
      </c>
      <c r="H2127" s="6" t="s">
        <v>66</v>
      </c>
      <c r="I2127" s="6" t="s">
        <v>100</v>
      </c>
      <c r="J2127" s="6" t="s">
        <v>193</v>
      </c>
      <c r="K2127" s="6"/>
      <c r="L2127" s="6" t="s">
        <v>194</v>
      </c>
      <c r="M2127" s="6"/>
      <c r="N2127" s="6" t="s">
        <v>195</v>
      </c>
      <c r="O2127" s="6" t="str">
        <f>HYPERLINK("https://ceds.ed.gov/cedselementdetails.aspx?termid=5358")</f>
        <v>https://ceds.ed.gov/cedselementdetails.aspx?termid=5358</v>
      </c>
      <c r="P2127" s="6" t="str">
        <f>HYPERLINK("https://ceds.ed.gov/elementComment.aspx?elementName=Address Type for Learner or Family &amp;elementID=5358", "Click here to submit comment")</f>
        <v>Click here to submit comment</v>
      </c>
    </row>
    <row r="2128" spans="1:16" ht="225">
      <c r="A2128" s="6" t="s">
        <v>6869</v>
      </c>
      <c r="B2128" s="6" t="s">
        <v>6741</v>
      </c>
      <c r="C2128" s="6" t="s">
        <v>6720</v>
      </c>
      <c r="D2128" s="6" t="s">
        <v>187</v>
      </c>
      <c r="E2128" s="6" t="s">
        <v>188</v>
      </c>
      <c r="F2128" s="6" t="s">
        <v>13</v>
      </c>
      <c r="G2128" s="6" t="s">
        <v>5973</v>
      </c>
      <c r="H2128" s="6" t="s">
        <v>3</v>
      </c>
      <c r="I2128" s="6" t="s">
        <v>149</v>
      </c>
      <c r="J2128" s="6"/>
      <c r="K2128" s="6"/>
      <c r="L2128" s="6" t="s">
        <v>189</v>
      </c>
      <c r="M2128" s="6"/>
      <c r="N2128" s="6" t="s">
        <v>190</v>
      </c>
      <c r="O2128" s="6" t="str">
        <f>HYPERLINK("https://ceds.ed.gov/cedselementdetails.aspx?termid=5269")</f>
        <v>https://ceds.ed.gov/cedselementdetails.aspx?termid=5269</v>
      </c>
      <c r="P2128" s="6" t="str">
        <f>HYPERLINK("https://ceds.ed.gov/elementComment.aspx?elementName=Address Street Number and Name &amp;elementID=5269", "Click here to submit comment")</f>
        <v>Click here to submit comment</v>
      </c>
    </row>
    <row r="2129" spans="1:16" ht="225">
      <c r="A2129" s="6" t="s">
        <v>6869</v>
      </c>
      <c r="B2129" s="6" t="s">
        <v>6741</v>
      </c>
      <c r="C2129" s="6" t="s">
        <v>6720</v>
      </c>
      <c r="D2129" s="6" t="s">
        <v>170</v>
      </c>
      <c r="E2129" s="6" t="s">
        <v>171</v>
      </c>
      <c r="F2129" s="6" t="s">
        <v>13</v>
      </c>
      <c r="G2129" s="6" t="s">
        <v>5973</v>
      </c>
      <c r="H2129" s="6" t="s">
        <v>3</v>
      </c>
      <c r="I2129" s="6" t="s">
        <v>100</v>
      </c>
      <c r="J2129" s="6"/>
      <c r="K2129" s="6"/>
      <c r="L2129" s="6" t="s">
        <v>172</v>
      </c>
      <c r="M2129" s="6"/>
      <c r="N2129" s="6" t="s">
        <v>173</v>
      </c>
      <c r="O2129" s="6" t="str">
        <f>HYPERLINK("https://ceds.ed.gov/cedselementdetails.aspx?termid=5019")</f>
        <v>https://ceds.ed.gov/cedselementdetails.aspx?termid=5019</v>
      </c>
      <c r="P2129" s="6" t="str">
        <f>HYPERLINK("https://ceds.ed.gov/elementComment.aspx?elementName=Address Apartment Room or Suite Number &amp;elementID=5019", "Click here to submit comment")</f>
        <v>Click here to submit comment</v>
      </c>
    </row>
    <row r="2130" spans="1:16" ht="225">
      <c r="A2130" s="6" t="s">
        <v>6869</v>
      </c>
      <c r="B2130" s="6" t="s">
        <v>6741</v>
      </c>
      <c r="C2130" s="6" t="s">
        <v>6720</v>
      </c>
      <c r="D2130" s="6" t="s">
        <v>174</v>
      </c>
      <c r="E2130" s="6" t="s">
        <v>175</v>
      </c>
      <c r="F2130" s="6" t="s">
        <v>13</v>
      </c>
      <c r="G2130" s="6" t="s">
        <v>5973</v>
      </c>
      <c r="H2130" s="6" t="s">
        <v>3</v>
      </c>
      <c r="I2130" s="6" t="s">
        <v>100</v>
      </c>
      <c r="J2130" s="6"/>
      <c r="K2130" s="6"/>
      <c r="L2130" s="6" t="s">
        <v>176</v>
      </c>
      <c r="M2130" s="6"/>
      <c r="N2130" s="6" t="s">
        <v>177</v>
      </c>
      <c r="O2130" s="6" t="str">
        <f>HYPERLINK("https://ceds.ed.gov/cedselementdetails.aspx?termid=5040")</f>
        <v>https://ceds.ed.gov/cedselementdetails.aspx?termid=5040</v>
      </c>
      <c r="P2130" s="6" t="str">
        <f>HYPERLINK("https://ceds.ed.gov/elementComment.aspx?elementName=Address City &amp;elementID=5040", "Click here to submit comment")</f>
        <v>Click here to submit comment</v>
      </c>
    </row>
    <row r="2131" spans="1:16" ht="409.5">
      <c r="A2131" s="6" t="s">
        <v>6869</v>
      </c>
      <c r="B2131" s="6" t="s">
        <v>6741</v>
      </c>
      <c r="C2131" s="6" t="s">
        <v>6720</v>
      </c>
      <c r="D2131" s="6" t="s">
        <v>5533</v>
      </c>
      <c r="E2131" s="6" t="s">
        <v>5534</v>
      </c>
      <c r="F2131" s="7" t="s">
        <v>6633</v>
      </c>
      <c r="G2131" s="6" t="s">
        <v>6324</v>
      </c>
      <c r="H2131" s="6" t="s">
        <v>3</v>
      </c>
      <c r="I2131" s="6"/>
      <c r="J2131" s="6"/>
      <c r="K2131" s="6"/>
      <c r="L2131" s="6" t="s">
        <v>5535</v>
      </c>
      <c r="M2131" s="6"/>
      <c r="N2131" s="6" t="s">
        <v>5536</v>
      </c>
      <c r="O2131" s="6" t="str">
        <f>HYPERLINK("https://ceds.ed.gov/cedselementdetails.aspx?termid=5267")</f>
        <v>https://ceds.ed.gov/cedselementdetails.aspx?termid=5267</v>
      </c>
      <c r="P2131" s="6" t="str">
        <f>HYPERLINK("https://ceds.ed.gov/elementComment.aspx?elementName=State Abbreviation &amp;elementID=5267", "Click here to submit comment")</f>
        <v>Click here to submit comment</v>
      </c>
    </row>
    <row r="2132" spans="1:16" ht="225">
      <c r="A2132" s="6" t="s">
        <v>6869</v>
      </c>
      <c r="B2132" s="6" t="s">
        <v>6741</v>
      </c>
      <c r="C2132" s="6" t="s">
        <v>6720</v>
      </c>
      <c r="D2132" s="6" t="s">
        <v>182</v>
      </c>
      <c r="E2132" s="6" t="s">
        <v>183</v>
      </c>
      <c r="F2132" s="6" t="s">
        <v>13</v>
      </c>
      <c r="G2132" s="6" t="s">
        <v>5973</v>
      </c>
      <c r="H2132" s="6" t="s">
        <v>3</v>
      </c>
      <c r="I2132" s="6" t="s">
        <v>184</v>
      </c>
      <c r="J2132" s="6"/>
      <c r="K2132" s="6"/>
      <c r="L2132" s="6" t="s">
        <v>185</v>
      </c>
      <c r="M2132" s="6"/>
      <c r="N2132" s="6" t="s">
        <v>186</v>
      </c>
      <c r="O2132" s="6" t="str">
        <f>HYPERLINK("https://ceds.ed.gov/cedselementdetails.aspx?termid=5214")</f>
        <v>https://ceds.ed.gov/cedselementdetails.aspx?termid=5214</v>
      </c>
      <c r="P2132" s="6" t="str">
        <f>HYPERLINK("https://ceds.ed.gov/elementComment.aspx?elementName=Address Postal Code &amp;elementID=5214", "Click here to submit comment")</f>
        <v>Click here to submit comment</v>
      </c>
    </row>
    <row r="2133" spans="1:16" ht="225">
      <c r="A2133" s="6" t="s">
        <v>6869</v>
      </c>
      <c r="B2133" s="6" t="s">
        <v>6741</v>
      </c>
      <c r="C2133" s="6" t="s">
        <v>6720</v>
      </c>
      <c r="D2133" s="6" t="s">
        <v>178</v>
      </c>
      <c r="E2133" s="6" t="s">
        <v>179</v>
      </c>
      <c r="F2133" s="6" t="s">
        <v>13</v>
      </c>
      <c r="G2133" s="6" t="s">
        <v>5973</v>
      </c>
      <c r="H2133" s="6" t="s">
        <v>3</v>
      </c>
      <c r="I2133" s="6" t="s">
        <v>100</v>
      </c>
      <c r="J2133" s="6"/>
      <c r="K2133" s="6"/>
      <c r="L2133" s="6" t="s">
        <v>180</v>
      </c>
      <c r="M2133" s="6"/>
      <c r="N2133" s="6" t="s">
        <v>181</v>
      </c>
      <c r="O2133" s="6" t="str">
        <f>HYPERLINK("https://ceds.ed.gov/cedselementdetails.aspx?termid=5190")</f>
        <v>https://ceds.ed.gov/cedselementdetails.aspx?termid=5190</v>
      </c>
      <c r="P2133" s="6" t="str">
        <f>HYPERLINK("https://ceds.ed.gov/elementComment.aspx?elementName=Address County Name &amp;elementID=5190", "Click here to submit comment")</f>
        <v>Click here to submit comment</v>
      </c>
    </row>
    <row r="2134" spans="1:16" ht="409.5">
      <c r="A2134" s="6" t="s">
        <v>6869</v>
      </c>
      <c r="B2134" s="6" t="s">
        <v>6741</v>
      </c>
      <c r="C2134" s="6" t="s">
        <v>6720</v>
      </c>
      <c r="D2134" s="6" t="s">
        <v>1809</v>
      </c>
      <c r="E2134" s="6" t="s">
        <v>1810</v>
      </c>
      <c r="F2134" s="7" t="s">
        <v>6433</v>
      </c>
      <c r="G2134" s="6" t="s">
        <v>6107</v>
      </c>
      <c r="H2134" s="6" t="s">
        <v>3</v>
      </c>
      <c r="I2134" s="6"/>
      <c r="J2134" s="6"/>
      <c r="K2134" s="6"/>
      <c r="L2134" s="6" t="s">
        <v>1811</v>
      </c>
      <c r="M2134" s="6"/>
      <c r="N2134" s="6" t="s">
        <v>1812</v>
      </c>
      <c r="O2134" s="6" t="str">
        <f>HYPERLINK("https://ceds.ed.gov/cedselementdetails.aspx?termid=5050")</f>
        <v>https://ceds.ed.gov/cedselementdetails.aspx?termid=5050</v>
      </c>
      <c r="P2134" s="6" t="str">
        <f>HYPERLINK("https://ceds.ed.gov/elementComment.aspx?elementName=Country Code &amp;elementID=5050", "Click here to submit comment")</f>
        <v>Click here to submit comment</v>
      </c>
    </row>
    <row r="2135" spans="1:16" ht="135">
      <c r="A2135" s="6" t="s">
        <v>6869</v>
      </c>
      <c r="B2135" s="6" t="s">
        <v>6741</v>
      </c>
      <c r="C2135" s="6" t="s">
        <v>6721</v>
      </c>
      <c r="D2135" s="6" t="s">
        <v>5732</v>
      </c>
      <c r="E2135" s="6" t="s">
        <v>5733</v>
      </c>
      <c r="F2135" s="7" t="s">
        <v>6675</v>
      </c>
      <c r="G2135" s="6" t="s">
        <v>5968</v>
      </c>
      <c r="H2135" s="6" t="s">
        <v>3</v>
      </c>
      <c r="I2135" s="6" t="s">
        <v>2844</v>
      </c>
      <c r="J2135" s="6"/>
      <c r="K2135" s="6"/>
      <c r="L2135" s="6" t="s">
        <v>5734</v>
      </c>
      <c r="M2135" s="6"/>
      <c r="N2135" s="6" t="s">
        <v>5735</v>
      </c>
      <c r="O2135" s="6" t="str">
        <f>HYPERLINK("https://ceds.ed.gov/cedselementdetails.aspx?termid=5280")</f>
        <v>https://ceds.ed.gov/cedselementdetails.aspx?termid=5280</v>
      </c>
      <c r="P2135" s="6" t="str">
        <f>HYPERLINK("https://ceds.ed.gov/elementComment.aspx?elementName=Telephone Number Type &amp;elementID=5280", "Click here to submit comment")</f>
        <v>Click here to submit comment</v>
      </c>
    </row>
    <row r="2136" spans="1:16" ht="90">
      <c r="A2136" s="6" t="s">
        <v>6869</v>
      </c>
      <c r="B2136" s="6" t="s">
        <v>6741</v>
      </c>
      <c r="C2136" s="6" t="s">
        <v>6721</v>
      </c>
      <c r="D2136" s="6" t="s">
        <v>4591</v>
      </c>
      <c r="E2136" s="6" t="s">
        <v>4592</v>
      </c>
      <c r="F2136" s="6" t="s">
        <v>5963</v>
      </c>
      <c r="G2136" s="6" t="s">
        <v>5968</v>
      </c>
      <c r="H2136" s="6" t="s">
        <v>3</v>
      </c>
      <c r="I2136" s="6"/>
      <c r="J2136" s="6"/>
      <c r="K2136" s="6"/>
      <c r="L2136" s="6" t="s">
        <v>4593</v>
      </c>
      <c r="M2136" s="6"/>
      <c r="N2136" s="6" t="s">
        <v>4594</v>
      </c>
      <c r="O2136" s="6" t="str">
        <f>HYPERLINK("https://ceds.ed.gov/cedselementdetails.aspx?termid=5219")</f>
        <v>https://ceds.ed.gov/cedselementdetails.aspx?termid=5219</v>
      </c>
      <c r="P2136" s="6" t="str">
        <f>HYPERLINK("https://ceds.ed.gov/elementComment.aspx?elementName=Primary Telephone Number Indicator &amp;elementID=5219", "Click here to submit comment")</f>
        <v>Click here to submit comment</v>
      </c>
    </row>
    <row r="2137" spans="1:16" ht="90">
      <c r="A2137" s="6" t="s">
        <v>6869</v>
      </c>
      <c r="B2137" s="6" t="s">
        <v>6741</v>
      </c>
      <c r="C2137" s="6" t="s">
        <v>6721</v>
      </c>
      <c r="D2137" s="6" t="s">
        <v>5727</v>
      </c>
      <c r="E2137" s="6" t="s">
        <v>5728</v>
      </c>
      <c r="F2137" s="6" t="s">
        <v>13</v>
      </c>
      <c r="G2137" s="6" t="s">
        <v>5968</v>
      </c>
      <c r="H2137" s="6" t="s">
        <v>3</v>
      </c>
      <c r="I2137" s="6" t="s">
        <v>5729</v>
      </c>
      <c r="J2137" s="6"/>
      <c r="K2137" s="6"/>
      <c r="L2137" s="6" t="s">
        <v>5730</v>
      </c>
      <c r="M2137" s="6"/>
      <c r="N2137" s="6" t="s">
        <v>5731</v>
      </c>
      <c r="O2137" s="6" t="str">
        <f>HYPERLINK("https://ceds.ed.gov/cedselementdetails.aspx?termid=5279")</f>
        <v>https://ceds.ed.gov/cedselementdetails.aspx?termid=5279</v>
      </c>
      <c r="P2137" s="6" t="str">
        <f>HYPERLINK("https://ceds.ed.gov/elementComment.aspx?elementName=Telephone Number &amp;elementID=5279", "Click here to submit comment")</f>
        <v>Click here to submit comment</v>
      </c>
    </row>
    <row r="2138" spans="1:16" ht="105">
      <c r="A2138" s="6" t="s">
        <v>6869</v>
      </c>
      <c r="B2138" s="6" t="s">
        <v>6741</v>
      </c>
      <c r="C2138" s="6" t="s">
        <v>6742</v>
      </c>
      <c r="D2138" s="6" t="s">
        <v>2457</v>
      </c>
      <c r="E2138" s="6" t="s">
        <v>2458</v>
      </c>
      <c r="F2138" s="7" t="s">
        <v>6489</v>
      </c>
      <c r="G2138" s="6" t="s">
        <v>5968</v>
      </c>
      <c r="H2138" s="6" t="s">
        <v>3</v>
      </c>
      <c r="I2138" s="6"/>
      <c r="J2138" s="6"/>
      <c r="K2138" s="6"/>
      <c r="L2138" s="6" t="s">
        <v>2459</v>
      </c>
      <c r="M2138" s="6" t="s">
        <v>2460</v>
      </c>
      <c r="N2138" s="6" t="s">
        <v>2461</v>
      </c>
      <c r="O2138" s="6" t="str">
        <f>HYPERLINK("https://ceds.ed.gov/cedselementdetails.aspx?termid=5089")</f>
        <v>https://ceds.ed.gov/cedselementdetails.aspx?termid=5089</v>
      </c>
      <c r="P2138" s="6" t="str">
        <f>HYPERLINK("https://ceds.ed.gov/elementComment.aspx?elementName=Electronic Mail Address Type &amp;elementID=5089", "Click here to submit comment")</f>
        <v>Click here to submit comment</v>
      </c>
    </row>
    <row r="2139" spans="1:16" ht="90">
      <c r="A2139" s="6" t="s">
        <v>6869</v>
      </c>
      <c r="B2139" s="6" t="s">
        <v>6741</v>
      </c>
      <c r="C2139" s="6" t="s">
        <v>6742</v>
      </c>
      <c r="D2139" s="6" t="s">
        <v>2451</v>
      </c>
      <c r="E2139" s="6" t="s">
        <v>2452</v>
      </c>
      <c r="F2139" s="6" t="s">
        <v>13</v>
      </c>
      <c r="G2139" s="6" t="s">
        <v>5968</v>
      </c>
      <c r="H2139" s="6" t="s">
        <v>3</v>
      </c>
      <c r="I2139" s="6" t="s">
        <v>2453</v>
      </c>
      <c r="J2139" s="6"/>
      <c r="K2139" s="6"/>
      <c r="L2139" s="6" t="s">
        <v>2454</v>
      </c>
      <c r="M2139" s="6" t="s">
        <v>2455</v>
      </c>
      <c r="N2139" s="6" t="s">
        <v>2456</v>
      </c>
      <c r="O2139" s="6" t="str">
        <f>HYPERLINK("https://ceds.ed.gov/cedselementdetails.aspx?termid=5088")</f>
        <v>https://ceds.ed.gov/cedselementdetails.aspx?termid=5088</v>
      </c>
      <c r="P2139" s="6" t="str">
        <f>HYPERLINK("https://ceds.ed.gov/elementComment.aspx?elementName=Electronic Mail Address &amp;elementID=5088", "Click here to submit comment")</f>
        <v>Click here to submit comment</v>
      </c>
    </row>
    <row r="2140" spans="1:16" ht="409.5">
      <c r="A2140" s="6" t="s">
        <v>6869</v>
      </c>
      <c r="B2140" s="6" t="s">
        <v>6741</v>
      </c>
      <c r="C2140" s="6" t="s">
        <v>6820</v>
      </c>
      <c r="D2140" s="6" t="s">
        <v>4490</v>
      </c>
      <c r="E2140" s="6" t="s">
        <v>4491</v>
      </c>
      <c r="F2140" s="7" t="s">
        <v>6598</v>
      </c>
      <c r="G2140" s="6" t="s">
        <v>1480</v>
      </c>
      <c r="H2140" s="6" t="s">
        <v>3</v>
      </c>
      <c r="I2140" s="6"/>
      <c r="J2140" s="6"/>
      <c r="K2140" s="6"/>
      <c r="L2140" s="6" t="s">
        <v>4492</v>
      </c>
      <c r="M2140" s="6"/>
      <c r="N2140" s="6" t="s">
        <v>4493</v>
      </c>
      <c r="O2140" s="6" t="str">
        <f>HYPERLINK("https://ceds.ed.gov/cedselementdetails.aspx?termid=5415")</f>
        <v>https://ceds.ed.gov/cedselementdetails.aspx?termid=5415</v>
      </c>
      <c r="P2140" s="6" t="str">
        <f>HYPERLINK("https://ceds.ed.gov/elementComment.aspx?elementName=Person Relationship to Learner Type &amp;elementID=5415", "Click here to submit comment")</f>
        <v>Click here to submit comment</v>
      </c>
    </row>
    <row r="2141" spans="1:16" ht="180">
      <c r="A2141" s="6" t="s">
        <v>6869</v>
      </c>
      <c r="B2141" s="6" t="s">
        <v>6866</v>
      </c>
      <c r="C2141" s="6"/>
      <c r="D2141" s="6" t="s">
        <v>3540</v>
      </c>
      <c r="E2141" s="6" t="s">
        <v>3541</v>
      </c>
      <c r="F2141" s="6" t="s">
        <v>6225</v>
      </c>
      <c r="G2141" s="6"/>
      <c r="H2141" s="6" t="s">
        <v>54</v>
      </c>
      <c r="I2141" s="6"/>
      <c r="J2141" s="6"/>
      <c r="K2141" s="6" t="s">
        <v>3542</v>
      </c>
      <c r="L2141" s="6" t="s">
        <v>3543</v>
      </c>
      <c r="M2141" s="6"/>
      <c r="N2141" s="6" t="s">
        <v>3544</v>
      </c>
      <c r="O2141" s="6" t="str">
        <f>HYPERLINK("https://ceds.ed.gov/cedselementdetails.aspx?termid=6358")</f>
        <v>https://ceds.ed.gov/cedselementdetails.aspx?termid=6358</v>
      </c>
      <c r="P2141" s="6" t="str">
        <f>HYPERLINK("https://ceds.ed.gov/elementComment.aspx?elementName=Learning Resource Access API Type &amp;elementID=6358", "Click here to submit comment")</f>
        <v>Click here to submit comment</v>
      </c>
    </row>
    <row r="2142" spans="1:16" ht="60">
      <c r="A2142" s="6" t="s">
        <v>6869</v>
      </c>
      <c r="B2142" s="6" t="s">
        <v>6866</v>
      </c>
      <c r="C2142" s="6"/>
      <c r="D2142" s="6" t="s">
        <v>3545</v>
      </c>
      <c r="E2142" s="6" t="s">
        <v>3546</v>
      </c>
      <c r="F2142" s="6" t="s">
        <v>6227</v>
      </c>
      <c r="G2142" s="6"/>
      <c r="H2142" s="6" t="s">
        <v>54</v>
      </c>
      <c r="I2142" s="6"/>
      <c r="J2142" s="6"/>
      <c r="K2142" s="6"/>
      <c r="L2142" s="6" t="s">
        <v>3547</v>
      </c>
      <c r="M2142" s="6"/>
      <c r="N2142" s="6" t="s">
        <v>3548</v>
      </c>
      <c r="O2142" s="6" t="str">
        <f>HYPERLINK("https://ceds.ed.gov/cedselementdetails.aspx?termid=6359")</f>
        <v>https://ceds.ed.gov/cedselementdetails.aspx?termid=6359</v>
      </c>
      <c r="P2142" s="6" t="str">
        <f>HYPERLINK("https://ceds.ed.gov/elementComment.aspx?elementName=Learning Resource Access Hazard Type &amp;elementID=6359", "Click here to submit comment")</f>
        <v>Click here to submit comment</v>
      </c>
    </row>
    <row r="2143" spans="1:16" ht="105">
      <c r="A2143" s="6" t="s">
        <v>6869</v>
      </c>
      <c r="B2143" s="6" t="s">
        <v>6866</v>
      </c>
      <c r="C2143" s="6"/>
      <c r="D2143" s="6" t="s">
        <v>3549</v>
      </c>
      <c r="E2143" s="6" t="s">
        <v>3550</v>
      </c>
      <c r="F2143" s="6" t="s">
        <v>6228</v>
      </c>
      <c r="G2143" s="6"/>
      <c r="H2143" s="6" t="s">
        <v>54</v>
      </c>
      <c r="I2143" s="6"/>
      <c r="J2143" s="6"/>
      <c r="K2143" s="6" t="s">
        <v>3551</v>
      </c>
      <c r="L2143" s="6" t="s">
        <v>3552</v>
      </c>
      <c r="M2143" s="6"/>
      <c r="N2143" s="6" t="s">
        <v>3553</v>
      </c>
      <c r="O2143" s="6" t="str">
        <f>HYPERLINK("https://ceds.ed.gov/cedselementdetails.aspx?termid=6360")</f>
        <v>https://ceds.ed.gov/cedselementdetails.aspx?termid=6360</v>
      </c>
      <c r="P2143" s="6" t="str">
        <f>HYPERLINK("https://ceds.ed.gov/elementComment.aspx?elementName=Learning Resource Access Mode Type &amp;elementID=6360", "Click here to submit comment")</f>
        <v>Click here to submit comment</v>
      </c>
    </row>
    <row r="2144" spans="1:16" ht="45">
      <c r="A2144" s="6" t="s">
        <v>6869</v>
      </c>
      <c r="B2144" s="6" t="s">
        <v>6866</v>
      </c>
      <c r="C2144" s="6"/>
      <c r="D2144" s="6" t="s">
        <v>3554</v>
      </c>
      <c r="E2144" s="6" t="s">
        <v>3555</v>
      </c>
      <c r="F2144" s="6" t="s">
        <v>13</v>
      </c>
      <c r="G2144" s="6"/>
      <c r="H2144" s="6" t="s">
        <v>54</v>
      </c>
      <c r="I2144" s="6" t="s">
        <v>93</v>
      </c>
      <c r="J2144" s="6"/>
      <c r="K2144" s="6"/>
      <c r="L2144" s="6" t="s">
        <v>3556</v>
      </c>
      <c r="M2144" s="6"/>
      <c r="N2144" s="6" t="s">
        <v>3557</v>
      </c>
      <c r="O2144" s="6" t="str">
        <f>HYPERLINK("https://ceds.ed.gov/cedselementdetails.aspx?termid=6361")</f>
        <v>https://ceds.ed.gov/cedselementdetails.aspx?termid=6361</v>
      </c>
      <c r="P2144" s="6" t="str">
        <f>HYPERLINK("https://ceds.ed.gov/elementComment.aspx?elementName=Learning Resource Adaptation URL &amp;elementID=6361", "Click here to submit comment")</f>
        <v>Click here to submit comment</v>
      </c>
    </row>
    <row r="2145" spans="1:16" ht="30">
      <c r="A2145" s="6" t="s">
        <v>6869</v>
      </c>
      <c r="B2145" s="6" t="s">
        <v>6866</v>
      </c>
      <c r="C2145" s="6"/>
      <c r="D2145" s="6" t="s">
        <v>3558</v>
      </c>
      <c r="E2145" s="6" t="s">
        <v>3559</v>
      </c>
      <c r="F2145" s="6" t="s">
        <v>13</v>
      </c>
      <c r="G2145" s="6"/>
      <c r="H2145" s="6" t="s">
        <v>54</v>
      </c>
      <c r="I2145" s="6" t="s">
        <v>93</v>
      </c>
      <c r="J2145" s="6"/>
      <c r="K2145" s="6"/>
      <c r="L2145" s="6" t="s">
        <v>3560</v>
      </c>
      <c r="M2145" s="6"/>
      <c r="N2145" s="6" t="s">
        <v>3561</v>
      </c>
      <c r="O2145" s="6" t="str">
        <f>HYPERLINK("https://ceds.ed.gov/cedselementdetails.aspx?termid=6367")</f>
        <v>https://ceds.ed.gov/cedselementdetails.aspx?termid=6367</v>
      </c>
      <c r="P2145" s="6" t="str">
        <f>HYPERLINK("https://ceds.ed.gov/elementComment.aspx?elementName=Learning Resource Adapted From URL &amp;elementID=6367", "Click here to submit comment")</f>
        <v>Click here to submit comment</v>
      </c>
    </row>
    <row r="2146" spans="1:16" ht="75">
      <c r="A2146" s="6" t="s">
        <v>6869</v>
      </c>
      <c r="B2146" s="6" t="s">
        <v>6866</v>
      </c>
      <c r="C2146" s="6"/>
      <c r="D2146" s="6" t="s">
        <v>3562</v>
      </c>
      <c r="E2146" s="6" t="s">
        <v>3563</v>
      </c>
      <c r="F2146" s="6" t="s">
        <v>5963</v>
      </c>
      <c r="G2146" s="6"/>
      <c r="H2146" s="6" t="s">
        <v>54</v>
      </c>
      <c r="I2146" s="6"/>
      <c r="J2146" s="6"/>
      <c r="K2146" s="6" t="s">
        <v>3564</v>
      </c>
      <c r="L2146" s="6" t="s">
        <v>3565</v>
      </c>
      <c r="M2146" s="6"/>
      <c r="N2146" s="6" t="s">
        <v>3566</v>
      </c>
      <c r="O2146" s="6" t="str">
        <f>HYPERLINK("https://ceds.ed.gov/cedselementdetails.aspx?termid=6362")</f>
        <v>https://ceds.ed.gov/cedselementdetails.aspx?termid=6362</v>
      </c>
      <c r="P2146" s="6" t="str">
        <f>HYPERLINK("https://ceds.ed.gov/elementComment.aspx?elementName=Learning Resource Assistive Technologies Compatible Indicator &amp;elementID=6362", "Click here to submit comment")</f>
        <v>Click here to submit comment</v>
      </c>
    </row>
    <row r="2147" spans="1:16" ht="45">
      <c r="A2147" s="6" t="s">
        <v>6869</v>
      </c>
      <c r="B2147" s="6" t="s">
        <v>6866</v>
      </c>
      <c r="C2147" s="6"/>
      <c r="D2147" s="6" t="s">
        <v>3567</v>
      </c>
      <c r="E2147" s="6" t="s">
        <v>3568</v>
      </c>
      <c r="F2147" s="6" t="s">
        <v>13</v>
      </c>
      <c r="G2147" s="6"/>
      <c r="H2147" s="6" t="s">
        <v>66</v>
      </c>
      <c r="I2147" s="6" t="s">
        <v>93</v>
      </c>
      <c r="J2147" s="6" t="s">
        <v>3569</v>
      </c>
      <c r="K2147" s="6" t="s">
        <v>3570</v>
      </c>
      <c r="L2147" s="6" t="s">
        <v>3571</v>
      </c>
      <c r="M2147" s="6"/>
      <c r="N2147" s="6" t="s">
        <v>3572</v>
      </c>
      <c r="O2147" s="6" t="str">
        <f>HYPERLINK("https://ceds.ed.gov/cedselementdetails.aspx?termid=5923")</f>
        <v>https://ceds.ed.gov/cedselementdetails.aspx?termid=5923</v>
      </c>
      <c r="P2147" s="6" t="str">
        <f>HYPERLINK("https://ceds.ed.gov/elementComment.aspx?elementName=Learning Resource Based On URL &amp;elementID=5923", "Click here to submit comment")</f>
        <v>Click here to submit comment</v>
      </c>
    </row>
    <row r="2148" spans="1:16" ht="135">
      <c r="A2148" s="6" t="s">
        <v>6869</v>
      </c>
      <c r="B2148" s="6" t="s">
        <v>6866</v>
      </c>
      <c r="C2148" s="6"/>
      <c r="D2148" s="6" t="s">
        <v>3573</v>
      </c>
      <c r="E2148" s="6" t="s">
        <v>3574</v>
      </c>
      <c r="F2148" s="6" t="s">
        <v>6229</v>
      </c>
      <c r="G2148" s="6"/>
      <c r="H2148" s="6" t="s">
        <v>54</v>
      </c>
      <c r="I2148" s="6"/>
      <c r="J2148" s="6"/>
      <c r="K2148" s="6"/>
      <c r="L2148" s="6" t="s">
        <v>3575</v>
      </c>
      <c r="M2148" s="6"/>
      <c r="N2148" s="6" t="s">
        <v>3576</v>
      </c>
      <c r="O2148" s="6" t="str">
        <f>HYPERLINK("https://ceds.ed.gov/cedselementdetails.aspx?termid=6363")</f>
        <v>https://ceds.ed.gov/cedselementdetails.aspx?termid=6363</v>
      </c>
      <c r="P2148" s="6" t="str">
        <f>HYPERLINK("https://ceds.ed.gov/elementComment.aspx?elementName=Learning Resource Book Format Type &amp;elementID=6363", "Click here to submit comment")</f>
        <v>Click here to submit comment</v>
      </c>
    </row>
    <row r="2149" spans="1:16" ht="45">
      <c r="A2149" s="6" t="s">
        <v>6869</v>
      </c>
      <c r="B2149" s="6" t="s">
        <v>6866</v>
      </c>
      <c r="C2149" s="6"/>
      <c r="D2149" s="6" t="s">
        <v>3582</v>
      </c>
      <c r="E2149" s="6" t="s">
        <v>3583</v>
      </c>
      <c r="F2149" s="6" t="s">
        <v>13</v>
      </c>
      <c r="G2149" s="6"/>
      <c r="H2149" s="6"/>
      <c r="I2149" s="6" t="s">
        <v>93</v>
      </c>
      <c r="J2149" s="6"/>
      <c r="K2149" s="6"/>
      <c r="L2149" s="6" t="s">
        <v>3584</v>
      </c>
      <c r="M2149" s="6"/>
      <c r="N2149" s="6" t="s">
        <v>3585</v>
      </c>
      <c r="O2149" s="6" t="str">
        <f>HYPERLINK("https://ceds.ed.gov/cedselementdetails.aspx?termid=6159")</f>
        <v>https://ceds.ed.gov/cedselementdetails.aspx?termid=6159</v>
      </c>
      <c r="P2149" s="6" t="str">
        <f>HYPERLINK("https://ceds.ed.gov/elementComment.aspx?elementName=Learning Resource Concept Keyword &amp;elementID=6159", "Click here to submit comment")</f>
        <v>Click here to submit comment</v>
      </c>
    </row>
    <row r="2150" spans="1:16" ht="90">
      <c r="A2150" s="6" t="s">
        <v>6869</v>
      </c>
      <c r="B2150" s="6" t="s">
        <v>6866</v>
      </c>
      <c r="C2150" s="6"/>
      <c r="D2150" s="6" t="s">
        <v>3586</v>
      </c>
      <c r="E2150" s="6" t="s">
        <v>3587</v>
      </c>
      <c r="F2150" s="6" t="s">
        <v>6232</v>
      </c>
      <c r="G2150" s="6"/>
      <c r="H2150" s="6" t="s">
        <v>54</v>
      </c>
      <c r="I2150" s="6"/>
      <c r="J2150" s="6"/>
      <c r="K2150" s="6"/>
      <c r="L2150" s="6" t="s">
        <v>3588</v>
      </c>
      <c r="M2150" s="6"/>
      <c r="N2150" s="6" t="s">
        <v>3589</v>
      </c>
      <c r="O2150" s="6" t="str">
        <f>HYPERLINK("https://ceds.ed.gov/cedselementdetails.aspx?termid=6364")</f>
        <v>https://ceds.ed.gov/cedselementdetails.aspx?termid=6364</v>
      </c>
      <c r="P2150" s="6" t="str">
        <f>HYPERLINK("https://ceds.ed.gov/elementComment.aspx?elementName=Learning Resource Control Flexibility Type &amp;elementID=6364", "Click here to submit comment")</f>
        <v>Click here to submit comment</v>
      </c>
    </row>
    <row r="2151" spans="1:16" ht="45">
      <c r="A2151" s="6" t="s">
        <v>6869</v>
      </c>
      <c r="B2151" s="6" t="s">
        <v>6866</v>
      </c>
      <c r="C2151" s="6"/>
      <c r="D2151" s="6" t="s">
        <v>3590</v>
      </c>
      <c r="E2151" s="6" t="s">
        <v>3591</v>
      </c>
      <c r="F2151" s="6" t="s">
        <v>13</v>
      </c>
      <c r="G2151" s="6"/>
      <c r="H2151" s="6"/>
      <c r="I2151" s="6" t="s">
        <v>106</v>
      </c>
      <c r="J2151" s="6"/>
      <c r="K2151" s="6"/>
      <c r="L2151" s="6" t="s">
        <v>3592</v>
      </c>
      <c r="M2151" s="6"/>
      <c r="N2151" s="6" t="s">
        <v>3593</v>
      </c>
      <c r="O2151" s="6" t="str">
        <f>HYPERLINK("https://ceds.ed.gov/cedselementdetails.aspx?termid=6157")</f>
        <v>https://ceds.ed.gov/cedselementdetails.aspx?termid=6157</v>
      </c>
      <c r="P2151" s="6" t="str">
        <f>HYPERLINK("https://ceds.ed.gov/elementComment.aspx?elementName=Learning Resource Copyright Holder Name &amp;elementID=6157", "Click here to submit comment")</f>
        <v>Click here to submit comment</v>
      </c>
    </row>
    <row r="2152" spans="1:16" ht="30">
      <c r="A2152" s="6" t="s">
        <v>6869</v>
      </c>
      <c r="B2152" s="6" t="s">
        <v>6866</v>
      </c>
      <c r="C2152" s="6"/>
      <c r="D2152" s="6" t="s">
        <v>3594</v>
      </c>
      <c r="E2152" s="6" t="s">
        <v>3595</v>
      </c>
      <c r="F2152" s="6" t="s">
        <v>13</v>
      </c>
      <c r="G2152" s="6"/>
      <c r="H2152" s="6"/>
      <c r="I2152" s="6" t="s">
        <v>1736</v>
      </c>
      <c r="J2152" s="6"/>
      <c r="K2152" s="6"/>
      <c r="L2152" s="6" t="s">
        <v>3596</v>
      </c>
      <c r="M2152" s="6"/>
      <c r="N2152" s="6" t="s">
        <v>3597</v>
      </c>
      <c r="O2152" s="6" t="str">
        <f>HYPERLINK("https://ceds.ed.gov/cedselementdetails.aspx?termid=6158")</f>
        <v>https://ceds.ed.gov/cedselementdetails.aspx?termid=6158</v>
      </c>
      <c r="P2152" s="6" t="str">
        <f>HYPERLINK("https://ceds.ed.gov/elementComment.aspx?elementName=Learning Resource Copyright Year &amp;elementID=6158", "Click here to submit comment")</f>
        <v>Click here to submit comment</v>
      </c>
    </row>
    <row r="2153" spans="1:16" ht="30">
      <c r="A2153" s="6" t="s">
        <v>6869</v>
      </c>
      <c r="B2153" s="6" t="s">
        <v>6866</v>
      </c>
      <c r="C2153" s="6"/>
      <c r="D2153" s="6" t="s">
        <v>3598</v>
      </c>
      <c r="E2153" s="6" t="s">
        <v>3599</v>
      </c>
      <c r="F2153" s="6" t="s">
        <v>13</v>
      </c>
      <c r="G2153" s="6"/>
      <c r="H2153" s="6"/>
      <c r="I2153" s="6" t="s">
        <v>106</v>
      </c>
      <c r="J2153" s="6"/>
      <c r="K2153" s="6"/>
      <c r="L2153" s="6" t="s">
        <v>3600</v>
      </c>
      <c r="M2153" s="6"/>
      <c r="N2153" s="6" t="s">
        <v>3601</v>
      </c>
      <c r="O2153" s="6" t="str">
        <f>HYPERLINK("https://ceds.ed.gov/cedselementdetails.aspx?termid=5918")</f>
        <v>https://ceds.ed.gov/cedselementdetails.aspx?termid=5918</v>
      </c>
      <c r="P2153" s="6" t="str">
        <f>HYPERLINK("https://ceds.ed.gov/elementComment.aspx?elementName=Learning Resource Creator &amp;elementID=5918", "Click here to submit comment")</f>
        <v>Click here to submit comment</v>
      </c>
    </row>
    <row r="2154" spans="1:16" ht="30">
      <c r="A2154" s="6" t="s">
        <v>6869</v>
      </c>
      <c r="B2154" s="6" t="s">
        <v>6866</v>
      </c>
      <c r="C2154" s="6"/>
      <c r="D2154" s="6" t="s">
        <v>3602</v>
      </c>
      <c r="E2154" s="6" t="s">
        <v>3603</v>
      </c>
      <c r="F2154" s="6" t="s">
        <v>13</v>
      </c>
      <c r="G2154" s="6"/>
      <c r="H2154" s="6"/>
      <c r="I2154" s="6" t="s">
        <v>73</v>
      </c>
      <c r="J2154" s="6"/>
      <c r="K2154" s="6"/>
      <c r="L2154" s="6" t="s">
        <v>3604</v>
      </c>
      <c r="M2154" s="6"/>
      <c r="N2154" s="6" t="s">
        <v>3605</v>
      </c>
      <c r="O2154" s="6" t="str">
        <f>HYPERLINK("https://ceds.ed.gov/cedselementdetails.aspx?termid=5916")</f>
        <v>https://ceds.ed.gov/cedselementdetails.aspx?termid=5916</v>
      </c>
      <c r="P2154" s="6" t="str">
        <f>HYPERLINK("https://ceds.ed.gov/elementComment.aspx?elementName=Learning Resource Date Created &amp;elementID=5916", "Click here to submit comment")</f>
        <v>Click here to submit comment</v>
      </c>
    </row>
    <row r="2155" spans="1:16" ht="30">
      <c r="A2155" s="6" t="s">
        <v>6869</v>
      </c>
      <c r="B2155" s="6" t="s">
        <v>6866</v>
      </c>
      <c r="C2155" s="6"/>
      <c r="D2155" s="6" t="s">
        <v>3606</v>
      </c>
      <c r="E2155" s="6" t="s">
        <v>3607</v>
      </c>
      <c r="F2155" s="6" t="s">
        <v>13</v>
      </c>
      <c r="G2155" s="6"/>
      <c r="H2155" s="6"/>
      <c r="I2155" s="6" t="s">
        <v>93</v>
      </c>
      <c r="J2155" s="6"/>
      <c r="K2155" s="6"/>
      <c r="L2155" s="6" t="s">
        <v>3608</v>
      </c>
      <c r="M2155" s="6"/>
      <c r="N2155" s="6" t="s">
        <v>3609</v>
      </c>
      <c r="O2155" s="6" t="str">
        <f>HYPERLINK("https://ceds.ed.gov/cedselementdetails.aspx?termid=6156")</f>
        <v>https://ceds.ed.gov/cedselementdetails.aspx?termid=6156</v>
      </c>
      <c r="P2155" s="6" t="str">
        <f>HYPERLINK("https://ceds.ed.gov/elementComment.aspx?elementName=Learning Resource Description &amp;elementID=6156", "Click here to submit comment")</f>
        <v>Click here to submit comment</v>
      </c>
    </row>
    <row r="2156" spans="1:16" ht="135">
      <c r="A2156" s="6" t="s">
        <v>6869</v>
      </c>
      <c r="B2156" s="6" t="s">
        <v>6866</v>
      </c>
      <c r="C2156" s="6"/>
      <c r="D2156" s="6" t="s">
        <v>3610</v>
      </c>
      <c r="E2156" s="6" t="s">
        <v>3611</v>
      </c>
      <c r="F2156" s="6" t="s">
        <v>3612</v>
      </c>
      <c r="G2156" s="6"/>
      <c r="H2156" s="6" t="s">
        <v>54</v>
      </c>
      <c r="I2156" s="6"/>
      <c r="J2156" s="6"/>
      <c r="K2156" s="6"/>
      <c r="L2156" s="6" t="s">
        <v>3613</v>
      </c>
      <c r="M2156" s="6"/>
      <c r="N2156" s="6" t="s">
        <v>3614</v>
      </c>
      <c r="O2156" s="6" t="str">
        <f>HYPERLINK("https://ceds.ed.gov/cedselementdetails.aspx?termid=6365")</f>
        <v>https://ceds.ed.gov/cedselementdetails.aspx?termid=6365</v>
      </c>
      <c r="P2156" s="6" t="str">
        <f>HYPERLINK("https://ceds.ed.gov/elementComment.aspx?elementName=Learning Resource Digital Media Sub Type &amp;elementID=6365", "Click here to submit comment")</f>
        <v>Click here to submit comment</v>
      </c>
    </row>
    <row r="2157" spans="1:16" ht="150">
      <c r="A2157" s="6" t="s">
        <v>6869</v>
      </c>
      <c r="B2157" s="6" t="s">
        <v>6866</v>
      </c>
      <c r="C2157" s="6"/>
      <c r="D2157" s="6" t="s">
        <v>3615</v>
      </c>
      <c r="E2157" s="6" t="s">
        <v>3616</v>
      </c>
      <c r="F2157" s="6" t="s">
        <v>6233</v>
      </c>
      <c r="G2157" s="6"/>
      <c r="H2157" s="6" t="s">
        <v>54</v>
      </c>
      <c r="I2157" s="6"/>
      <c r="J2157" s="6"/>
      <c r="K2157" s="6"/>
      <c r="L2157" s="6" t="s">
        <v>3617</v>
      </c>
      <c r="M2157" s="6"/>
      <c r="N2157" s="6" t="s">
        <v>3618</v>
      </c>
      <c r="O2157" s="6" t="str">
        <f>HYPERLINK("https://ceds.ed.gov/cedselementdetails.aspx?termid=6366")</f>
        <v>https://ceds.ed.gov/cedselementdetails.aspx?termid=6366</v>
      </c>
      <c r="P2157" s="6" t="str">
        <f>HYPERLINK("https://ceds.ed.gov/elementComment.aspx?elementName=Learning Resource Digital Media Type &amp;elementID=6366", "Click here to submit comment")</f>
        <v>Click here to submit comment</v>
      </c>
    </row>
    <row r="2158" spans="1:16" ht="120">
      <c r="A2158" s="6" t="s">
        <v>6869</v>
      </c>
      <c r="B2158" s="6" t="s">
        <v>6866</v>
      </c>
      <c r="C2158" s="6"/>
      <c r="D2158" s="6" t="s">
        <v>3624</v>
      </c>
      <c r="E2158" s="6" t="s">
        <v>3625</v>
      </c>
      <c r="F2158" s="7" t="s">
        <v>6565</v>
      </c>
      <c r="G2158" s="6"/>
      <c r="H2158" s="6" t="s">
        <v>66</v>
      </c>
      <c r="I2158" s="6"/>
      <c r="J2158" s="6" t="s">
        <v>3626</v>
      </c>
      <c r="K2158" s="6"/>
      <c r="L2158" s="6" t="s">
        <v>3627</v>
      </c>
      <c r="M2158" s="6"/>
      <c r="N2158" s="6" t="s">
        <v>3628</v>
      </c>
      <c r="O2158" s="6" t="str">
        <f>HYPERLINK("https://ceds.ed.gov/cedselementdetails.aspx?termid=6005")</f>
        <v>https://ceds.ed.gov/cedselementdetails.aspx?termid=6005</v>
      </c>
      <c r="P2158" s="6" t="str">
        <f>HYPERLINK("https://ceds.ed.gov/elementComment.aspx?elementName=Learning Resource Educational Use &amp;elementID=6005", "Click here to submit comment")</f>
        <v>Click here to submit comment</v>
      </c>
    </row>
    <row r="2159" spans="1:16" ht="150">
      <c r="A2159" s="6" t="s">
        <v>6869</v>
      </c>
      <c r="B2159" s="6" t="s">
        <v>6866</v>
      </c>
      <c r="C2159" s="6"/>
      <c r="D2159" s="6" t="s">
        <v>3629</v>
      </c>
      <c r="E2159" s="6" t="s">
        <v>3630</v>
      </c>
      <c r="F2159" s="6" t="s">
        <v>6235</v>
      </c>
      <c r="G2159" s="6"/>
      <c r="H2159" s="6"/>
      <c r="I2159" s="6"/>
      <c r="J2159" s="6"/>
      <c r="K2159" s="6"/>
      <c r="L2159" s="6" t="s">
        <v>3631</v>
      </c>
      <c r="M2159" s="6"/>
      <c r="N2159" s="6" t="s">
        <v>3632</v>
      </c>
      <c r="O2159" s="6" t="str">
        <f>HYPERLINK("https://ceds.ed.gov/cedselementdetails.aspx?termid=5924")</f>
        <v>https://ceds.ed.gov/cedselementdetails.aspx?termid=5924</v>
      </c>
      <c r="P2159" s="6" t="str">
        <f>HYPERLINK("https://ceds.ed.gov/elementComment.aspx?elementName=Learning Resource Intended End User Role &amp;elementID=5924", "Click here to submit comment")</f>
        <v>Click here to submit comment</v>
      </c>
    </row>
    <row r="2160" spans="1:16" ht="60">
      <c r="A2160" s="6" t="s">
        <v>6869</v>
      </c>
      <c r="B2160" s="6" t="s">
        <v>6866</v>
      </c>
      <c r="C2160" s="6"/>
      <c r="D2160" s="6" t="s">
        <v>3633</v>
      </c>
      <c r="E2160" s="6" t="s">
        <v>3634</v>
      </c>
      <c r="F2160" s="6" t="s">
        <v>6236</v>
      </c>
      <c r="G2160" s="6"/>
      <c r="H2160" s="6"/>
      <c r="I2160" s="6"/>
      <c r="J2160" s="6"/>
      <c r="K2160" s="6"/>
      <c r="L2160" s="6" t="s">
        <v>3635</v>
      </c>
      <c r="M2160" s="6"/>
      <c r="N2160" s="6" t="s">
        <v>3636</v>
      </c>
      <c r="O2160" s="6" t="str">
        <f>HYPERLINK("https://ceds.ed.gov/cedselementdetails.aspx?termid=5928")</f>
        <v>https://ceds.ed.gov/cedselementdetails.aspx?termid=5928</v>
      </c>
      <c r="P2160" s="6" t="str">
        <f>HYPERLINK("https://ceds.ed.gov/elementComment.aspx?elementName=Learning Resource Interactivity Type &amp;elementID=5928", "Click here to submit comment")</f>
        <v>Click here to submit comment</v>
      </c>
    </row>
    <row r="2161" spans="1:16" ht="150">
      <c r="A2161" s="6" t="s">
        <v>6869</v>
      </c>
      <c r="B2161" s="6" t="s">
        <v>6866</v>
      </c>
      <c r="C2161" s="6"/>
      <c r="D2161" s="6" t="s">
        <v>3637</v>
      </c>
      <c r="E2161" s="6" t="s">
        <v>3638</v>
      </c>
      <c r="F2161" s="5" t="s">
        <v>939</v>
      </c>
      <c r="G2161" s="6"/>
      <c r="H2161" s="6" t="s">
        <v>66</v>
      </c>
      <c r="I2161" s="6"/>
      <c r="J2161" s="6" t="s">
        <v>3639</v>
      </c>
      <c r="K2161" s="6" t="s">
        <v>3640</v>
      </c>
      <c r="L2161" s="6" t="s">
        <v>3641</v>
      </c>
      <c r="M2161" s="6"/>
      <c r="N2161" s="6" t="s">
        <v>3642</v>
      </c>
      <c r="O2161" s="6" t="str">
        <f>HYPERLINK("https://ceds.ed.gov/cedselementdetails.aspx?termid=5920")</f>
        <v>https://ceds.ed.gov/cedselementdetails.aspx?termid=5920</v>
      </c>
      <c r="P2161" s="6" t="str">
        <f>HYPERLINK("https://ceds.ed.gov/elementComment.aspx?elementName=Learning Resource Language &amp;elementID=5920", "Click here to submit comment")</f>
        <v>Click here to submit comment</v>
      </c>
    </row>
    <row r="2162" spans="1:16" ht="315">
      <c r="A2162" s="6" t="s">
        <v>6869</v>
      </c>
      <c r="B2162" s="6" t="s">
        <v>6866</v>
      </c>
      <c r="C2162" s="6"/>
      <c r="D2162" s="6" t="s">
        <v>3643</v>
      </c>
      <c r="E2162" s="6" t="s">
        <v>3644</v>
      </c>
      <c r="F2162" s="6" t="s">
        <v>6237</v>
      </c>
      <c r="G2162" s="6"/>
      <c r="H2162" s="6" t="s">
        <v>54</v>
      </c>
      <c r="I2162" s="6"/>
      <c r="J2162" s="6"/>
      <c r="K2162" s="6" t="s">
        <v>3645</v>
      </c>
      <c r="L2162" s="6" t="s">
        <v>3646</v>
      </c>
      <c r="M2162" s="6"/>
      <c r="N2162" s="6" t="s">
        <v>3647</v>
      </c>
      <c r="O2162" s="6" t="str">
        <f>HYPERLINK("https://ceds.ed.gov/cedselementdetails.aspx?termid=6368")</f>
        <v>https://ceds.ed.gov/cedselementdetails.aspx?termid=6368</v>
      </c>
      <c r="P2162" s="6" t="str">
        <f>HYPERLINK("https://ceds.ed.gov/elementComment.aspx?elementName=Learning Resource Media Feature Type &amp;elementID=6368", "Click here to submit comment")</f>
        <v>Click here to submit comment</v>
      </c>
    </row>
    <row r="2163" spans="1:16" ht="60">
      <c r="A2163" s="6" t="s">
        <v>6869</v>
      </c>
      <c r="B2163" s="6" t="s">
        <v>6866</v>
      </c>
      <c r="C2163" s="6"/>
      <c r="D2163" s="6" t="s">
        <v>3653</v>
      </c>
      <c r="E2163" s="6" t="s">
        <v>3654</v>
      </c>
      <c r="F2163" s="6" t="s">
        <v>13</v>
      </c>
      <c r="G2163" s="6"/>
      <c r="H2163" s="6" t="s">
        <v>54</v>
      </c>
      <c r="I2163" s="6" t="s">
        <v>575</v>
      </c>
      <c r="J2163" s="6"/>
      <c r="K2163" s="6"/>
      <c r="L2163" s="6" t="s">
        <v>3655</v>
      </c>
      <c r="M2163" s="6"/>
      <c r="N2163" s="6" t="s">
        <v>3656</v>
      </c>
      <c r="O2163" s="6" t="str">
        <f>HYPERLINK("https://ceds.ed.gov/cedselementdetails.aspx?termid=6369")</f>
        <v>https://ceds.ed.gov/cedselementdetails.aspx?termid=6369</v>
      </c>
      <c r="P2163" s="6" t="str">
        <f>HYPERLINK("https://ceds.ed.gov/elementComment.aspx?elementName=Learning Resource Peer Rating Sample Size &amp;elementID=6369", "Click here to submit comment")</f>
        <v>Click here to submit comment</v>
      </c>
    </row>
    <row r="2164" spans="1:16" ht="90">
      <c r="A2164" s="6" t="s">
        <v>6869</v>
      </c>
      <c r="B2164" s="6" t="s">
        <v>6866</v>
      </c>
      <c r="C2164" s="6"/>
      <c r="D2164" s="6" t="s">
        <v>3657</v>
      </c>
      <c r="E2164" s="6" t="s">
        <v>3658</v>
      </c>
      <c r="F2164" s="6" t="s">
        <v>13</v>
      </c>
      <c r="G2164" s="6"/>
      <c r="H2164" s="6"/>
      <c r="I2164" s="6" t="s">
        <v>957</v>
      </c>
      <c r="J2164" s="6"/>
      <c r="K2164" s="6"/>
      <c r="L2164" s="6" t="s">
        <v>3659</v>
      </c>
      <c r="M2164" s="6"/>
      <c r="N2164" s="6" t="s">
        <v>3660</v>
      </c>
      <c r="O2164" s="6" t="str">
        <f>HYPERLINK("https://ceds.ed.gov/cedselementdetails.aspx?termid=6161")</f>
        <v>https://ceds.ed.gov/cedselementdetails.aspx?termid=6161</v>
      </c>
      <c r="P2164" s="6" t="str">
        <f>HYPERLINK("https://ceds.ed.gov/elementComment.aspx?elementName=Learning Resource Peer Rating Value &amp;elementID=6161", "Click here to submit comment")</f>
        <v>Click here to submit comment</v>
      </c>
    </row>
    <row r="2165" spans="1:16" ht="409.5">
      <c r="A2165" s="6" t="s">
        <v>6869</v>
      </c>
      <c r="B2165" s="6" t="s">
        <v>6866</v>
      </c>
      <c r="C2165" s="6"/>
      <c r="D2165" s="6" t="s">
        <v>3661</v>
      </c>
      <c r="E2165" s="6" t="s">
        <v>3662</v>
      </c>
      <c r="F2165" s="7" t="s">
        <v>6566</v>
      </c>
      <c r="G2165" s="6"/>
      <c r="H2165" s="6" t="s">
        <v>54</v>
      </c>
      <c r="I2165" s="6"/>
      <c r="J2165" s="6"/>
      <c r="K2165" s="6"/>
      <c r="L2165" s="6" t="s">
        <v>3663</v>
      </c>
      <c r="M2165" s="6"/>
      <c r="N2165" s="6" t="s">
        <v>3664</v>
      </c>
      <c r="O2165" s="6" t="str">
        <f>HYPERLINK("https://ceds.ed.gov/cedselementdetails.aspx?termid=6370")</f>
        <v>https://ceds.ed.gov/cedselementdetails.aspx?termid=6370</v>
      </c>
      <c r="P2165" s="6" t="str">
        <f>HYPERLINK("https://ceds.ed.gov/elementComment.aspx?elementName=Learning Resource Physical Media Type &amp;elementID=6370", "Click here to submit comment")</f>
        <v>Click here to submit comment</v>
      </c>
    </row>
    <row r="2166" spans="1:16" ht="30">
      <c r="A2166" s="6" t="s">
        <v>6869</v>
      </c>
      <c r="B2166" s="6" t="s">
        <v>6866</v>
      </c>
      <c r="C2166" s="6"/>
      <c r="D2166" s="6" t="s">
        <v>3669</v>
      </c>
      <c r="E2166" s="6" t="s">
        <v>3670</v>
      </c>
      <c r="F2166" s="6" t="s">
        <v>13</v>
      </c>
      <c r="G2166" s="6"/>
      <c r="H2166" s="6"/>
      <c r="I2166" s="6" t="s">
        <v>106</v>
      </c>
      <c r="J2166" s="6"/>
      <c r="K2166" s="6"/>
      <c r="L2166" s="6" t="s">
        <v>3671</v>
      </c>
      <c r="M2166" s="6"/>
      <c r="N2166" s="6" t="s">
        <v>3672</v>
      </c>
      <c r="O2166" s="6" t="str">
        <f>HYPERLINK("https://ceds.ed.gov/cedselementdetails.aspx?termid=5919")</f>
        <v>https://ceds.ed.gov/cedselementdetails.aspx?termid=5919</v>
      </c>
      <c r="P2166" s="6" t="str">
        <f>HYPERLINK("https://ceds.ed.gov/elementComment.aspx?elementName=Learning Resource Publisher Name &amp;elementID=5919", "Click here to submit comment")</f>
        <v>Click here to submit comment</v>
      </c>
    </row>
    <row r="2167" spans="1:16" ht="60">
      <c r="A2167" s="6" t="s">
        <v>6869</v>
      </c>
      <c r="B2167" s="6" t="s">
        <v>6866</v>
      </c>
      <c r="C2167" s="6"/>
      <c r="D2167" s="6" t="s">
        <v>3673</v>
      </c>
      <c r="E2167" s="6" t="s">
        <v>3674</v>
      </c>
      <c r="F2167" s="6" t="s">
        <v>13</v>
      </c>
      <c r="G2167" s="6"/>
      <c r="H2167" s="6"/>
      <c r="I2167" s="6" t="s">
        <v>100</v>
      </c>
      <c r="J2167" s="6"/>
      <c r="K2167" s="6" t="s">
        <v>3675</v>
      </c>
      <c r="L2167" s="6" t="s">
        <v>3676</v>
      </c>
      <c r="M2167" s="6"/>
      <c r="N2167" s="6" t="s">
        <v>3677</v>
      </c>
      <c r="O2167" s="6" t="str">
        <f>HYPERLINK("https://ceds.ed.gov/cedselementdetails.aspx?termid=5914")</f>
        <v>https://ceds.ed.gov/cedselementdetails.aspx?termid=5914</v>
      </c>
      <c r="P2167" s="6" t="str">
        <f>HYPERLINK("https://ceds.ed.gov/elementComment.aspx?elementName=Learning Resource Subject Code &amp;elementID=5914", "Click here to submit comment")</f>
        <v>Click here to submit comment</v>
      </c>
    </row>
    <row r="2168" spans="1:16" ht="60">
      <c r="A2168" s="6" t="s">
        <v>6869</v>
      </c>
      <c r="B2168" s="6" t="s">
        <v>6866</v>
      </c>
      <c r="C2168" s="6"/>
      <c r="D2168" s="6" t="s">
        <v>3678</v>
      </c>
      <c r="E2168" s="6" t="s">
        <v>3679</v>
      </c>
      <c r="F2168" s="6" t="s">
        <v>13</v>
      </c>
      <c r="G2168" s="6"/>
      <c r="H2168" s="6"/>
      <c r="I2168" s="6" t="s">
        <v>100</v>
      </c>
      <c r="J2168" s="6"/>
      <c r="K2168" s="6" t="s">
        <v>3680</v>
      </c>
      <c r="L2168" s="6" t="s">
        <v>3681</v>
      </c>
      <c r="M2168" s="6"/>
      <c r="N2168" s="6" t="s">
        <v>3682</v>
      </c>
      <c r="O2168" s="6" t="str">
        <f>HYPERLINK("https://ceds.ed.gov/cedselementdetails.aspx?termid=5915")</f>
        <v>https://ceds.ed.gov/cedselementdetails.aspx?termid=5915</v>
      </c>
      <c r="P2168" s="6" t="str">
        <f>HYPERLINK("https://ceds.ed.gov/elementComment.aspx?elementName=Learning Resource Subject Code System &amp;elementID=5915", "Click here to submit comment")</f>
        <v>Click here to submit comment</v>
      </c>
    </row>
    <row r="2169" spans="1:16" ht="30">
      <c r="A2169" s="6" t="s">
        <v>6869</v>
      </c>
      <c r="B2169" s="6" t="s">
        <v>6866</v>
      </c>
      <c r="C2169" s="6"/>
      <c r="D2169" s="6" t="s">
        <v>3683</v>
      </c>
      <c r="E2169" s="6" t="s">
        <v>3684</v>
      </c>
      <c r="F2169" s="6" t="s">
        <v>13</v>
      </c>
      <c r="G2169" s="6"/>
      <c r="H2169" s="6"/>
      <c r="I2169" s="6" t="s">
        <v>100</v>
      </c>
      <c r="J2169" s="6"/>
      <c r="K2169" s="6"/>
      <c r="L2169" s="6" t="s">
        <v>3685</v>
      </c>
      <c r="M2169" s="6"/>
      <c r="N2169" s="6" t="s">
        <v>3686</v>
      </c>
      <c r="O2169" s="6" t="str">
        <f>HYPERLINK("https://ceds.ed.gov/cedselementdetails.aspx?termid=5913")</f>
        <v>https://ceds.ed.gov/cedselementdetails.aspx?termid=5913</v>
      </c>
      <c r="P2169" s="6" t="str">
        <f>HYPERLINK("https://ceds.ed.gov/elementComment.aspx?elementName=Learning Resource Subject Name &amp;elementID=5913", "Click here to submit comment")</f>
        <v>Click here to submit comment</v>
      </c>
    </row>
    <row r="2170" spans="1:16" ht="45">
      <c r="A2170" s="6" t="s">
        <v>6869</v>
      </c>
      <c r="B2170" s="6" t="s">
        <v>6866</v>
      </c>
      <c r="C2170" s="6"/>
      <c r="D2170" s="6" t="s">
        <v>3687</v>
      </c>
      <c r="E2170" s="6" t="s">
        <v>3688</v>
      </c>
      <c r="F2170" s="6" t="s">
        <v>13</v>
      </c>
      <c r="G2170" s="6"/>
      <c r="H2170" s="6"/>
      <c r="I2170" s="6" t="s">
        <v>100</v>
      </c>
      <c r="J2170" s="6"/>
      <c r="K2170" s="6"/>
      <c r="L2170" s="6" t="s">
        <v>3689</v>
      </c>
      <c r="M2170" s="6"/>
      <c r="N2170" s="6" t="s">
        <v>3690</v>
      </c>
      <c r="O2170" s="6" t="str">
        <f>HYPERLINK("https://ceds.ed.gov/cedselementdetails.aspx?termid=5931")</f>
        <v>https://ceds.ed.gov/cedselementdetails.aspx?termid=5931</v>
      </c>
      <c r="P2170" s="6" t="str">
        <f>HYPERLINK("https://ceds.ed.gov/elementComment.aspx?elementName=Learning Resource Text Complexity System &amp;elementID=5931", "Click here to submit comment")</f>
        <v>Click here to submit comment</v>
      </c>
    </row>
    <row r="2171" spans="1:16" ht="45">
      <c r="A2171" s="6" t="s">
        <v>6869</v>
      </c>
      <c r="B2171" s="6" t="s">
        <v>6866</v>
      </c>
      <c r="C2171" s="6"/>
      <c r="D2171" s="6" t="s">
        <v>3691</v>
      </c>
      <c r="E2171" s="6" t="s">
        <v>3692</v>
      </c>
      <c r="F2171" s="6" t="s">
        <v>13</v>
      </c>
      <c r="G2171" s="6"/>
      <c r="H2171" s="6"/>
      <c r="I2171" s="6" t="s">
        <v>100</v>
      </c>
      <c r="J2171" s="6"/>
      <c r="K2171" s="6"/>
      <c r="L2171" s="6" t="s">
        <v>3693</v>
      </c>
      <c r="M2171" s="6"/>
      <c r="N2171" s="6" t="s">
        <v>3694</v>
      </c>
      <c r="O2171" s="6" t="str">
        <f>HYPERLINK("https://ceds.ed.gov/cedselementdetails.aspx?termid=5930")</f>
        <v>https://ceds.ed.gov/cedselementdetails.aspx?termid=5930</v>
      </c>
      <c r="P2171" s="6" t="str">
        <f>HYPERLINK("https://ceds.ed.gov/elementComment.aspx?elementName=Learning Resource Text Complexity Value &amp;elementID=5930", "Click here to submit comment")</f>
        <v>Click here to submit comment</v>
      </c>
    </row>
    <row r="2172" spans="1:16" ht="60">
      <c r="A2172" s="6" t="s">
        <v>6869</v>
      </c>
      <c r="B2172" s="6" t="s">
        <v>6866</v>
      </c>
      <c r="C2172" s="6"/>
      <c r="D2172" s="6" t="s">
        <v>3695</v>
      </c>
      <c r="E2172" s="6" t="s">
        <v>3696</v>
      </c>
      <c r="F2172" s="6" t="s">
        <v>13</v>
      </c>
      <c r="G2172" s="6"/>
      <c r="H2172" s="6" t="s">
        <v>66</v>
      </c>
      <c r="I2172" s="6" t="s">
        <v>3697</v>
      </c>
      <c r="J2172" s="6" t="s">
        <v>3698</v>
      </c>
      <c r="K2172" s="6"/>
      <c r="L2172" s="6" t="s">
        <v>3699</v>
      </c>
      <c r="M2172" s="6"/>
      <c r="N2172" s="6" t="s">
        <v>3700</v>
      </c>
      <c r="O2172" s="6" t="str">
        <f>HYPERLINK("https://ceds.ed.gov/cedselementdetails.aspx?termid=5925")</f>
        <v>https://ceds.ed.gov/cedselementdetails.aspx?termid=5925</v>
      </c>
      <c r="P2172" s="6" t="str">
        <f>HYPERLINK("https://ceds.ed.gov/elementComment.aspx?elementName=Learning Resource Time Required &amp;elementID=5925", "Click here to submit comment")</f>
        <v>Click here to submit comment</v>
      </c>
    </row>
    <row r="2173" spans="1:16" ht="30">
      <c r="A2173" s="6" t="s">
        <v>6869</v>
      </c>
      <c r="B2173" s="6" t="s">
        <v>6866</v>
      </c>
      <c r="C2173" s="6"/>
      <c r="D2173" s="6" t="s">
        <v>3701</v>
      </c>
      <c r="E2173" s="6" t="s">
        <v>3702</v>
      </c>
      <c r="F2173" s="6" t="s">
        <v>13</v>
      </c>
      <c r="G2173" s="6"/>
      <c r="H2173" s="6"/>
      <c r="I2173" s="6" t="s">
        <v>100</v>
      </c>
      <c r="J2173" s="6"/>
      <c r="K2173" s="6"/>
      <c r="L2173" s="6" t="s">
        <v>3703</v>
      </c>
      <c r="M2173" s="6"/>
      <c r="N2173" s="6" t="s">
        <v>3704</v>
      </c>
      <c r="O2173" s="6" t="str">
        <f>HYPERLINK("https://ceds.ed.gov/cedselementdetails.aspx?termid=5912")</f>
        <v>https://ceds.ed.gov/cedselementdetails.aspx?termid=5912</v>
      </c>
      <c r="P2173" s="6" t="str">
        <f>HYPERLINK("https://ceds.ed.gov/elementComment.aspx?elementName=Learning Resource Title &amp;elementID=5912", "Click here to submit comment")</f>
        <v>Click here to submit comment</v>
      </c>
    </row>
    <row r="2174" spans="1:16" ht="409.5">
      <c r="A2174" s="6" t="s">
        <v>6869</v>
      </c>
      <c r="B2174" s="6" t="s">
        <v>6866</v>
      </c>
      <c r="C2174" s="6"/>
      <c r="D2174" s="6" t="s">
        <v>3705</v>
      </c>
      <c r="E2174" s="6" t="s">
        <v>3706</v>
      </c>
      <c r="F2174" s="7" t="s">
        <v>6567</v>
      </c>
      <c r="G2174" s="6"/>
      <c r="H2174" s="6" t="s">
        <v>66</v>
      </c>
      <c r="I2174" s="6"/>
      <c r="J2174" s="6" t="s">
        <v>3621</v>
      </c>
      <c r="K2174" s="6" t="s">
        <v>3707</v>
      </c>
      <c r="L2174" s="6" t="s">
        <v>3708</v>
      </c>
      <c r="M2174" s="6"/>
      <c r="N2174" s="6" t="s">
        <v>3709</v>
      </c>
      <c r="O2174" s="6" t="str">
        <f>HYPERLINK("https://ceds.ed.gov/cedselementdetails.aspx?termid=5929")</f>
        <v>https://ceds.ed.gov/cedselementdetails.aspx?termid=5929</v>
      </c>
      <c r="P2174" s="6" t="str">
        <f>HYPERLINK("https://ceds.ed.gov/elementComment.aspx?elementName=Learning Resource Type &amp;elementID=5929", "Click here to submit comment")</f>
        <v>Click here to submit comment</v>
      </c>
    </row>
    <row r="2175" spans="1:16" ht="45">
      <c r="A2175" s="6" t="s">
        <v>6869</v>
      </c>
      <c r="B2175" s="6" t="s">
        <v>6866</v>
      </c>
      <c r="C2175" s="6"/>
      <c r="D2175" s="6" t="s">
        <v>3710</v>
      </c>
      <c r="E2175" s="6" t="s">
        <v>3711</v>
      </c>
      <c r="F2175" s="6" t="s">
        <v>13</v>
      </c>
      <c r="G2175" s="6"/>
      <c r="H2175" s="6"/>
      <c r="I2175" s="6" t="s">
        <v>308</v>
      </c>
      <c r="J2175" s="6"/>
      <c r="K2175" s="6"/>
      <c r="L2175" s="6" t="s">
        <v>3712</v>
      </c>
      <c r="M2175" s="6"/>
      <c r="N2175" s="6" t="s">
        <v>3713</v>
      </c>
      <c r="O2175" s="6" t="str">
        <f>HYPERLINK("https://ceds.ed.gov/cedselementdetails.aspx?termid=5927")</f>
        <v>https://ceds.ed.gov/cedselementdetails.aspx?termid=5927</v>
      </c>
      <c r="P2175" s="6" t="str">
        <f>HYPERLINK("https://ceds.ed.gov/elementComment.aspx?elementName=Learning Resource Typical Age Range Maximum &amp;elementID=5927", "Click here to submit comment")</f>
        <v>Click here to submit comment</v>
      </c>
    </row>
    <row r="2176" spans="1:16" ht="45">
      <c r="A2176" s="6" t="s">
        <v>6869</v>
      </c>
      <c r="B2176" s="6" t="s">
        <v>6866</v>
      </c>
      <c r="C2176" s="6"/>
      <c r="D2176" s="6" t="s">
        <v>3714</v>
      </c>
      <c r="E2176" s="6" t="s">
        <v>3715</v>
      </c>
      <c r="F2176" s="6" t="s">
        <v>13</v>
      </c>
      <c r="G2176" s="6"/>
      <c r="H2176" s="6"/>
      <c r="I2176" s="6" t="s">
        <v>308</v>
      </c>
      <c r="J2176" s="6"/>
      <c r="K2176" s="6"/>
      <c r="L2176" s="6" t="s">
        <v>3716</v>
      </c>
      <c r="M2176" s="6"/>
      <c r="N2176" s="6" t="s">
        <v>3717</v>
      </c>
      <c r="O2176" s="6" t="str">
        <f>HYPERLINK("https://ceds.ed.gov/cedselementdetails.aspx?termid=5926")</f>
        <v>https://ceds.ed.gov/cedselementdetails.aspx?termid=5926</v>
      </c>
      <c r="P2176" s="6" t="str">
        <f>HYPERLINK("https://ceds.ed.gov/elementComment.aspx?elementName=Learning Resource Typical Age Range Minimum &amp;elementID=5926", "Click here to submit comment")</f>
        <v>Click here to submit comment</v>
      </c>
    </row>
    <row r="2177" spans="1:16" ht="75">
      <c r="A2177" s="6" t="s">
        <v>6869</v>
      </c>
      <c r="B2177" s="6" t="s">
        <v>6866</v>
      </c>
      <c r="C2177" s="6"/>
      <c r="D2177" s="6" t="s">
        <v>3718</v>
      </c>
      <c r="E2177" s="6" t="s">
        <v>3719</v>
      </c>
      <c r="F2177" s="6" t="s">
        <v>13</v>
      </c>
      <c r="G2177" s="6"/>
      <c r="H2177" s="6"/>
      <c r="I2177" s="6" t="s">
        <v>93</v>
      </c>
      <c r="J2177" s="6"/>
      <c r="K2177" s="6"/>
      <c r="L2177" s="6" t="s">
        <v>3720</v>
      </c>
      <c r="M2177" s="6"/>
      <c r="N2177" s="6" t="s">
        <v>3721</v>
      </c>
      <c r="O2177" s="6" t="str">
        <f>HYPERLINK("https://ceds.ed.gov/cedselementdetails.aspx?termid=5911")</f>
        <v>https://ceds.ed.gov/cedselementdetails.aspx?termid=5911</v>
      </c>
      <c r="P2177" s="6" t="str">
        <f>HYPERLINK("https://ceds.ed.gov/elementComment.aspx?elementName=Learning Resource URL &amp;elementID=5911", "Click here to submit comment")</f>
        <v>Click here to submit comment</v>
      </c>
    </row>
    <row r="2178" spans="1:16" ht="45">
      <c r="A2178" s="6" t="s">
        <v>6869</v>
      </c>
      <c r="B2178" s="6" t="s">
        <v>6866</v>
      </c>
      <c r="C2178" s="6"/>
      <c r="D2178" s="6" t="s">
        <v>3722</v>
      </c>
      <c r="E2178" s="6" t="s">
        <v>3723</v>
      </c>
      <c r="F2178" s="6" t="s">
        <v>13</v>
      </c>
      <c r="G2178" s="6"/>
      <c r="H2178" s="6"/>
      <c r="I2178" s="6" t="s">
        <v>93</v>
      </c>
      <c r="J2178" s="6"/>
      <c r="K2178" s="6" t="s">
        <v>3724</v>
      </c>
      <c r="L2178" s="6" t="s">
        <v>3725</v>
      </c>
      <c r="M2178" s="6"/>
      <c r="N2178" s="6" t="s">
        <v>3726</v>
      </c>
      <c r="O2178" s="6" t="str">
        <f>HYPERLINK("https://ceds.ed.gov/cedselementdetails.aspx?termid=5922")</f>
        <v>https://ceds.ed.gov/cedselementdetails.aspx?termid=5922</v>
      </c>
      <c r="P2178" s="6" t="str">
        <f>HYPERLINK("https://ceds.ed.gov/elementComment.aspx?elementName=Learning Resource Use Rights URL &amp;elementID=5922", "Click here to submit comment")</f>
        <v>Click here to submit comment</v>
      </c>
    </row>
    <row r="2179" spans="1:16" ht="30">
      <c r="A2179" s="6" t="s">
        <v>6869</v>
      </c>
      <c r="B2179" s="6" t="s">
        <v>6866</v>
      </c>
      <c r="C2179" s="6"/>
      <c r="D2179" s="6" t="s">
        <v>3727</v>
      </c>
      <c r="E2179" s="6" t="s">
        <v>3728</v>
      </c>
      <c r="F2179" s="6" t="s">
        <v>13</v>
      </c>
      <c r="G2179" s="6"/>
      <c r="H2179" s="6" t="s">
        <v>66</v>
      </c>
      <c r="I2179" s="6" t="s">
        <v>100</v>
      </c>
      <c r="J2179" s="6" t="s">
        <v>1820</v>
      </c>
      <c r="K2179" s="6"/>
      <c r="L2179" s="6" t="s">
        <v>3729</v>
      </c>
      <c r="M2179" s="6"/>
      <c r="N2179" s="6" t="s">
        <v>3730</v>
      </c>
      <c r="O2179" s="6" t="str">
        <f>HYPERLINK("https://ceds.ed.gov/cedselementdetails.aspx?termid=6182")</f>
        <v>https://ceds.ed.gov/cedselementdetails.aspx?termid=6182</v>
      </c>
      <c r="P2179" s="6" t="str">
        <f>HYPERLINK("https://ceds.ed.gov/elementComment.aspx?elementName=Learning Resource Version &amp;elementID=6182", "Click here to submit comment")</f>
        <v>Click here to submit comment</v>
      </c>
    </row>
    <row r="2180" spans="1:16" ht="30">
      <c r="A2180" s="6" t="s">
        <v>6869</v>
      </c>
      <c r="B2180" s="6" t="s">
        <v>6866</v>
      </c>
      <c r="C2180" s="6" t="s">
        <v>6867</v>
      </c>
      <c r="D2180" s="6" t="s">
        <v>4435</v>
      </c>
      <c r="E2180" s="6" t="s">
        <v>4436</v>
      </c>
      <c r="F2180" s="6" t="s">
        <v>13</v>
      </c>
      <c r="G2180" s="6"/>
      <c r="H2180" s="6"/>
      <c r="I2180" s="6" t="s">
        <v>73</v>
      </c>
      <c r="J2180" s="6"/>
      <c r="K2180" s="6"/>
      <c r="L2180" s="6" t="s">
        <v>4437</v>
      </c>
      <c r="M2180" s="6"/>
      <c r="N2180" s="6" t="s">
        <v>4438</v>
      </c>
      <c r="O2180" s="6" t="str">
        <f>HYPERLINK("https://ceds.ed.gov/cedselementdetails.aspx?termid=6171")</f>
        <v>https://ceds.ed.gov/cedselementdetails.aspx?termid=6171</v>
      </c>
      <c r="P2180" s="6" t="str">
        <f>HYPERLINK("https://ceds.ed.gov/elementComment.aspx?elementName=Peer Rating Date &amp;elementID=6171", "Click here to submit comment")</f>
        <v>Click here to submit comment</v>
      </c>
    </row>
    <row r="2181" spans="1:16" ht="45">
      <c r="A2181" s="6" t="s">
        <v>6869</v>
      </c>
      <c r="B2181" s="6" t="s">
        <v>6866</v>
      </c>
      <c r="C2181" s="6" t="s">
        <v>6868</v>
      </c>
      <c r="D2181" s="6" t="s">
        <v>4439</v>
      </c>
      <c r="E2181" s="6" t="s">
        <v>4440</v>
      </c>
      <c r="F2181" s="6" t="s">
        <v>13</v>
      </c>
      <c r="G2181" s="6"/>
      <c r="H2181" s="6"/>
      <c r="I2181" s="6" t="s">
        <v>957</v>
      </c>
      <c r="J2181" s="6"/>
      <c r="K2181" s="6"/>
      <c r="L2181" s="6" t="s">
        <v>4441</v>
      </c>
      <c r="M2181" s="6"/>
      <c r="N2181" s="6" t="s">
        <v>4442</v>
      </c>
      <c r="O2181" s="6" t="str">
        <f>HYPERLINK("https://ceds.ed.gov/cedselementdetails.aspx?termid=6162")</f>
        <v>https://ceds.ed.gov/cedselementdetails.aspx?termid=6162</v>
      </c>
      <c r="P2181" s="6" t="str">
        <f>HYPERLINK("https://ceds.ed.gov/elementComment.aspx?elementName=Peer Rating System Maximum Value &amp;elementID=6162", "Click here to submit comment")</f>
        <v>Click here to submit comment</v>
      </c>
    </row>
    <row r="2182" spans="1:16" ht="45">
      <c r="A2182" s="6" t="s">
        <v>6869</v>
      </c>
      <c r="B2182" s="6" t="s">
        <v>6866</v>
      </c>
      <c r="C2182" s="6" t="s">
        <v>6868</v>
      </c>
      <c r="D2182" s="6" t="s">
        <v>4443</v>
      </c>
      <c r="E2182" s="6" t="s">
        <v>4444</v>
      </c>
      <c r="F2182" s="6" t="s">
        <v>13</v>
      </c>
      <c r="G2182" s="6"/>
      <c r="H2182" s="6"/>
      <c r="I2182" s="6" t="s">
        <v>957</v>
      </c>
      <c r="J2182" s="6"/>
      <c r="K2182" s="6"/>
      <c r="L2182" s="6" t="s">
        <v>4445</v>
      </c>
      <c r="M2182" s="6"/>
      <c r="N2182" s="6" t="s">
        <v>4446</v>
      </c>
      <c r="O2182" s="6" t="str">
        <f>HYPERLINK("https://ceds.ed.gov/cedselementdetails.aspx?termid=6163")</f>
        <v>https://ceds.ed.gov/cedselementdetails.aspx?termid=6163</v>
      </c>
      <c r="P2182" s="6" t="str">
        <f>HYPERLINK("https://ceds.ed.gov/elementComment.aspx?elementName=Peer Rating System Minimum Value &amp;elementID=6163", "Click here to submit comment")</f>
        <v>Click here to submit comment</v>
      </c>
    </row>
    <row r="2183" spans="1:16" ht="30">
      <c r="A2183" s="6" t="s">
        <v>6869</v>
      </c>
      <c r="B2183" s="6" t="s">
        <v>6866</v>
      </c>
      <c r="C2183" s="6" t="s">
        <v>6868</v>
      </c>
      <c r="D2183" s="6" t="s">
        <v>4447</v>
      </c>
      <c r="E2183" s="6" t="s">
        <v>4448</v>
      </c>
      <c r="F2183" s="6" t="s">
        <v>13</v>
      </c>
      <c r="G2183" s="6"/>
      <c r="H2183" s="6"/>
      <c r="I2183" s="6" t="s">
        <v>106</v>
      </c>
      <c r="J2183" s="6"/>
      <c r="K2183" s="6"/>
      <c r="L2183" s="6" t="s">
        <v>4449</v>
      </c>
      <c r="M2183" s="6"/>
      <c r="N2183" s="6" t="s">
        <v>4450</v>
      </c>
      <c r="O2183" s="6" t="str">
        <f>HYPERLINK("https://ceds.ed.gov/cedselementdetails.aspx?termid=6160")</f>
        <v>https://ceds.ed.gov/cedselementdetails.aspx?termid=6160</v>
      </c>
      <c r="P2183" s="6" t="str">
        <f>HYPERLINK("https://ceds.ed.gov/elementComment.aspx?elementName=Peer Rating System Name &amp;elementID=6160", "Click here to submit comment")</f>
        <v>Click here to submit comment</v>
      </c>
    </row>
    <row r="2184" spans="1:16" ht="75">
      <c r="A2184" s="6" t="s">
        <v>6869</v>
      </c>
      <c r="B2184" s="6" t="s">
        <v>6866</v>
      </c>
      <c r="C2184" s="6" t="s">
        <v>6868</v>
      </c>
      <c r="D2184" s="6" t="s">
        <v>4451</v>
      </c>
      <c r="E2184" s="6" t="s">
        <v>4452</v>
      </c>
      <c r="F2184" s="6" t="s">
        <v>13</v>
      </c>
      <c r="G2184" s="6"/>
      <c r="H2184" s="6"/>
      <c r="I2184" s="6" t="s">
        <v>957</v>
      </c>
      <c r="J2184" s="6"/>
      <c r="K2184" s="6"/>
      <c r="L2184" s="6" t="s">
        <v>4453</v>
      </c>
      <c r="M2184" s="6"/>
      <c r="N2184" s="6" t="s">
        <v>4454</v>
      </c>
      <c r="O2184" s="6" t="str">
        <f>HYPERLINK("https://ceds.ed.gov/cedselementdetails.aspx?termid=6164")</f>
        <v>https://ceds.ed.gov/cedselementdetails.aspx?termid=6164</v>
      </c>
      <c r="P2184" s="6" t="str">
        <f>HYPERLINK("https://ceds.ed.gov/elementComment.aspx?elementName=Peer Rating System Optimum Value &amp;elementID=6164", "Click here to submit comment")</f>
        <v>Click here to submit comment</v>
      </c>
    </row>
    <row r="2185" spans="1:16" ht="30">
      <c r="A2185" s="6" t="s">
        <v>6869</v>
      </c>
      <c r="B2185" s="6" t="s">
        <v>6855</v>
      </c>
      <c r="C2185" s="6"/>
      <c r="D2185" s="6" t="s">
        <v>3528</v>
      </c>
      <c r="E2185" s="6" t="s">
        <v>3529</v>
      </c>
      <c r="F2185" s="6" t="s">
        <v>13</v>
      </c>
      <c r="G2185" s="6"/>
      <c r="H2185" s="6"/>
      <c r="I2185" s="6" t="s">
        <v>73</v>
      </c>
      <c r="J2185" s="6"/>
      <c r="K2185" s="6"/>
      <c r="L2185" s="6" t="s">
        <v>3530</v>
      </c>
      <c r="M2185" s="6"/>
      <c r="N2185" s="6" t="s">
        <v>3531</v>
      </c>
      <c r="O2185" s="6" t="str">
        <f>HYPERLINK("https://ceds.ed.gov/cedselementdetails.aspx?termid=6170")</f>
        <v>https://ceds.ed.gov/cedselementdetails.aspx?termid=6170</v>
      </c>
      <c r="P2185" s="6" t="str">
        <f>HYPERLINK("https://ceds.ed.gov/elementComment.aspx?elementName=Learning Goal End Date &amp;elementID=6170", "Click here to submit comment")</f>
        <v>Click here to submit comment</v>
      </c>
    </row>
    <row r="2186" spans="1:16" ht="30">
      <c r="A2186" s="6" t="s">
        <v>6869</v>
      </c>
      <c r="B2186" s="6" t="s">
        <v>6855</v>
      </c>
      <c r="C2186" s="6"/>
      <c r="D2186" s="6" t="s">
        <v>3532</v>
      </c>
      <c r="E2186" s="6" t="s">
        <v>3533</v>
      </c>
      <c r="F2186" s="6" t="s">
        <v>13</v>
      </c>
      <c r="G2186" s="6"/>
      <c r="H2186" s="6"/>
      <c r="I2186" s="6" t="s">
        <v>73</v>
      </c>
      <c r="J2186" s="6"/>
      <c r="K2186" s="6"/>
      <c r="L2186" s="6" t="s">
        <v>3534</v>
      </c>
      <c r="M2186" s="6"/>
      <c r="N2186" s="6" t="s">
        <v>3535</v>
      </c>
      <c r="O2186" s="6" t="str">
        <f>HYPERLINK("https://ceds.ed.gov/cedselementdetails.aspx?termid=6169")</f>
        <v>https://ceds.ed.gov/cedselementdetails.aspx?termid=6169</v>
      </c>
      <c r="P2186" s="6" t="str">
        <f>HYPERLINK("https://ceds.ed.gov/elementComment.aspx?elementName=Learning Goal Start Date &amp;elementID=6169", "Click here to submit comment")</f>
        <v>Click here to submit comment</v>
      </c>
    </row>
    <row r="2187" spans="1:16" ht="195">
      <c r="A2187" s="6" t="s">
        <v>6884</v>
      </c>
      <c r="B2187" s="6" t="s">
        <v>6885</v>
      </c>
      <c r="C2187" s="6" t="s">
        <v>6717</v>
      </c>
      <c r="D2187" s="6" t="s">
        <v>2776</v>
      </c>
      <c r="E2187" s="6" t="s">
        <v>2777</v>
      </c>
      <c r="F2187" s="6" t="s">
        <v>13</v>
      </c>
      <c r="G2187" s="6" t="s">
        <v>6176</v>
      </c>
      <c r="H2187" s="6" t="s">
        <v>3</v>
      </c>
      <c r="I2187" s="6" t="s">
        <v>1368</v>
      </c>
      <c r="J2187" s="6"/>
      <c r="K2187" s="6" t="s">
        <v>2778</v>
      </c>
      <c r="L2187" s="6" t="s">
        <v>2779</v>
      </c>
      <c r="M2187" s="6"/>
      <c r="N2187" s="6" t="s">
        <v>2780</v>
      </c>
      <c r="O2187" s="6" t="str">
        <f>HYPERLINK("https://ceds.ed.gov/cedselementdetails.aspx?termid=5115")</f>
        <v>https://ceds.ed.gov/cedselementdetails.aspx?termid=5115</v>
      </c>
      <c r="P2187" s="6" t="str">
        <f>HYPERLINK("https://ceds.ed.gov/elementComment.aspx?elementName=First Name &amp;elementID=5115", "Click here to submit comment")</f>
        <v>Click here to submit comment</v>
      </c>
    </row>
    <row r="2188" spans="1:16" ht="195">
      <c r="A2188" s="6" t="s">
        <v>6884</v>
      </c>
      <c r="B2188" s="6" t="s">
        <v>6885</v>
      </c>
      <c r="C2188" s="6" t="s">
        <v>6717</v>
      </c>
      <c r="D2188" s="6" t="s">
        <v>4088</v>
      </c>
      <c r="E2188" s="6" t="s">
        <v>4089</v>
      </c>
      <c r="F2188" s="6" t="s">
        <v>13</v>
      </c>
      <c r="G2188" s="6" t="s">
        <v>6176</v>
      </c>
      <c r="H2188" s="6" t="s">
        <v>3</v>
      </c>
      <c r="I2188" s="6" t="s">
        <v>1368</v>
      </c>
      <c r="J2188" s="6"/>
      <c r="K2188" s="6" t="s">
        <v>2778</v>
      </c>
      <c r="L2188" s="6" t="s">
        <v>4090</v>
      </c>
      <c r="M2188" s="6"/>
      <c r="N2188" s="6" t="s">
        <v>4091</v>
      </c>
      <c r="O2188" s="6" t="str">
        <f>HYPERLINK("https://ceds.ed.gov/cedselementdetails.aspx?termid=5184")</f>
        <v>https://ceds.ed.gov/cedselementdetails.aspx?termid=5184</v>
      </c>
      <c r="P2188" s="6" t="str">
        <f>HYPERLINK("https://ceds.ed.gov/elementComment.aspx?elementName=Middle Name &amp;elementID=5184", "Click here to submit comment")</f>
        <v>Click here to submit comment</v>
      </c>
    </row>
    <row r="2189" spans="1:16" ht="195">
      <c r="A2189" s="6" t="s">
        <v>6884</v>
      </c>
      <c r="B2189" s="6" t="s">
        <v>6885</v>
      </c>
      <c r="C2189" s="6" t="s">
        <v>6717</v>
      </c>
      <c r="D2189" s="6" t="s">
        <v>3427</v>
      </c>
      <c r="E2189" s="6" t="s">
        <v>3428</v>
      </c>
      <c r="F2189" s="6" t="s">
        <v>13</v>
      </c>
      <c r="G2189" s="6" t="s">
        <v>6176</v>
      </c>
      <c r="H2189" s="6" t="s">
        <v>3</v>
      </c>
      <c r="I2189" s="6" t="s">
        <v>1368</v>
      </c>
      <c r="J2189" s="6"/>
      <c r="K2189" s="6" t="s">
        <v>2778</v>
      </c>
      <c r="L2189" s="6" t="s">
        <v>3429</v>
      </c>
      <c r="M2189" s="6" t="s">
        <v>3430</v>
      </c>
      <c r="N2189" s="6" t="s">
        <v>3431</v>
      </c>
      <c r="O2189" s="6" t="str">
        <f>HYPERLINK("https://ceds.ed.gov/cedselementdetails.aspx?termid=5172")</f>
        <v>https://ceds.ed.gov/cedselementdetails.aspx?termid=5172</v>
      </c>
      <c r="P2189" s="6" t="str">
        <f>HYPERLINK("https://ceds.ed.gov/elementComment.aspx?elementName=Last or Surname &amp;elementID=5172", "Click here to submit comment")</f>
        <v>Click here to submit comment</v>
      </c>
    </row>
    <row r="2190" spans="1:16" ht="150">
      <c r="A2190" s="6" t="s">
        <v>6884</v>
      </c>
      <c r="B2190" s="6" t="s">
        <v>6885</v>
      </c>
      <c r="C2190" s="6" t="s">
        <v>6717</v>
      </c>
      <c r="D2190" s="6" t="s">
        <v>2829</v>
      </c>
      <c r="E2190" s="6" t="s">
        <v>2830</v>
      </c>
      <c r="F2190" s="6" t="s">
        <v>13</v>
      </c>
      <c r="G2190" s="6" t="s">
        <v>6179</v>
      </c>
      <c r="H2190" s="6" t="s">
        <v>3</v>
      </c>
      <c r="I2190" s="6" t="s">
        <v>2031</v>
      </c>
      <c r="J2190" s="6"/>
      <c r="K2190" s="6" t="s">
        <v>2778</v>
      </c>
      <c r="L2190" s="6" t="s">
        <v>2831</v>
      </c>
      <c r="M2190" s="6"/>
      <c r="N2190" s="6" t="s">
        <v>2832</v>
      </c>
      <c r="O2190" s="6" t="str">
        <f>HYPERLINK("https://ceds.ed.gov/cedselementdetails.aspx?termid=5121")</f>
        <v>https://ceds.ed.gov/cedselementdetails.aspx?termid=5121</v>
      </c>
      <c r="P2190" s="6" t="str">
        <f>HYPERLINK("https://ceds.ed.gov/elementComment.aspx?elementName=Generation Code or Suffix &amp;elementID=5121", "Click here to submit comment")</f>
        <v>Click here to submit comment</v>
      </c>
    </row>
    <row r="2191" spans="1:16" ht="105">
      <c r="A2191" s="6" t="s">
        <v>6884</v>
      </c>
      <c r="B2191" s="6" t="s">
        <v>6885</v>
      </c>
      <c r="C2191" s="6" t="s">
        <v>6717</v>
      </c>
      <c r="D2191" s="6" t="s">
        <v>4498</v>
      </c>
      <c r="E2191" s="6" t="s">
        <v>4499</v>
      </c>
      <c r="F2191" s="6" t="s">
        <v>13</v>
      </c>
      <c r="G2191" s="6" t="s">
        <v>6280</v>
      </c>
      <c r="H2191" s="6" t="s">
        <v>3</v>
      </c>
      <c r="I2191" s="6" t="s">
        <v>100</v>
      </c>
      <c r="J2191" s="6"/>
      <c r="K2191" s="6"/>
      <c r="L2191" s="6" t="s">
        <v>4500</v>
      </c>
      <c r="M2191" s="6" t="s">
        <v>4501</v>
      </c>
      <c r="N2191" s="6" t="s">
        <v>4502</v>
      </c>
      <c r="O2191" s="6" t="str">
        <f>HYPERLINK("https://ceds.ed.gov/cedselementdetails.aspx?termid=5212")</f>
        <v>https://ceds.ed.gov/cedselementdetails.aspx?termid=5212</v>
      </c>
      <c r="P2191" s="6" t="str">
        <f>HYPERLINK("https://ceds.ed.gov/elementComment.aspx?elementName=Personal Title or Prefix &amp;elementID=5212", "Click here to submit comment")</f>
        <v>Click here to submit comment</v>
      </c>
    </row>
    <row r="2192" spans="1:16" ht="30">
      <c r="A2192" s="6" t="s">
        <v>6884</v>
      </c>
      <c r="B2192" s="6" t="s">
        <v>6885</v>
      </c>
      <c r="C2192" s="6" t="s">
        <v>6718</v>
      </c>
      <c r="D2192" s="6" t="s">
        <v>4375</v>
      </c>
      <c r="E2192" s="6" t="s">
        <v>4376</v>
      </c>
      <c r="F2192" s="6" t="s">
        <v>13</v>
      </c>
      <c r="G2192" s="6"/>
      <c r="H2192" s="6" t="s">
        <v>54</v>
      </c>
      <c r="I2192" s="6" t="s">
        <v>1368</v>
      </c>
      <c r="J2192" s="6"/>
      <c r="K2192" s="6" t="s">
        <v>4377</v>
      </c>
      <c r="L2192" s="6" t="s">
        <v>4378</v>
      </c>
      <c r="M2192" s="6"/>
      <c r="N2192" s="6" t="s">
        <v>4379</v>
      </c>
      <c r="O2192" s="6" t="str">
        <f>HYPERLINK("https://ceds.ed.gov/cedselementdetails.aspx?termid=6486")</f>
        <v>https://ceds.ed.gov/cedselementdetails.aspx?termid=6486</v>
      </c>
      <c r="P2192" s="6" t="str">
        <f>HYPERLINK("https://ceds.ed.gov/elementComment.aspx?elementName=Other First Name &amp;elementID=6486", "Click here to submit comment")</f>
        <v>Click here to submit comment</v>
      </c>
    </row>
    <row r="2193" spans="1:16" ht="30">
      <c r="A2193" s="6" t="s">
        <v>6884</v>
      </c>
      <c r="B2193" s="6" t="s">
        <v>6885</v>
      </c>
      <c r="C2193" s="6" t="s">
        <v>6718</v>
      </c>
      <c r="D2193" s="6" t="s">
        <v>4380</v>
      </c>
      <c r="E2193" s="6" t="s">
        <v>4381</v>
      </c>
      <c r="F2193" s="6" t="s">
        <v>13</v>
      </c>
      <c r="G2193" s="6"/>
      <c r="H2193" s="6" t="s">
        <v>54</v>
      </c>
      <c r="I2193" s="6" t="s">
        <v>1368</v>
      </c>
      <c r="J2193" s="6"/>
      <c r="K2193" s="6" t="s">
        <v>4382</v>
      </c>
      <c r="L2193" s="6" t="s">
        <v>4383</v>
      </c>
      <c r="M2193" s="6"/>
      <c r="N2193" s="6" t="s">
        <v>4384</v>
      </c>
      <c r="O2193" s="6" t="str">
        <f>HYPERLINK("https://ceds.ed.gov/cedselementdetails.aspx?termid=6485")</f>
        <v>https://ceds.ed.gov/cedselementdetails.aspx?termid=6485</v>
      </c>
      <c r="P2193" s="6" t="str">
        <f>HYPERLINK("https://ceds.ed.gov/elementComment.aspx?elementName=Other Last Name &amp;elementID=6485", "Click here to submit comment")</f>
        <v>Click here to submit comment</v>
      </c>
    </row>
    <row r="2194" spans="1:16" ht="30">
      <c r="A2194" s="6" t="s">
        <v>6884</v>
      </c>
      <c r="B2194" s="6" t="s">
        <v>6885</v>
      </c>
      <c r="C2194" s="6" t="s">
        <v>6718</v>
      </c>
      <c r="D2194" s="6" t="s">
        <v>4385</v>
      </c>
      <c r="E2194" s="6" t="s">
        <v>4386</v>
      </c>
      <c r="F2194" s="6" t="s">
        <v>13</v>
      </c>
      <c r="G2194" s="6"/>
      <c r="H2194" s="6" t="s">
        <v>54</v>
      </c>
      <c r="I2194" s="6" t="s">
        <v>1368</v>
      </c>
      <c r="J2194" s="6"/>
      <c r="K2194" s="6" t="s">
        <v>4387</v>
      </c>
      <c r="L2194" s="6" t="s">
        <v>4388</v>
      </c>
      <c r="M2194" s="6"/>
      <c r="N2194" s="6" t="s">
        <v>4389</v>
      </c>
      <c r="O2194" s="6" t="str">
        <f>HYPERLINK("https://ceds.ed.gov/cedselementdetails.aspx?termid=6487")</f>
        <v>https://ceds.ed.gov/cedselementdetails.aspx?termid=6487</v>
      </c>
      <c r="P2194" s="6" t="str">
        <f>HYPERLINK("https://ceds.ed.gov/elementComment.aspx?elementName=Other Middle Name &amp;elementID=6487", "Click here to submit comment")</f>
        <v>Click here to submit comment</v>
      </c>
    </row>
    <row r="2195" spans="1:16" ht="150">
      <c r="A2195" s="6" t="s">
        <v>6884</v>
      </c>
      <c r="B2195" s="6" t="s">
        <v>6885</v>
      </c>
      <c r="C2195" s="6" t="s">
        <v>6718</v>
      </c>
      <c r="D2195" s="6" t="s">
        <v>4390</v>
      </c>
      <c r="E2195" s="6" t="s">
        <v>4391</v>
      </c>
      <c r="F2195" s="6" t="s">
        <v>13</v>
      </c>
      <c r="G2195" s="6" t="s">
        <v>6179</v>
      </c>
      <c r="H2195" s="6" t="s">
        <v>3</v>
      </c>
      <c r="I2195" s="6" t="s">
        <v>149</v>
      </c>
      <c r="J2195" s="6"/>
      <c r="K2195" s="6"/>
      <c r="L2195" s="6" t="s">
        <v>4392</v>
      </c>
      <c r="M2195" s="6"/>
      <c r="N2195" s="6" t="s">
        <v>4393</v>
      </c>
      <c r="O2195" s="6" t="str">
        <f>HYPERLINK("https://ceds.ed.gov/cedselementdetails.aspx?termid=5206")</f>
        <v>https://ceds.ed.gov/cedselementdetails.aspx?termid=5206</v>
      </c>
      <c r="P2195" s="6" t="str">
        <f>HYPERLINK("https://ceds.ed.gov/elementComment.aspx?elementName=Other Name &amp;elementID=5206", "Click here to submit comment")</f>
        <v>Click here to submit comment</v>
      </c>
    </row>
    <row r="2196" spans="1:16" ht="90">
      <c r="A2196" s="6" t="s">
        <v>6884</v>
      </c>
      <c r="B2196" s="6" t="s">
        <v>6885</v>
      </c>
      <c r="C2196" s="6" t="s">
        <v>6718</v>
      </c>
      <c r="D2196" s="6" t="s">
        <v>4394</v>
      </c>
      <c r="E2196" s="6" t="s">
        <v>4395</v>
      </c>
      <c r="F2196" s="7" t="s">
        <v>6593</v>
      </c>
      <c r="G2196" s="6" t="s">
        <v>6273</v>
      </c>
      <c r="H2196" s="6" t="s">
        <v>3</v>
      </c>
      <c r="I2196" s="6" t="s">
        <v>100</v>
      </c>
      <c r="J2196" s="6"/>
      <c r="K2196" s="6"/>
      <c r="L2196" s="6" t="s">
        <v>4396</v>
      </c>
      <c r="M2196" s="6"/>
      <c r="N2196" s="6" t="s">
        <v>4397</v>
      </c>
      <c r="O2196" s="6" t="str">
        <f>HYPERLINK("https://ceds.ed.gov/cedselementdetails.aspx?termid=5627")</f>
        <v>https://ceds.ed.gov/cedselementdetails.aspx?termid=5627</v>
      </c>
      <c r="P2196" s="6" t="str">
        <f>HYPERLINK("https://ceds.ed.gov/elementComment.aspx?elementName=Other Name Type &amp;elementID=5627", "Click here to submit comment")</f>
        <v>Click here to submit comment</v>
      </c>
    </row>
    <row r="2197" spans="1:16" ht="135">
      <c r="A2197" s="6" t="s">
        <v>6884</v>
      </c>
      <c r="B2197" s="6" t="s">
        <v>6885</v>
      </c>
      <c r="C2197" s="6" t="s">
        <v>6719</v>
      </c>
      <c r="D2197" s="6" t="s">
        <v>5614</v>
      </c>
      <c r="E2197" s="6" t="s">
        <v>5615</v>
      </c>
      <c r="F2197" s="6" t="s">
        <v>13</v>
      </c>
      <c r="G2197" s="6" t="s">
        <v>6330</v>
      </c>
      <c r="H2197" s="6"/>
      <c r="I2197" s="6" t="s">
        <v>100</v>
      </c>
      <c r="J2197" s="6"/>
      <c r="K2197" s="6"/>
      <c r="L2197" s="6" t="s">
        <v>5616</v>
      </c>
      <c r="M2197" s="6"/>
      <c r="N2197" s="6" t="s">
        <v>5617</v>
      </c>
      <c r="O2197" s="6" t="str">
        <f>HYPERLINK("https://ceds.ed.gov/cedselementdetails.aspx?termid=5157")</f>
        <v>https://ceds.ed.gov/cedselementdetails.aspx?termid=5157</v>
      </c>
      <c r="P2197" s="6" t="str">
        <f>HYPERLINK("https://ceds.ed.gov/elementComment.aspx?elementName=Student Identifier &amp;elementID=5157", "Click here to submit comment")</f>
        <v>Click here to submit comment</v>
      </c>
    </row>
    <row r="2198" spans="1:16" ht="285">
      <c r="A2198" s="6" t="s">
        <v>6884</v>
      </c>
      <c r="B2198" s="6" t="s">
        <v>6885</v>
      </c>
      <c r="C2198" s="6" t="s">
        <v>6719</v>
      </c>
      <c r="D2198" s="6" t="s">
        <v>5610</v>
      </c>
      <c r="E2198" s="6" t="s">
        <v>5611</v>
      </c>
      <c r="F2198" s="7" t="s">
        <v>6665</v>
      </c>
      <c r="G2198" s="6" t="s">
        <v>6330</v>
      </c>
      <c r="H2198" s="6"/>
      <c r="I2198" s="6"/>
      <c r="J2198" s="6"/>
      <c r="K2198" s="6"/>
      <c r="L2198" s="6" t="s">
        <v>5612</v>
      </c>
      <c r="M2198" s="6"/>
      <c r="N2198" s="6" t="s">
        <v>5613</v>
      </c>
      <c r="O2198" s="6" t="str">
        <f>HYPERLINK("https://ceds.ed.gov/cedselementdetails.aspx?termid=5163")</f>
        <v>https://ceds.ed.gov/cedselementdetails.aspx?termid=5163</v>
      </c>
      <c r="P2198" s="6" t="str">
        <f>HYPERLINK("https://ceds.ed.gov/elementComment.aspx?elementName=Student Identification System &amp;elementID=5163", "Click here to submit comment")</f>
        <v>Click here to submit comment</v>
      </c>
    </row>
    <row r="2199" spans="1:16" ht="390">
      <c r="A2199" s="6" t="s">
        <v>6884</v>
      </c>
      <c r="B2199" s="6" t="s">
        <v>6885</v>
      </c>
      <c r="C2199" s="6" t="s">
        <v>6719</v>
      </c>
      <c r="D2199" s="6" t="s">
        <v>5383</v>
      </c>
      <c r="E2199" s="6" t="s">
        <v>5384</v>
      </c>
      <c r="F2199" s="6" t="s">
        <v>13</v>
      </c>
      <c r="G2199" s="6" t="s">
        <v>6315</v>
      </c>
      <c r="H2199" s="6" t="s">
        <v>3</v>
      </c>
      <c r="I2199" s="6" t="s">
        <v>5385</v>
      </c>
      <c r="J2199" s="6"/>
      <c r="K2199" s="6" t="s">
        <v>5386</v>
      </c>
      <c r="L2199" s="6" t="s">
        <v>5387</v>
      </c>
      <c r="M2199" s="6" t="s">
        <v>5388</v>
      </c>
      <c r="N2199" s="6" t="s">
        <v>5389</v>
      </c>
      <c r="O2199" s="6" t="str">
        <f>HYPERLINK("https://ceds.ed.gov/cedselementdetails.aspx?termid=5259")</f>
        <v>https://ceds.ed.gov/cedselementdetails.aspx?termid=5259</v>
      </c>
      <c r="P2199" s="6" t="str">
        <f>HYPERLINK("https://ceds.ed.gov/elementComment.aspx?elementName=Social Security Number &amp;elementID=5259", "Click here to submit comment")</f>
        <v>Click here to submit comment</v>
      </c>
    </row>
    <row r="2200" spans="1:16" ht="375">
      <c r="A2200" s="6" t="s">
        <v>6884</v>
      </c>
      <c r="B2200" s="6" t="s">
        <v>6885</v>
      </c>
      <c r="C2200" s="6" t="s">
        <v>6719</v>
      </c>
      <c r="D2200" s="6" t="s">
        <v>4494</v>
      </c>
      <c r="E2200" s="6" t="s">
        <v>4495</v>
      </c>
      <c r="F2200" s="7" t="s">
        <v>6599</v>
      </c>
      <c r="G2200" s="6"/>
      <c r="H2200" s="6" t="s">
        <v>3</v>
      </c>
      <c r="I2200" s="6"/>
      <c r="J2200" s="6"/>
      <c r="K2200" s="6"/>
      <c r="L2200" s="6" t="s">
        <v>4496</v>
      </c>
      <c r="M2200" s="6"/>
      <c r="N2200" s="6" t="s">
        <v>4497</v>
      </c>
      <c r="O2200" s="6" t="str">
        <f>HYPERLINK("https://ceds.ed.gov/cedselementdetails.aspx?termid=5611")</f>
        <v>https://ceds.ed.gov/cedselementdetails.aspx?termid=5611</v>
      </c>
      <c r="P2200" s="6" t="str">
        <f>HYPERLINK("https://ceds.ed.gov/elementComment.aspx?elementName=Personal Information Verification &amp;elementID=5611", "Click here to submit comment")</f>
        <v>Click here to submit comment</v>
      </c>
    </row>
    <row r="2201" spans="1:16" ht="285">
      <c r="A2201" s="6" t="s">
        <v>6884</v>
      </c>
      <c r="B2201" s="6" t="s">
        <v>6885</v>
      </c>
      <c r="C2201" s="6" t="s">
        <v>6720</v>
      </c>
      <c r="D2201" s="6" t="s">
        <v>191</v>
      </c>
      <c r="E2201" s="6" t="s">
        <v>192</v>
      </c>
      <c r="F2201" s="7" t="s">
        <v>6353</v>
      </c>
      <c r="G2201" s="6" t="s">
        <v>5976</v>
      </c>
      <c r="H2201" s="6" t="s">
        <v>66</v>
      </c>
      <c r="I2201" s="6" t="s">
        <v>100</v>
      </c>
      <c r="J2201" s="6" t="s">
        <v>193</v>
      </c>
      <c r="K2201" s="6"/>
      <c r="L2201" s="6" t="s">
        <v>194</v>
      </c>
      <c r="M2201" s="6"/>
      <c r="N2201" s="6" t="s">
        <v>195</v>
      </c>
      <c r="O2201" s="6" t="str">
        <f>HYPERLINK("https://ceds.ed.gov/cedselementdetails.aspx?termid=5358")</f>
        <v>https://ceds.ed.gov/cedselementdetails.aspx?termid=5358</v>
      </c>
      <c r="P2201" s="6" t="str">
        <f>HYPERLINK("https://ceds.ed.gov/elementComment.aspx?elementName=Address Type for Learner or Family &amp;elementID=5358", "Click here to submit comment")</f>
        <v>Click here to submit comment</v>
      </c>
    </row>
    <row r="2202" spans="1:16" ht="225">
      <c r="A2202" s="6" t="s">
        <v>6884</v>
      </c>
      <c r="B2202" s="6" t="s">
        <v>6885</v>
      </c>
      <c r="C2202" s="6" t="s">
        <v>6720</v>
      </c>
      <c r="D2202" s="6" t="s">
        <v>187</v>
      </c>
      <c r="E2202" s="6" t="s">
        <v>188</v>
      </c>
      <c r="F2202" s="6" t="s">
        <v>13</v>
      </c>
      <c r="G2202" s="6" t="s">
        <v>5973</v>
      </c>
      <c r="H2202" s="6" t="s">
        <v>3</v>
      </c>
      <c r="I2202" s="6" t="s">
        <v>149</v>
      </c>
      <c r="J2202" s="6"/>
      <c r="K2202" s="6"/>
      <c r="L2202" s="6" t="s">
        <v>189</v>
      </c>
      <c r="M2202" s="6"/>
      <c r="N2202" s="6" t="s">
        <v>190</v>
      </c>
      <c r="O2202" s="6" t="str">
        <f>HYPERLINK("https://ceds.ed.gov/cedselementdetails.aspx?termid=5269")</f>
        <v>https://ceds.ed.gov/cedselementdetails.aspx?termid=5269</v>
      </c>
      <c r="P2202" s="6" t="str">
        <f>HYPERLINK("https://ceds.ed.gov/elementComment.aspx?elementName=Address Street Number and Name &amp;elementID=5269", "Click here to submit comment")</f>
        <v>Click here to submit comment</v>
      </c>
    </row>
    <row r="2203" spans="1:16" ht="225">
      <c r="A2203" s="6" t="s">
        <v>6884</v>
      </c>
      <c r="B2203" s="6" t="s">
        <v>6885</v>
      </c>
      <c r="C2203" s="6" t="s">
        <v>6720</v>
      </c>
      <c r="D2203" s="6" t="s">
        <v>170</v>
      </c>
      <c r="E2203" s="6" t="s">
        <v>171</v>
      </c>
      <c r="F2203" s="6" t="s">
        <v>13</v>
      </c>
      <c r="G2203" s="6" t="s">
        <v>5973</v>
      </c>
      <c r="H2203" s="6" t="s">
        <v>3</v>
      </c>
      <c r="I2203" s="6" t="s">
        <v>100</v>
      </c>
      <c r="J2203" s="6"/>
      <c r="K2203" s="6"/>
      <c r="L2203" s="6" t="s">
        <v>172</v>
      </c>
      <c r="M2203" s="6"/>
      <c r="N2203" s="6" t="s">
        <v>173</v>
      </c>
      <c r="O2203" s="6" t="str">
        <f>HYPERLINK("https://ceds.ed.gov/cedselementdetails.aspx?termid=5019")</f>
        <v>https://ceds.ed.gov/cedselementdetails.aspx?termid=5019</v>
      </c>
      <c r="P2203" s="6" t="str">
        <f>HYPERLINK("https://ceds.ed.gov/elementComment.aspx?elementName=Address Apartment Room or Suite Number &amp;elementID=5019", "Click here to submit comment")</f>
        <v>Click here to submit comment</v>
      </c>
    </row>
    <row r="2204" spans="1:16" ht="225">
      <c r="A2204" s="6" t="s">
        <v>6884</v>
      </c>
      <c r="B2204" s="6" t="s">
        <v>6885</v>
      </c>
      <c r="C2204" s="6" t="s">
        <v>6720</v>
      </c>
      <c r="D2204" s="6" t="s">
        <v>174</v>
      </c>
      <c r="E2204" s="6" t="s">
        <v>175</v>
      </c>
      <c r="F2204" s="6" t="s">
        <v>13</v>
      </c>
      <c r="G2204" s="6" t="s">
        <v>5973</v>
      </c>
      <c r="H2204" s="6" t="s">
        <v>3</v>
      </c>
      <c r="I2204" s="6" t="s">
        <v>100</v>
      </c>
      <c r="J2204" s="6"/>
      <c r="K2204" s="6"/>
      <c r="L2204" s="6" t="s">
        <v>176</v>
      </c>
      <c r="M2204" s="6"/>
      <c r="N2204" s="6" t="s">
        <v>177</v>
      </c>
      <c r="O2204" s="6" t="str">
        <f>HYPERLINK("https://ceds.ed.gov/cedselementdetails.aspx?termid=5040")</f>
        <v>https://ceds.ed.gov/cedselementdetails.aspx?termid=5040</v>
      </c>
      <c r="P2204" s="6" t="str">
        <f>HYPERLINK("https://ceds.ed.gov/elementComment.aspx?elementName=Address City &amp;elementID=5040", "Click here to submit comment")</f>
        <v>Click here to submit comment</v>
      </c>
    </row>
    <row r="2205" spans="1:16" ht="409.5">
      <c r="A2205" s="6" t="s">
        <v>6884</v>
      </c>
      <c r="B2205" s="6" t="s">
        <v>6885</v>
      </c>
      <c r="C2205" s="6" t="s">
        <v>6720</v>
      </c>
      <c r="D2205" s="6" t="s">
        <v>5533</v>
      </c>
      <c r="E2205" s="6" t="s">
        <v>5534</v>
      </c>
      <c r="F2205" s="7" t="s">
        <v>6633</v>
      </c>
      <c r="G2205" s="6" t="s">
        <v>6324</v>
      </c>
      <c r="H2205" s="6" t="s">
        <v>3</v>
      </c>
      <c r="I2205" s="6"/>
      <c r="J2205" s="6"/>
      <c r="K2205" s="6"/>
      <c r="L2205" s="6" t="s">
        <v>5535</v>
      </c>
      <c r="M2205" s="6"/>
      <c r="N2205" s="6" t="s">
        <v>5536</v>
      </c>
      <c r="O2205" s="6" t="str">
        <f>HYPERLINK("https://ceds.ed.gov/cedselementdetails.aspx?termid=5267")</f>
        <v>https://ceds.ed.gov/cedselementdetails.aspx?termid=5267</v>
      </c>
      <c r="P2205" s="6" t="str">
        <f>HYPERLINK("https://ceds.ed.gov/elementComment.aspx?elementName=State Abbreviation &amp;elementID=5267", "Click here to submit comment")</f>
        <v>Click here to submit comment</v>
      </c>
    </row>
    <row r="2206" spans="1:16" ht="225">
      <c r="A2206" s="6" t="s">
        <v>6884</v>
      </c>
      <c r="B2206" s="6" t="s">
        <v>6885</v>
      </c>
      <c r="C2206" s="6" t="s">
        <v>6720</v>
      </c>
      <c r="D2206" s="6" t="s">
        <v>182</v>
      </c>
      <c r="E2206" s="6" t="s">
        <v>183</v>
      </c>
      <c r="F2206" s="6" t="s">
        <v>13</v>
      </c>
      <c r="G2206" s="6" t="s">
        <v>5973</v>
      </c>
      <c r="H2206" s="6" t="s">
        <v>3</v>
      </c>
      <c r="I2206" s="6" t="s">
        <v>184</v>
      </c>
      <c r="J2206" s="6"/>
      <c r="K2206" s="6"/>
      <c r="L2206" s="6" t="s">
        <v>185</v>
      </c>
      <c r="M2206" s="6"/>
      <c r="N2206" s="6" t="s">
        <v>186</v>
      </c>
      <c r="O2206" s="6" t="str">
        <f>HYPERLINK("https://ceds.ed.gov/cedselementdetails.aspx?termid=5214")</f>
        <v>https://ceds.ed.gov/cedselementdetails.aspx?termid=5214</v>
      </c>
      <c r="P2206" s="6" t="str">
        <f>HYPERLINK("https://ceds.ed.gov/elementComment.aspx?elementName=Address Postal Code &amp;elementID=5214", "Click here to submit comment")</f>
        <v>Click here to submit comment</v>
      </c>
    </row>
    <row r="2207" spans="1:16" ht="225">
      <c r="A2207" s="6" t="s">
        <v>6884</v>
      </c>
      <c r="B2207" s="6" t="s">
        <v>6885</v>
      </c>
      <c r="C2207" s="6" t="s">
        <v>6720</v>
      </c>
      <c r="D2207" s="6" t="s">
        <v>178</v>
      </c>
      <c r="E2207" s="6" t="s">
        <v>179</v>
      </c>
      <c r="F2207" s="6" t="s">
        <v>13</v>
      </c>
      <c r="G2207" s="6" t="s">
        <v>5973</v>
      </c>
      <c r="H2207" s="6" t="s">
        <v>3</v>
      </c>
      <c r="I2207" s="6" t="s">
        <v>100</v>
      </c>
      <c r="J2207" s="6"/>
      <c r="K2207" s="6"/>
      <c r="L2207" s="6" t="s">
        <v>180</v>
      </c>
      <c r="M2207" s="6"/>
      <c r="N2207" s="6" t="s">
        <v>181</v>
      </c>
      <c r="O2207" s="6" t="str">
        <f>HYPERLINK("https://ceds.ed.gov/cedselementdetails.aspx?termid=5190")</f>
        <v>https://ceds.ed.gov/cedselementdetails.aspx?termid=5190</v>
      </c>
      <c r="P2207" s="6" t="str">
        <f>HYPERLINK("https://ceds.ed.gov/elementComment.aspx?elementName=Address County Name &amp;elementID=5190", "Click here to submit comment")</f>
        <v>Click here to submit comment</v>
      </c>
    </row>
    <row r="2208" spans="1:16" ht="409.5">
      <c r="A2208" s="6" t="s">
        <v>6884</v>
      </c>
      <c r="B2208" s="6" t="s">
        <v>6885</v>
      </c>
      <c r="C2208" s="6" t="s">
        <v>6720</v>
      </c>
      <c r="D2208" s="6" t="s">
        <v>1809</v>
      </c>
      <c r="E2208" s="6" t="s">
        <v>1810</v>
      </c>
      <c r="F2208" s="7" t="s">
        <v>6433</v>
      </c>
      <c r="G2208" s="6" t="s">
        <v>6107</v>
      </c>
      <c r="H2208" s="6" t="s">
        <v>3</v>
      </c>
      <c r="I2208" s="6"/>
      <c r="J2208" s="6"/>
      <c r="K2208" s="6"/>
      <c r="L2208" s="6" t="s">
        <v>1811</v>
      </c>
      <c r="M2208" s="6"/>
      <c r="N2208" s="6" t="s">
        <v>1812</v>
      </c>
      <c r="O2208" s="6" t="str">
        <f>HYPERLINK("https://ceds.ed.gov/cedselementdetails.aspx?termid=5050")</f>
        <v>https://ceds.ed.gov/cedselementdetails.aspx?termid=5050</v>
      </c>
      <c r="P2208" s="6" t="str">
        <f>HYPERLINK("https://ceds.ed.gov/elementComment.aspx?elementName=Country Code &amp;elementID=5050", "Click here to submit comment")</f>
        <v>Click here to submit comment</v>
      </c>
    </row>
    <row r="2209" spans="1:16" ht="135">
      <c r="A2209" s="6" t="s">
        <v>6884</v>
      </c>
      <c r="B2209" s="6" t="s">
        <v>6885</v>
      </c>
      <c r="C2209" s="6" t="s">
        <v>6721</v>
      </c>
      <c r="D2209" s="6" t="s">
        <v>5732</v>
      </c>
      <c r="E2209" s="6" t="s">
        <v>5733</v>
      </c>
      <c r="F2209" s="7" t="s">
        <v>6675</v>
      </c>
      <c r="G2209" s="6" t="s">
        <v>5968</v>
      </c>
      <c r="H2209" s="6" t="s">
        <v>3</v>
      </c>
      <c r="I2209" s="6" t="s">
        <v>2844</v>
      </c>
      <c r="J2209" s="6"/>
      <c r="K2209" s="6"/>
      <c r="L2209" s="6" t="s">
        <v>5734</v>
      </c>
      <c r="M2209" s="6"/>
      <c r="N2209" s="6" t="s">
        <v>5735</v>
      </c>
      <c r="O2209" s="6" t="str">
        <f>HYPERLINK("https://ceds.ed.gov/cedselementdetails.aspx?termid=5280")</f>
        <v>https://ceds.ed.gov/cedselementdetails.aspx?termid=5280</v>
      </c>
      <c r="P2209" s="6" t="str">
        <f>HYPERLINK("https://ceds.ed.gov/elementComment.aspx?elementName=Telephone Number Type &amp;elementID=5280", "Click here to submit comment")</f>
        <v>Click here to submit comment</v>
      </c>
    </row>
    <row r="2210" spans="1:16" ht="90">
      <c r="A2210" s="6" t="s">
        <v>6884</v>
      </c>
      <c r="B2210" s="6" t="s">
        <v>6885</v>
      </c>
      <c r="C2210" s="6" t="s">
        <v>6721</v>
      </c>
      <c r="D2210" s="6" t="s">
        <v>4591</v>
      </c>
      <c r="E2210" s="6" t="s">
        <v>4592</v>
      </c>
      <c r="F2210" s="6" t="s">
        <v>5963</v>
      </c>
      <c r="G2210" s="6" t="s">
        <v>5968</v>
      </c>
      <c r="H2210" s="6" t="s">
        <v>3</v>
      </c>
      <c r="I2210" s="6"/>
      <c r="J2210" s="6"/>
      <c r="K2210" s="6"/>
      <c r="L2210" s="6" t="s">
        <v>4593</v>
      </c>
      <c r="M2210" s="6"/>
      <c r="N2210" s="6" t="s">
        <v>4594</v>
      </c>
      <c r="O2210" s="6" t="str">
        <f>HYPERLINK("https://ceds.ed.gov/cedselementdetails.aspx?termid=5219")</f>
        <v>https://ceds.ed.gov/cedselementdetails.aspx?termid=5219</v>
      </c>
      <c r="P2210" s="6" t="str">
        <f>HYPERLINK("https://ceds.ed.gov/elementComment.aspx?elementName=Primary Telephone Number Indicator &amp;elementID=5219", "Click here to submit comment")</f>
        <v>Click here to submit comment</v>
      </c>
    </row>
    <row r="2211" spans="1:16" ht="90">
      <c r="A2211" s="6" t="s">
        <v>6884</v>
      </c>
      <c r="B2211" s="6" t="s">
        <v>6885</v>
      </c>
      <c r="C2211" s="6" t="s">
        <v>6721</v>
      </c>
      <c r="D2211" s="6" t="s">
        <v>5727</v>
      </c>
      <c r="E2211" s="6" t="s">
        <v>5728</v>
      </c>
      <c r="F2211" s="6" t="s">
        <v>13</v>
      </c>
      <c r="G2211" s="6" t="s">
        <v>5968</v>
      </c>
      <c r="H2211" s="6" t="s">
        <v>3</v>
      </c>
      <c r="I2211" s="6" t="s">
        <v>5729</v>
      </c>
      <c r="J2211" s="6"/>
      <c r="K2211" s="6"/>
      <c r="L2211" s="6" t="s">
        <v>5730</v>
      </c>
      <c r="M2211" s="6"/>
      <c r="N2211" s="6" t="s">
        <v>5731</v>
      </c>
      <c r="O2211" s="6" t="str">
        <f>HYPERLINK("https://ceds.ed.gov/cedselementdetails.aspx?termid=5279")</f>
        <v>https://ceds.ed.gov/cedselementdetails.aspx?termid=5279</v>
      </c>
      <c r="P2211" s="6" t="str">
        <f>HYPERLINK("https://ceds.ed.gov/elementComment.aspx?elementName=Telephone Number &amp;elementID=5279", "Click here to submit comment")</f>
        <v>Click here to submit comment</v>
      </c>
    </row>
    <row r="2212" spans="1:16" ht="105">
      <c r="A2212" s="6" t="s">
        <v>6884</v>
      </c>
      <c r="B2212" s="6" t="s">
        <v>6885</v>
      </c>
      <c r="C2212" s="6" t="s">
        <v>6742</v>
      </c>
      <c r="D2212" s="6" t="s">
        <v>2457</v>
      </c>
      <c r="E2212" s="6" t="s">
        <v>2458</v>
      </c>
      <c r="F2212" s="7" t="s">
        <v>6489</v>
      </c>
      <c r="G2212" s="6" t="s">
        <v>5968</v>
      </c>
      <c r="H2212" s="6" t="s">
        <v>3</v>
      </c>
      <c r="I2212" s="6"/>
      <c r="J2212" s="6"/>
      <c r="K2212" s="6"/>
      <c r="L2212" s="6" t="s">
        <v>2459</v>
      </c>
      <c r="M2212" s="6" t="s">
        <v>2460</v>
      </c>
      <c r="N2212" s="6" t="s">
        <v>2461</v>
      </c>
      <c r="O2212" s="6" t="str">
        <f>HYPERLINK("https://ceds.ed.gov/cedselementdetails.aspx?termid=5089")</f>
        <v>https://ceds.ed.gov/cedselementdetails.aspx?termid=5089</v>
      </c>
      <c r="P2212" s="6" t="str">
        <f>HYPERLINK("https://ceds.ed.gov/elementComment.aspx?elementName=Electronic Mail Address Type &amp;elementID=5089", "Click here to submit comment")</f>
        <v>Click here to submit comment</v>
      </c>
    </row>
    <row r="2213" spans="1:16" ht="90">
      <c r="A2213" s="6" t="s">
        <v>6884</v>
      </c>
      <c r="B2213" s="6" t="s">
        <v>6885</v>
      </c>
      <c r="C2213" s="6" t="s">
        <v>6742</v>
      </c>
      <c r="D2213" s="6" t="s">
        <v>2451</v>
      </c>
      <c r="E2213" s="6" t="s">
        <v>2452</v>
      </c>
      <c r="F2213" s="6" t="s">
        <v>13</v>
      </c>
      <c r="G2213" s="6" t="s">
        <v>5968</v>
      </c>
      <c r="H2213" s="6" t="s">
        <v>3</v>
      </c>
      <c r="I2213" s="6" t="s">
        <v>2453</v>
      </c>
      <c r="J2213" s="6"/>
      <c r="K2213" s="6"/>
      <c r="L2213" s="6" t="s">
        <v>2454</v>
      </c>
      <c r="M2213" s="6" t="s">
        <v>2455</v>
      </c>
      <c r="N2213" s="6" t="s">
        <v>2456</v>
      </c>
      <c r="O2213" s="6" t="str">
        <f>HYPERLINK("https://ceds.ed.gov/cedselementdetails.aspx?termid=5088")</f>
        <v>https://ceds.ed.gov/cedselementdetails.aspx?termid=5088</v>
      </c>
      <c r="P2213" s="6" t="str">
        <f>HYPERLINK("https://ceds.ed.gov/elementComment.aspx?elementName=Electronic Mail Address &amp;elementID=5088", "Click here to submit comment")</f>
        <v>Click here to submit comment</v>
      </c>
    </row>
    <row r="2214" spans="1:16" ht="240">
      <c r="A2214" s="6" t="s">
        <v>6884</v>
      </c>
      <c r="B2214" s="6" t="s">
        <v>6885</v>
      </c>
      <c r="C2214" s="6" t="s">
        <v>6722</v>
      </c>
      <c r="D2214" s="6" t="s">
        <v>1474</v>
      </c>
      <c r="E2214" s="6" t="s">
        <v>1475</v>
      </c>
      <c r="F2214" s="6" t="s">
        <v>13</v>
      </c>
      <c r="G2214" s="6" t="s">
        <v>6080</v>
      </c>
      <c r="H2214" s="6" t="s">
        <v>3</v>
      </c>
      <c r="I2214" s="6" t="s">
        <v>73</v>
      </c>
      <c r="J2214" s="6"/>
      <c r="K2214" s="6"/>
      <c r="L2214" s="6" t="s">
        <v>1476</v>
      </c>
      <c r="M2214" s="6"/>
      <c r="N2214" s="6" t="s">
        <v>1474</v>
      </c>
      <c r="O2214" s="6" t="str">
        <f>HYPERLINK("https://ceds.ed.gov/cedselementdetails.aspx?termid=5033")</f>
        <v>https://ceds.ed.gov/cedselementdetails.aspx?termid=5033</v>
      </c>
      <c r="P2214" s="6" t="str">
        <f>HYPERLINK("https://ceds.ed.gov/elementComment.aspx?elementName=Birthdate &amp;elementID=5033", "Click here to submit comment")</f>
        <v>Click here to submit comment</v>
      </c>
    </row>
    <row r="2215" spans="1:16" ht="255">
      <c r="A2215" s="6" t="s">
        <v>6884</v>
      </c>
      <c r="B2215" s="6" t="s">
        <v>6885</v>
      </c>
      <c r="C2215" s="6" t="s">
        <v>6722</v>
      </c>
      <c r="D2215" s="6" t="s">
        <v>5353</v>
      </c>
      <c r="E2215" s="6" t="s">
        <v>5354</v>
      </c>
      <c r="F2215" s="7" t="s">
        <v>6656</v>
      </c>
      <c r="G2215" s="6" t="s">
        <v>6312</v>
      </c>
      <c r="H2215" s="6" t="s">
        <v>3</v>
      </c>
      <c r="I2215" s="6"/>
      <c r="J2215" s="6"/>
      <c r="K2215" s="6" t="s">
        <v>5355</v>
      </c>
      <c r="L2215" s="6" t="s">
        <v>5356</v>
      </c>
      <c r="M2215" s="6"/>
      <c r="N2215" s="6" t="s">
        <v>5353</v>
      </c>
      <c r="O2215" s="6" t="str">
        <f>HYPERLINK("https://ceds.ed.gov/cedselementdetails.aspx?termid=5255")</f>
        <v>https://ceds.ed.gov/cedselementdetails.aspx?termid=5255</v>
      </c>
      <c r="P2215" s="6" t="str">
        <f>HYPERLINK("https://ceds.ed.gov/elementComment.aspx?elementName=Sex &amp;elementID=5255", "Click here to submit comment")</f>
        <v>Click here to submit comment</v>
      </c>
    </row>
    <row r="2216" spans="1:16" ht="225">
      <c r="A2216" s="6" t="s">
        <v>6884</v>
      </c>
      <c r="B2216" s="6" t="s">
        <v>6885</v>
      </c>
      <c r="C2216" s="6" t="s">
        <v>6722</v>
      </c>
      <c r="D2216" s="6" t="s">
        <v>351</v>
      </c>
      <c r="E2216" s="6" t="s">
        <v>352</v>
      </c>
      <c r="F2216" s="7" t="s">
        <v>6373</v>
      </c>
      <c r="G2216" s="6" t="s">
        <v>5986</v>
      </c>
      <c r="H2216" s="6"/>
      <c r="I2216" s="6"/>
      <c r="J2216" s="6"/>
      <c r="K2216" s="6" t="s">
        <v>353</v>
      </c>
      <c r="L2216" s="6" t="s">
        <v>354</v>
      </c>
      <c r="M2216" s="6"/>
      <c r="N2216" s="6" t="s">
        <v>355</v>
      </c>
      <c r="O2216" s="6" t="str">
        <f>HYPERLINK("https://ceds.ed.gov/cedselementdetails.aspx?termid=5655")</f>
        <v>https://ceds.ed.gov/cedselementdetails.aspx?termid=5655</v>
      </c>
      <c r="P2216" s="6" t="str">
        <f>HYPERLINK("https://ceds.ed.gov/elementComment.aspx?elementName=American Indian or Alaska Native &amp;elementID=5655", "Click here to submit comment")</f>
        <v>Click here to submit comment</v>
      </c>
    </row>
    <row r="2217" spans="1:16" ht="225">
      <c r="A2217" s="6" t="s">
        <v>6884</v>
      </c>
      <c r="B2217" s="6" t="s">
        <v>6885</v>
      </c>
      <c r="C2217" s="6" t="s">
        <v>6722</v>
      </c>
      <c r="D2217" s="6" t="s">
        <v>392</v>
      </c>
      <c r="E2217" s="6" t="s">
        <v>393</v>
      </c>
      <c r="F2217" s="7" t="s">
        <v>6373</v>
      </c>
      <c r="G2217" s="6" t="s">
        <v>5986</v>
      </c>
      <c r="H2217" s="6"/>
      <c r="I2217" s="6"/>
      <c r="J2217" s="6"/>
      <c r="K2217" s="6" t="s">
        <v>353</v>
      </c>
      <c r="L2217" s="6" t="s">
        <v>394</v>
      </c>
      <c r="M2217" s="6"/>
      <c r="N2217" s="6" t="s">
        <v>392</v>
      </c>
      <c r="O2217" s="6" t="str">
        <f>HYPERLINK("https://ceds.ed.gov/cedselementdetails.aspx?termid=5656")</f>
        <v>https://ceds.ed.gov/cedselementdetails.aspx?termid=5656</v>
      </c>
      <c r="P2217" s="6" t="str">
        <f>HYPERLINK("https://ceds.ed.gov/elementComment.aspx?elementName=Asian &amp;elementID=5656", "Click here to submit comment")</f>
        <v>Click here to submit comment</v>
      </c>
    </row>
    <row r="2218" spans="1:16" ht="225">
      <c r="A2218" s="6" t="s">
        <v>6884</v>
      </c>
      <c r="B2218" s="6" t="s">
        <v>6885</v>
      </c>
      <c r="C2218" s="6" t="s">
        <v>6722</v>
      </c>
      <c r="D2218" s="6" t="s">
        <v>1483</v>
      </c>
      <c r="E2218" s="6" t="s">
        <v>1484</v>
      </c>
      <c r="F2218" s="7" t="s">
        <v>6373</v>
      </c>
      <c r="G2218" s="6" t="s">
        <v>5986</v>
      </c>
      <c r="H2218" s="6"/>
      <c r="I2218" s="6"/>
      <c r="J2218" s="6"/>
      <c r="K2218" s="6" t="s">
        <v>353</v>
      </c>
      <c r="L2218" s="6" t="s">
        <v>1485</v>
      </c>
      <c r="M2218" s="6"/>
      <c r="N2218" s="6" t="s">
        <v>1486</v>
      </c>
      <c r="O2218" s="6" t="str">
        <f>HYPERLINK("https://ceds.ed.gov/cedselementdetails.aspx?termid=5657")</f>
        <v>https://ceds.ed.gov/cedselementdetails.aspx?termid=5657</v>
      </c>
      <c r="P2218" s="6" t="str">
        <f>HYPERLINK("https://ceds.ed.gov/elementComment.aspx?elementName=Black or African American &amp;elementID=5657", "Click here to submit comment")</f>
        <v>Click here to submit comment</v>
      </c>
    </row>
    <row r="2219" spans="1:16" ht="225">
      <c r="A2219" s="6" t="s">
        <v>6884</v>
      </c>
      <c r="B2219" s="6" t="s">
        <v>6885</v>
      </c>
      <c r="C2219" s="6" t="s">
        <v>6722</v>
      </c>
      <c r="D2219" s="6" t="s">
        <v>4202</v>
      </c>
      <c r="E2219" s="6" t="s">
        <v>4203</v>
      </c>
      <c r="F2219" s="7" t="s">
        <v>6373</v>
      </c>
      <c r="G2219" s="6" t="s">
        <v>5986</v>
      </c>
      <c r="H2219" s="6"/>
      <c r="I2219" s="6"/>
      <c r="J2219" s="6"/>
      <c r="K2219" s="6" t="s">
        <v>353</v>
      </c>
      <c r="L2219" s="6" t="s">
        <v>4204</v>
      </c>
      <c r="M2219" s="6"/>
      <c r="N2219" s="6" t="s">
        <v>4205</v>
      </c>
      <c r="O2219" s="6" t="str">
        <f>HYPERLINK("https://ceds.ed.gov/cedselementdetails.aspx?termid=5658")</f>
        <v>https://ceds.ed.gov/cedselementdetails.aspx?termid=5658</v>
      </c>
      <c r="P2219" s="6" t="str">
        <f>HYPERLINK("https://ceds.ed.gov/elementComment.aspx?elementName=Native Hawaiian or Other Pacific Islander &amp;elementID=5658", "Click here to submit comment")</f>
        <v>Click here to submit comment</v>
      </c>
    </row>
    <row r="2220" spans="1:16" ht="225">
      <c r="A2220" s="6" t="s">
        <v>6884</v>
      </c>
      <c r="B2220" s="6" t="s">
        <v>6885</v>
      </c>
      <c r="C2220" s="6" t="s">
        <v>6722</v>
      </c>
      <c r="D2220" s="6" t="s">
        <v>5925</v>
      </c>
      <c r="E2220" s="6" t="s">
        <v>5926</v>
      </c>
      <c r="F2220" s="7" t="s">
        <v>6373</v>
      </c>
      <c r="G2220" s="6" t="s">
        <v>5986</v>
      </c>
      <c r="H2220" s="6"/>
      <c r="I2220" s="6"/>
      <c r="J2220" s="6"/>
      <c r="K2220" s="6" t="s">
        <v>353</v>
      </c>
      <c r="L2220" s="6" t="s">
        <v>5927</v>
      </c>
      <c r="M2220" s="6"/>
      <c r="N2220" s="6" t="s">
        <v>5925</v>
      </c>
      <c r="O2220" s="6" t="str">
        <f>HYPERLINK("https://ceds.ed.gov/cedselementdetails.aspx?termid=5659")</f>
        <v>https://ceds.ed.gov/cedselementdetails.aspx?termid=5659</v>
      </c>
      <c r="P2220" s="6" t="str">
        <f>HYPERLINK("https://ceds.ed.gov/elementComment.aspx?elementName=White &amp;elementID=5659", "Click here to submit comment")</f>
        <v>Click here to submit comment</v>
      </c>
    </row>
    <row r="2221" spans="1:16" ht="225">
      <c r="A2221" s="6" t="s">
        <v>6884</v>
      </c>
      <c r="B2221" s="6" t="s">
        <v>6885</v>
      </c>
      <c r="C2221" s="6" t="s">
        <v>6722</v>
      </c>
      <c r="D2221" s="6" t="s">
        <v>2985</v>
      </c>
      <c r="E2221" s="6" t="s">
        <v>2986</v>
      </c>
      <c r="F2221" s="7" t="s">
        <v>6373</v>
      </c>
      <c r="G2221" s="6" t="s">
        <v>5986</v>
      </c>
      <c r="H2221" s="6"/>
      <c r="I2221" s="6"/>
      <c r="J2221" s="6"/>
      <c r="K2221" s="6" t="s">
        <v>353</v>
      </c>
      <c r="L2221" s="6" t="s">
        <v>2987</v>
      </c>
      <c r="M2221" s="6"/>
      <c r="N2221" s="6" t="s">
        <v>2988</v>
      </c>
      <c r="O2221" s="6" t="str">
        <f>HYPERLINK("https://ceds.ed.gov/cedselementdetails.aspx?termid=5144")</f>
        <v>https://ceds.ed.gov/cedselementdetails.aspx?termid=5144</v>
      </c>
      <c r="P2221" s="6" t="str">
        <f>HYPERLINK("https://ceds.ed.gov/elementComment.aspx?elementName=Hispanic or Latino Ethnicity &amp;elementID=5144", "Click here to submit comment")</f>
        <v>Click here to submit comment</v>
      </c>
    </row>
    <row r="2222" spans="1:16" ht="105">
      <c r="A2222" s="6" t="s">
        <v>6884</v>
      </c>
      <c r="B2222" s="6" t="s">
        <v>6885</v>
      </c>
      <c r="C2222" s="6" t="s">
        <v>6806</v>
      </c>
      <c r="D2222" s="6" t="s">
        <v>1546</v>
      </c>
      <c r="E2222" s="6" t="s">
        <v>1547</v>
      </c>
      <c r="F2222" s="6" t="s">
        <v>5963</v>
      </c>
      <c r="G2222" s="6" t="s">
        <v>6084</v>
      </c>
      <c r="H2222" s="6"/>
      <c r="I2222" s="6"/>
      <c r="J2222" s="6"/>
      <c r="K2222" s="6"/>
      <c r="L2222" s="6" t="s">
        <v>1548</v>
      </c>
      <c r="M2222" s="6" t="s">
        <v>1549</v>
      </c>
      <c r="N2222" s="6" t="s">
        <v>1550</v>
      </c>
      <c r="O2222" s="6" t="str">
        <f>HYPERLINK("https://ceds.ed.gov/cedselementdetails.aspx?termid=5036")</f>
        <v>https://ceds.ed.gov/cedselementdetails.aspx?termid=5036</v>
      </c>
      <c r="P2222" s="6" t="str">
        <f>HYPERLINK("https://ceds.ed.gov/elementComment.aspx?elementName=Career and Technical Education Completer &amp;elementID=5036", "Click here to submit comment")</f>
        <v>Click here to submit comment</v>
      </c>
    </row>
    <row r="2223" spans="1:16" ht="90">
      <c r="A2223" s="6" t="s">
        <v>6884</v>
      </c>
      <c r="B2223" s="6" t="s">
        <v>6885</v>
      </c>
      <c r="C2223" s="6" t="s">
        <v>6806</v>
      </c>
      <c r="D2223" s="6" t="s">
        <v>1567</v>
      </c>
      <c r="E2223" s="6" t="s">
        <v>1568</v>
      </c>
      <c r="F2223" s="6" t="s">
        <v>5963</v>
      </c>
      <c r="G2223" s="6" t="s">
        <v>218</v>
      </c>
      <c r="H2223" s="6"/>
      <c r="I2223" s="6"/>
      <c r="J2223" s="6"/>
      <c r="K2223" s="6"/>
      <c r="L2223" s="6" t="s">
        <v>1569</v>
      </c>
      <c r="M2223" s="6" t="s">
        <v>1570</v>
      </c>
      <c r="N2223" s="6" t="s">
        <v>1571</v>
      </c>
      <c r="O2223" s="6" t="str">
        <f>HYPERLINK("https://ceds.ed.gov/cedselementdetails.aspx?termid=5586")</f>
        <v>https://ceds.ed.gov/cedselementdetails.aspx?termid=5586</v>
      </c>
      <c r="P2223" s="6" t="str">
        <f>HYPERLINK("https://ceds.ed.gov/elementComment.aspx?elementName=Career and Technical Education Nontraditional Completion &amp;elementID=5586", "Click here to submit comment")</f>
        <v>Click here to submit comment</v>
      </c>
    </row>
    <row r="2224" spans="1:16" ht="270">
      <c r="A2224" s="6" t="s">
        <v>6884</v>
      </c>
      <c r="B2224" s="6" t="s">
        <v>6885</v>
      </c>
      <c r="C2224" s="6" t="s">
        <v>6806</v>
      </c>
      <c r="D2224" s="6" t="s">
        <v>4763</v>
      </c>
      <c r="E2224" s="6" t="s">
        <v>4764</v>
      </c>
      <c r="F2224" s="7" t="s">
        <v>6620</v>
      </c>
      <c r="G2224" s="6"/>
      <c r="H2224" s="6" t="s">
        <v>66</v>
      </c>
      <c r="I2224" s="6"/>
      <c r="J2224" s="6" t="s">
        <v>848</v>
      </c>
      <c r="K2224" s="6"/>
      <c r="L2224" s="6" t="s">
        <v>4765</v>
      </c>
      <c r="M2224" s="6"/>
      <c r="N2224" s="6" t="s">
        <v>4766</v>
      </c>
      <c r="O2224" s="6" t="str">
        <f>HYPERLINK("https://ceds.ed.gov/cedselementdetails.aspx?termid=5780")</f>
        <v>https://ceds.ed.gov/cedselementdetails.aspx?termid=5780</v>
      </c>
      <c r="P2224" s="6" t="str">
        <f>HYPERLINK("https://ceds.ed.gov/elementComment.aspx?elementName=Professional or Technical Credential Conferred &amp;elementID=5780", "Click here to submit comment")</f>
        <v>Click here to submit comment</v>
      </c>
    </row>
    <row r="2225" spans="1:16" ht="409.5">
      <c r="A2225" s="6" t="s">
        <v>6884</v>
      </c>
      <c r="B2225" s="6" t="s">
        <v>6885</v>
      </c>
      <c r="C2225" s="6" t="s">
        <v>6806</v>
      </c>
      <c r="D2225" s="6" t="s">
        <v>2135</v>
      </c>
      <c r="E2225" s="6" t="s">
        <v>2136</v>
      </c>
      <c r="F2225" s="7" t="s">
        <v>6454</v>
      </c>
      <c r="G2225" s="6" t="s">
        <v>6131</v>
      </c>
      <c r="H2225" s="6"/>
      <c r="I2225" s="6"/>
      <c r="J2225" s="6"/>
      <c r="K2225" s="6"/>
      <c r="L2225" s="6" t="s">
        <v>2137</v>
      </c>
      <c r="M2225" s="6"/>
      <c r="N2225" s="6" t="s">
        <v>2138</v>
      </c>
      <c r="O2225" s="6" t="str">
        <f>HYPERLINK("https://ceds.ed.gov/cedselementdetails.aspx?termid=5342")</f>
        <v>https://ceds.ed.gov/cedselementdetails.aspx?termid=5342</v>
      </c>
      <c r="P2225" s="6" t="str">
        <f>HYPERLINK("https://ceds.ed.gov/elementComment.aspx?elementName=Degree or Certificate Type &amp;elementID=5342", "Click here to submit comment")</f>
        <v>Click here to submit comment</v>
      </c>
    </row>
    <row r="2226" spans="1:16" ht="60">
      <c r="A2226" s="6" t="s">
        <v>6884</v>
      </c>
      <c r="B2226" s="6" t="s">
        <v>6885</v>
      </c>
      <c r="C2226" s="6" t="s">
        <v>6806</v>
      </c>
      <c r="D2226" s="6" t="s">
        <v>2131</v>
      </c>
      <c r="E2226" s="6" t="s">
        <v>2132</v>
      </c>
      <c r="F2226" s="6" t="s">
        <v>13</v>
      </c>
      <c r="G2226" s="6" t="s">
        <v>6131</v>
      </c>
      <c r="H2226" s="6"/>
      <c r="I2226" s="6" t="s">
        <v>1249</v>
      </c>
      <c r="J2226" s="6"/>
      <c r="K2226" s="6"/>
      <c r="L2226" s="6" t="s">
        <v>2133</v>
      </c>
      <c r="M2226" s="6"/>
      <c r="N2226" s="6" t="s">
        <v>2134</v>
      </c>
      <c r="O2226" s="6" t="str">
        <f>HYPERLINK("https://ceds.ed.gov/cedselementdetails.aspx?termid=5341")</f>
        <v>https://ceds.ed.gov/cedselementdetails.aspx?termid=5341</v>
      </c>
      <c r="P2226" s="6" t="str">
        <f>HYPERLINK("https://ceds.ed.gov/elementComment.aspx?elementName=Degree or Certificate Title or Subject &amp;elementID=5341", "Click here to submit comment")</f>
        <v>Click here to submit comment</v>
      </c>
    </row>
    <row r="2227" spans="1:16" ht="60">
      <c r="A2227" s="6" t="s">
        <v>6884</v>
      </c>
      <c r="B2227" s="6" t="s">
        <v>6885</v>
      </c>
      <c r="C2227" s="6" t="s">
        <v>6806</v>
      </c>
      <c r="D2227" s="6" t="s">
        <v>2123</v>
      </c>
      <c r="E2227" s="6" t="s">
        <v>2124</v>
      </c>
      <c r="F2227" s="6" t="s">
        <v>13</v>
      </c>
      <c r="G2227" s="6" t="s">
        <v>6131</v>
      </c>
      <c r="H2227" s="6"/>
      <c r="I2227" s="6" t="s">
        <v>73</v>
      </c>
      <c r="J2227" s="6"/>
      <c r="K2227" s="6"/>
      <c r="L2227" s="6" t="s">
        <v>2125</v>
      </c>
      <c r="M2227" s="6"/>
      <c r="N2227" s="6" t="s">
        <v>2126</v>
      </c>
      <c r="O2227" s="6" t="str">
        <f>HYPERLINK("https://ceds.ed.gov/cedselementdetails.aspx?termid=5343")</f>
        <v>https://ceds.ed.gov/cedselementdetails.aspx?termid=5343</v>
      </c>
      <c r="P2227" s="6" t="str">
        <f>HYPERLINK("https://ceds.ed.gov/elementComment.aspx?elementName=Degree or Certificate Conferring Date &amp;elementID=5343", "Click here to submit comment")</f>
        <v>Click here to submit comment</v>
      </c>
    </row>
    <row r="2228" spans="1:16" ht="45">
      <c r="A2228" s="6" t="s">
        <v>6884</v>
      </c>
      <c r="B2228" s="6" t="s">
        <v>6885</v>
      </c>
      <c r="C2228" s="6" t="s">
        <v>6886</v>
      </c>
      <c r="D2228" s="6" t="s">
        <v>4821</v>
      </c>
      <c r="E2228" s="6" t="s">
        <v>4822</v>
      </c>
      <c r="F2228" s="6" t="s">
        <v>13</v>
      </c>
      <c r="G2228" s="6" t="s">
        <v>6051</v>
      </c>
      <c r="H2228" s="6"/>
      <c r="I2228" s="6" t="s">
        <v>73</v>
      </c>
      <c r="J2228" s="6"/>
      <c r="K2228" s="6"/>
      <c r="L2228" s="6" t="s">
        <v>4823</v>
      </c>
      <c r="M2228" s="6"/>
      <c r="N2228" s="6" t="s">
        <v>4824</v>
      </c>
      <c r="O2228" s="6" t="str">
        <f>HYPERLINK("https://ceds.ed.gov/cedselementdetails.aspx?termid=5583")</f>
        <v>https://ceds.ed.gov/cedselementdetails.aspx?termid=5583</v>
      </c>
      <c r="P2228" s="6" t="str">
        <f>HYPERLINK("https://ceds.ed.gov/elementComment.aspx?elementName=Program Participation Start Date &amp;elementID=5583", "Click here to submit comment")</f>
        <v>Click here to submit comment</v>
      </c>
    </row>
    <row r="2229" spans="1:16" ht="45">
      <c r="A2229" s="6" t="s">
        <v>6884</v>
      </c>
      <c r="B2229" s="6" t="s">
        <v>6885</v>
      </c>
      <c r="C2229" s="6" t="s">
        <v>6886</v>
      </c>
      <c r="D2229" s="6" t="s">
        <v>4817</v>
      </c>
      <c r="E2229" s="6" t="s">
        <v>4818</v>
      </c>
      <c r="F2229" s="6" t="s">
        <v>13</v>
      </c>
      <c r="G2229" s="6" t="s">
        <v>218</v>
      </c>
      <c r="H2229" s="6"/>
      <c r="I2229" s="6" t="s">
        <v>73</v>
      </c>
      <c r="J2229" s="6"/>
      <c r="K2229" s="6"/>
      <c r="L2229" s="6" t="s">
        <v>4819</v>
      </c>
      <c r="M2229" s="6"/>
      <c r="N2229" s="6" t="s">
        <v>4820</v>
      </c>
      <c r="O2229" s="6" t="str">
        <f>HYPERLINK("https://ceds.ed.gov/cedselementdetails.aspx?termid=5584")</f>
        <v>https://ceds.ed.gov/cedselementdetails.aspx?termid=5584</v>
      </c>
      <c r="P2229" s="6" t="str">
        <f>HYPERLINK("https://ceds.ed.gov/elementComment.aspx?elementName=Program Participation Exit Date &amp;elementID=5584", "Click here to submit comment")</f>
        <v>Click here to submit comment</v>
      </c>
    </row>
    <row r="2230" spans="1:16" ht="105">
      <c r="A2230" s="6" t="s">
        <v>6884</v>
      </c>
      <c r="B2230" s="6" t="s">
        <v>6885</v>
      </c>
      <c r="C2230" s="6" t="s">
        <v>6886</v>
      </c>
      <c r="D2230" s="6" t="s">
        <v>1551</v>
      </c>
      <c r="E2230" s="6" t="s">
        <v>1552</v>
      </c>
      <c r="F2230" s="6" t="s">
        <v>5963</v>
      </c>
      <c r="G2230" s="6" t="s">
        <v>6084</v>
      </c>
      <c r="H2230" s="6"/>
      <c r="I2230" s="6"/>
      <c r="J2230" s="6"/>
      <c r="K2230" s="6"/>
      <c r="L2230" s="6" t="s">
        <v>1553</v>
      </c>
      <c r="M2230" s="6" t="s">
        <v>1554</v>
      </c>
      <c r="N2230" s="6" t="s">
        <v>1555</v>
      </c>
      <c r="O2230" s="6" t="str">
        <f>HYPERLINK("https://ceds.ed.gov/cedselementdetails.aspx?termid=5037")</f>
        <v>https://ceds.ed.gov/cedselementdetails.aspx?termid=5037</v>
      </c>
      <c r="P2230" s="6" t="str">
        <f>HYPERLINK("https://ceds.ed.gov/elementComment.aspx?elementName=Career and Technical Education Concentrator &amp;elementID=5037", "Click here to submit comment")</f>
        <v>Click here to submit comment</v>
      </c>
    </row>
    <row r="2231" spans="1:16" ht="75">
      <c r="A2231" s="6" t="s">
        <v>6884</v>
      </c>
      <c r="B2231" s="6" t="s">
        <v>6885</v>
      </c>
      <c r="C2231" s="6" t="s">
        <v>6886</v>
      </c>
      <c r="D2231" s="6" t="s">
        <v>1572</v>
      </c>
      <c r="E2231" s="6" t="s">
        <v>1573</v>
      </c>
      <c r="F2231" s="6" t="s">
        <v>5963</v>
      </c>
      <c r="G2231" s="6" t="s">
        <v>218</v>
      </c>
      <c r="H2231" s="6"/>
      <c r="I2231" s="6"/>
      <c r="J2231" s="6"/>
      <c r="K2231" s="6"/>
      <c r="L2231" s="6" t="s">
        <v>1574</v>
      </c>
      <c r="M2231" s="6" t="s">
        <v>1575</v>
      </c>
      <c r="N2231" s="6" t="s">
        <v>1576</v>
      </c>
      <c r="O2231" s="6" t="str">
        <f>HYPERLINK("https://ceds.ed.gov/cedselementdetails.aspx?termid=5585")</f>
        <v>https://ceds.ed.gov/cedselementdetails.aspx?termid=5585</v>
      </c>
      <c r="P2231" s="6" t="str">
        <f>HYPERLINK("https://ceds.ed.gov/elementComment.aspx?elementName=Career and Technical Education Participant &amp;elementID=5585", "Click here to submit comment")</f>
        <v>Click here to submit comment</v>
      </c>
    </row>
    <row r="2232" spans="1:16" ht="270">
      <c r="A2232" s="6" t="s">
        <v>6884</v>
      </c>
      <c r="B2232" s="6" t="s">
        <v>6885</v>
      </c>
      <c r="C2232" s="6" t="s">
        <v>6886</v>
      </c>
      <c r="D2232" s="6" t="s">
        <v>1599</v>
      </c>
      <c r="E2232" s="6" t="s">
        <v>1600</v>
      </c>
      <c r="F2232" s="6" t="s">
        <v>5963</v>
      </c>
      <c r="G2232" s="6" t="s">
        <v>218</v>
      </c>
      <c r="H2232" s="6"/>
      <c r="I2232" s="6"/>
      <c r="J2232" s="6"/>
      <c r="K2232" s="6"/>
      <c r="L2232" s="6" t="s">
        <v>1601</v>
      </c>
      <c r="M2232" s="6" t="s">
        <v>1602</v>
      </c>
      <c r="N2232" s="6" t="s">
        <v>1603</v>
      </c>
      <c r="O2232" s="6" t="str">
        <f>HYPERLINK("https://ceds.ed.gov/cedselementdetails.aspx?termid=5084")</f>
        <v>https://ceds.ed.gov/cedselementdetails.aspx?termid=5084</v>
      </c>
      <c r="P2232" s="6" t="str">
        <f>HYPERLINK("https://ceds.ed.gov/elementComment.aspx?elementName=Career-Technical-Adult Education Displaced Homemaker Indicator &amp;elementID=5084", "Click here to submit comment")</f>
        <v>Click here to submit comment</v>
      </c>
    </row>
    <row r="2233" spans="1:16" ht="105">
      <c r="A2233" s="6" t="s">
        <v>6884</v>
      </c>
      <c r="B2233" s="6" t="s">
        <v>6885</v>
      </c>
      <c r="C2233" s="6" t="s">
        <v>6886</v>
      </c>
      <c r="D2233" s="6" t="s">
        <v>5370</v>
      </c>
      <c r="E2233" s="6" t="s">
        <v>5371</v>
      </c>
      <c r="F2233" s="6" t="s">
        <v>5963</v>
      </c>
      <c r="G2233" s="6" t="s">
        <v>6101</v>
      </c>
      <c r="H2233" s="6" t="s">
        <v>3</v>
      </c>
      <c r="I2233" s="6"/>
      <c r="J2233" s="6"/>
      <c r="K2233" s="6"/>
      <c r="L2233" s="6" t="s">
        <v>5372</v>
      </c>
      <c r="M2233" s="6"/>
      <c r="N2233" s="6" t="s">
        <v>5373</v>
      </c>
      <c r="O2233" s="6" t="str">
        <f>HYPERLINK("https://ceds.ed.gov/cedselementdetails.aspx?termid=5573")</f>
        <v>https://ceds.ed.gov/cedselementdetails.aspx?termid=5573</v>
      </c>
      <c r="P2233" s="6" t="str">
        <f>HYPERLINK("https://ceds.ed.gov/elementComment.aspx?elementName=Single Parent Or Single Pregnant Woman Status &amp;elementID=5573", "Click here to submit comment")</f>
        <v>Click here to submit comment</v>
      </c>
    </row>
    <row r="2234" spans="1:16" ht="409.5">
      <c r="A2234" s="6" t="s">
        <v>6884</v>
      </c>
      <c r="B2234" s="6" t="s">
        <v>6885</v>
      </c>
      <c r="C2234" s="6" t="s">
        <v>6886</v>
      </c>
      <c r="D2234" s="6" t="s">
        <v>1577</v>
      </c>
      <c r="E2234" s="6" t="s">
        <v>1578</v>
      </c>
      <c r="F2234" s="7" t="s">
        <v>6415</v>
      </c>
      <c r="G2234" s="6"/>
      <c r="H2234" s="6" t="s">
        <v>54</v>
      </c>
      <c r="I2234" s="6"/>
      <c r="J2234" s="6"/>
      <c r="K2234" s="6" t="s">
        <v>1579</v>
      </c>
      <c r="L2234" s="6" t="s">
        <v>1580</v>
      </c>
      <c r="M2234" s="6"/>
      <c r="N2234" s="6" t="s">
        <v>1581</v>
      </c>
      <c r="O2234" s="6" t="str">
        <f>HYPERLINK("https://ceds.ed.gov/cedselementdetails.aspx?termid=6254")</f>
        <v>https://ceds.ed.gov/cedselementdetails.aspx?termid=6254</v>
      </c>
      <c r="P2234" s="6" t="str">
        <f>HYPERLINK("https://ceds.ed.gov/elementComment.aspx?elementName=Career Cluster &amp;elementID=6254", "Click here to submit comment")</f>
        <v>Click here to submit comment</v>
      </c>
    </row>
    <row r="2235" spans="1:16" ht="75">
      <c r="A2235" s="6" t="s">
        <v>6884</v>
      </c>
      <c r="B2235" s="6" t="s">
        <v>6885</v>
      </c>
      <c r="C2235" s="6" t="s">
        <v>6886</v>
      </c>
      <c r="D2235" s="6" t="s">
        <v>1700</v>
      </c>
      <c r="E2235" s="6" t="s">
        <v>1701</v>
      </c>
      <c r="F2235" s="5" t="s">
        <v>1702</v>
      </c>
      <c r="G2235" s="6" t="s">
        <v>5967</v>
      </c>
      <c r="H2235" s="6" t="s">
        <v>3</v>
      </c>
      <c r="I2235" s="6"/>
      <c r="J2235" s="6"/>
      <c r="K2235" s="6"/>
      <c r="L2235" s="6" t="s">
        <v>1703</v>
      </c>
      <c r="M2235" s="6" t="s">
        <v>1704</v>
      </c>
      <c r="N2235" s="6" t="s">
        <v>1705</v>
      </c>
      <c r="O2235" s="6" t="str">
        <f>HYPERLINK("https://ceds.ed.gov/cedselementdetails.aspx?termid=5043")</f>
        <v>https://ceds.ed.gov/cedselementdetails.aspx?termid=5043</v>
      </c>
      <c r="P2235" s="6" t="str">
        <f>HYPERLINK("https://ceds.ed.gov/elementComment.aspx?elementName=Classification of Instructional Program Code &amp;elementID=5043", "Click here to submit comment")</f>
        <v>Click here to submit comment</v>
      </c>
    </row>
    <row r="2236" spans="1:16" ht="345">
      <c r="A2236" s="6" t="s">
        <v>6884</v>
      </c>
      <c r="B2236" s="6" t="s">
        <v>6885</v>
      </c>
      <c r="C2236" s="6" t="s">
        <v>6886</v>
      </c>
      <c r="D2236" s="6" t="s">
        <v>5928</v>
      </c>
      <c r="E2236" s="6" t="s">
        <v>5929</v>
      </c>
      <c r="F2236" s="7" t="s">
        <v>6695</v>
      </c>
      <c r="G2236" s="6"/>
      <c r="H2236" s="6" t="s">
        <v>54</v>
      </c>
      <c r="I2236" s="6"/>
      <c r="J2236" s="6"/>
      <c r="K2236" s="6"/>
      <c r="L2236" s="6" t="s">
        <v>5930</v>
      </c>
      <c r="M2236" s="6"/>
      <c r="N2236" s="6" t="s">
        <v>5931</v>
      </c>
      <c r="O2236" s="6" t="str">
        <f>HYPERLINK("https://ceds.ed.gov/cedselementdetails.aspx?termid=6471")</f>
        <v>https://ceds.ed.gov/cedselementdetails.aspx?termid=6471</v>
      </c>
      <c r="P2236" s="6" t="str">
        <f>HYPERLINK("https://ceds.ed.gov/elementComment.aspx?elementName=Work-based Learning Opportunity Type &amp;elementID=6471", "Click here to submit comment")</f>
        <v>Click here to submit comment</v>
      </c>
    </row>
    <row r="2237" spans="1:16" ht="30">
      <c r="A2237" s="6" t="s">
        <v>6884</v>
      </c>
      <c r="B2237" s="6" t="s">
        <v>6885</v>
      </c>
      <c r="C2237" s="6" t="s">
        <v>6887</v>
      </c>
      <c r="D2237" s="6" t="s">
        <v>1582</v>
      </c>
      <c r="E2237" s="6" t="s">
        <v>1583</v>
      </c>
      <c r="F2237" s="6" t="s">
        <v>13</v>
      </c>
      <c r="G2237" s="6"/>
      <c r="H2237" s="6" t="s">
        <v>54</v>
      </c>
      <c r="I2237" s="6" t="s">
        <v>73</v>
      </c>
      <c r="J2237" s="6"/>
      <c r="K2237" s="6"/>
      <c r="L2237" s="6" t="s">
        <v>1584</v>
      </c>
      <c r="M2237" s="6"/>
      <c r="N2237" s="6" t="s">
        <v>1585</v>
      </c>
      <c r="O2237" s="6" t="str">
        <f>HYPERLINK("https://ceds.ed.gov/cedselementdetails.aspx?termid=6255")</f>
        <v>https://ceds.ed.gov/cedselementdetails.aspx?termid=6255</v>
      </c>
      <c r="P2237" s="6" t="str">
        <f>HYPERLINK("https://ceds.ed.gov/elementComment.aspx?elementName=Career Education Plan Date &amp;elementID=6255", "Click here to submit comment")</f>
        <v>Click here to submit comment</v>
      </c>
    </row>
    <row r="2238" spans="1:16" ht="105">
      <c r="A2238" s="6" t="s">
        <v>6884</v>
      </c>
      <c r="B2238" s="6" t="s">
        <v>6885</v>
      </c>
      <c r="C2238" s="6" t="s">
        <v>6887</v>
      </c>
      <c r="D2238" s="6" t="s">
        <v>1586</v>
      </c>
      <c r="E2238" s="6" t="s">
        <v>1587</v>
      </c>
      <c r="F2238" s="7" t="s">
        <v>6416</v>
      </c>
      <c r="G2238" s="6"/>
      <c r="H2238" s="6" t="s">
        <v>54</v>
      </c>
      <c r="I2238" s="6"/>
      <c r="J2238" s="6"/>
      <c r="K2238" s="6"/>
      <c r="L2238" s="6" t="s">
        <v>1588</v>
      </c>
      <c r="M2238" s="6"/>
      <c r="N2238" s="6" t="s">
        <v>1589</v>
      </c>
      <c r="O2238" s="6" t="str">
        <f>HYPERLINK("https://ceds.ed.gov/cedselementdetails.aspx?termid=6256")</f>
        <v>https://ceds.ed.gov/cedselementdetails.aspx?termid=6256</v>
      </c>
      <c r="P2238" s="6" t="str">
        <f>HYPERLINK("https://ceds.ed.gov/elementComment.aspx?elementName=Career Education Plan Type &amp;elementID=6256", "Click here to submit comment")</f>
        <v>Click here to submit comment</v>
      </c>
    </row>
    <row r="2239" spans="1:16" ht="409.5">
      <c r="A2239" s="6" t="s">
        <v>6884</v>
      </c>
      <c r="B2239" s="6" t="s">
        <v>6817</v>
      </c>
      <c r="C2239" s="6"/>
      <c r="D2239" s="6" t="s">
        <v>4856</v>
      </c>
      <c r="E2239" s="6" t="s">
        <v>4857</v>
      </c>
      <c r="F2239" s="7" t="s">
        <v>6626</v>
      </c>
      <c r="G2239" s="6" t="s">
        <v>5968</v>
      </c>
      <c r="H2239" s="6" t="s">
        <v>66</v>
      </c>
      <c r="I2239" s="6"/>
      <c r="J2239" s="6" t="s">
        <v>4858</v>
      </c>
      <c r="K2239" s="6"/>
      <c r="L2239" s="6" t="s">
        <v>4859</v>
      </c>
      <c r="M2239" s="6"/>
      <c r="N2239" s="6" t="s">
        <v>4860</v>
      </c>
      <c r="O2239" s="6" t="str">
        <f>HYPERLINK("https://ceds.ed.gov/cedselementdetails.aspx?termid=5225")</f>
        <v>https://ceds.ed.gov/cedselementdetails.aspx?termid=5225</v>
      </c>
      <c r="P2239" s="6" t="str">
        <f>HYPERLINK("https://ceds.ed.gov/elementComment.aspx?elementName=Program Type &amp;elementID=5225", "Click here to submit comment")</f>
        <v>Click here to submit comment</v>
      </c>
    </row>
    <row r="2240" spans="1:16" ht="60">
      <c r="A2240" s="6" t="s">
        <v>6884</v>
      </c>
      <c r="B2240" s="6" t="s">
        <v>6817</v>
      </c>
      <c r="C2240" s="6"/>
      <c r="D2240" s="6" t="s">
        <v>4813</v>
      </c>
      <c r="E2240" s="6" t="s">
        <v>4814</v>
      </c>
      <c r="F2240" s="6" t="s">
        <v>13</v>
      </c>
      <c r="G2240" s="6"/>
      <c r="H2240" s="6" t="s">
        <v>3</v>
      </c>
      <c r="I2240" s="6" t="s">
        <v>106</v>
      </c>
      <c r="J2240" s="6"/>
      <c r="K2240" s="6"/>
      <c r="L2240" s="6" t="s">
        <v>4815</v>
      </c>
      <c r="M2240" s="6"/>
      <c r="N2240" s="6" t="s">
        <v>4816</v>
      </c>
      <c r="O2240" s="6" t="str">
        <f>HYPERLINK("https://ceds.ed.gov/cedselementdetails.aspx?termid=5619")</f>
        <v>https://ceds.ed.gov/cedselementdetails.aspx?termid=5619</v>
      </c>
      <c r="P2240" s="6" t="str">
        <f>HYPERLINK("https://ceds.ed.gov/elementComment.aspx?elementName=Program Name &amp;elementID=5619", "Click here to submit comment")</f>
        <v>Click here to submit comment</v>
      </c>
    </row>
    <row r="2241" spans="1:16" ht="409.5">
      <c r="A2241" s="6" t="s">
        <v>6884</v>
      </c>
      <c r="B2241" s="6" t="s">
        <v>6817</v>
      </c>
      <c r="C2241" s="6"/>
      <c r="D2241" s="6" t="s">
        <v>1577</v>
      </c>
      <c r="E2241" s="6" t="s">
        <v>1578</v>
      </c>
      <c r="F2241" s="7" t="s">
        <v>6415</v>
      </c>
      <c r="G2241" s="6"/>
      <c r="H2241" s="6" t="s">
        <v>54</v>
      </c>
      <c r="I2241" s="6"/>
      <c r="J2241" s="6"/>
      <c r="K2241" s="6" t="s">
        <v>1579</v>
      </c>
      <c r="L2241" s="6" t="s">
        <v>1580</v>
      </c>
      <c r="M2241" s="6"/>
      <c r="N2241" s="6" t="s">
        <v>1581</v>
      </c>
      <c r="O2241" s="6" t="str">
        <f>HYPERLINK("https://ceds.ed.gov/cedselementdetails.aspx?termid=6254")</f>
        <v>https://ceds.ed.gov/cedselementdetails.aspx?termid=6254</v>
      </c>
      <c r="P2241" s="6" t="str">
        <f>HYPERLINK("https://ceds.ed.gov/elementComment.aspx?elementName=Career Cluster &amp;elementID=6254", "Click here to submit comment")</f>
        <v>Click here to submit comment</v>
      </c>
    </row>
    <row r="2242" spans="1:16" ht="390">
      <c r="A2242" s="6" t="s">
        <v>6884</v>
      </c>
      <c r="B2242" s="6" t="s">
        <v>6817</v>
      </c>
      <c r="C2242" s="6"/>
      <c r="D2242" s="6" t="s">
        <v>4847</v>
      </c>
      <c r="E2242" s="6" t="s">
        <v>4848</v>
      </c>
      <c r="F2242" s="7" t="s">
        <v>6625</v>
      </c>
      <c r="G2242" s="6"/>
      <c r="H2242" s="6" t="s">
        <v>66</v>
      </c>
      <c r="I2242" s="6"/>
      <c r="J2242" s="6" t="s">
        <v>4849</v>
      </c>
      <c r="K2242" s="6"/>
      <c r="L2242" s="6" t="s">
        <v>4850</v>
      </c>
      <c r="M2242" s="6"/>
      <c r="N2242" s="6" t="s">
        <v>4851</v>
      </c>
      <c r="O2242" s="6" t="str">
        <f>HYPERLINK("https://ceds.ed.gov/cedselementdetails.aspx?termid=5692")</f>
        <v>https://ceds.ed.gov/cedselementdetails.aspx?termid=5692</v>
      </c>
      <c r="P2242" s="6" t="str">
        <f>HYPERLINK("https://ceds.ed.gov/elementComment.aspx?elementName=Program Sponsor Type &amp;elementID=5692", "Click here to submit comment")</f>
        <v>Click here to submit comment</v>
      </c>
    </row>
    <row r="2243" spans="1:16" ht="225">
      <c r="A2243" s="6" t="s">
        <v>6884</v>
      </c>
      <c r="B2243" s="6" t="s">
        <v>6825</v>
      </c>
      <c r="C2243" s="6"/>
      <c r="D2243" s="6" t="s">
        <v>2034</v>
      </c>
      <c r="E2243" s="6" t="s">
        <v>2035</v>
      </c>
      <c r="F2243" s="6" t="s">
        <v>13</v>
      </c>
      <c r="G2243" s="6" t="s">
        <v>6078</v>
      </c>
      <c r="H2243" s="6"/>
      <c r="I2243" s="6" t="s">
        <v>106</v>
      </c>
      <c r="J2243" s="6"/>
      <c r="K2243" s="6"/>
      <c r="L2243" s="6" t="s">
        <v>2036</v>
      </c>
      <c r="M2243" s="6"/>
      <c r="N2243" s="6" t="s">
        <v>2037</v>
      </c>
      <c r="O2243" s="6" t="str">
        <f>HYPERLINK("https://ceds.ed.gov/cedselementdetails.aspx?termid=5067")</f>
        <v>https://ceds.ed.gov/cedselementdetails.aspx?termid=5067</v>
      </c>
      <c r="P2243" s="6" t="str">
        <f>HYPERLINK("https://ceds.ed.gov/elementComment.aspx?elementName=Course Title &amp;elementID=5067", "Click here to submit comment")</f>
        <v>Click here to submit comment</v>
      </c>
    </row>
    <row r="2244" spans="1:16" ht="135">
      <c r="A2244" s="6" t="s">
        <v>6884</v>
      </c>
      <c r="B2244" s="6" t="s">
        <v>6825</v>
      </c>
      <c r="C2244" s="6"/>
      <c r="D2244" s="6" t="s">
        <v>1915</v>
      </c>
      <c r="E2244" s="6" t="s">
        <v>1916</v>
      </c>
      <c r="F2244" s="6" t="s">
        <v>13</v>
      </c>
      <c r="G2244" s="6" t="s">
        <v>6116</v>
      </c>
      <c r="H2244" s="6" t="s">
        <v>66</v>
      </c>
      <c r="I2244" s="6" t="s">
        <v>1917</v>
      </c>
      <c r="J2244" s="6" t="s">
        <v>1918</v>
      </c>
      <c r="K2244" s="6"/>
      <c r="L2244" s="6" t="s">
        <v>1919</v>
      </c>
      <c r="M2244" s="6"/>
      <c r="N2244" s="6" t="s">
        <v>1920</v>
      </c>
      <c r="O2244" s="6" t="str">
        <f>HYPERLINK("https://ceds.ed.gov/cedselementdetails.aspx?termid=5055")</f>
        <v>https://ceds.ed.gov/cedselementdetails.aspx?termid=5055</v>
      </c>
      <c r="P2244" s="6" t="str">
        <f>HYPERLINK("https://ceds.ed.gov/elementComment.aspx?elementName=Course Identifier &amp;elementID=5055", "Click here to submit comment")</f>
        <v>Click here to submit comment</v>
      </c>
    </row>
    <row r="2245" spans="1:16" ht="285">
      <c r="A2245" s="6" t="s">
        <v>6884</v>
      </c>
      <c r="B2245" s="6" t="s">
        <v>6825</v>
      </c>
      <c r="C2245" s="6"/>
      <c r="D2245" s="6" t="s">
        <v>1868</v>
      </c>
      <c r="E2245" s="6" t="s">
        <v>1869</v>
      </c>
      <c r="F2245" s="7" t="s">
        <v>6435</v>
      </c>
      <c r="G2245" s="6" t="s">
        <v>6078</v>
      </c>
      <c r="H2245" s="6"/>
      <c r="I2245" s="6"/>
      <c r="J2245" s="6"/>
      <c r="K2245" s="6"/>
      <c r="L2245" s="6" t="s">
        <v>1870</v>
      </c>
      <c r="M2245" s="6"/>
      <c r="N2245" s="6" t="s">
        <v>1871</v>
      </c>
      <c r="O2245" s="6" t="str">
        <f>HYPERLINK("https://ceds.ed.gov/cedselementdetails.aspx?termid=5056")</f>
        <v>https://ceds.ed.gov/cedselementdetails.aspx?termid=5056</v>
      </c>
      <c r="P2245" s="6" t="str">
        <f>HYPERLINK("https://ceds.ed.gov/elementComment.aspx?elementName=Course Code System &amp;elementID=5056", "Click here to submit comment")</f>
        <v>Click here to submit comment</v>
      </c>
    </row>
    <row r="2246" spans="1:16" ht="45">
      <c r="A2246" s="6" t="s">
        <v>6884</v>
      </c>
      <c r="B2246" s="6" t="s">
        <v>6825</v>
      </c>
      <c r="C2246" s="6"/>
      <c r="D2246" s="6" t="s">
        <v>1889</v>
      </c>
      <c r="E2246" s="6" t="s">
        <v>1890</v>
      </c>
      <c r="F2246" s="6" t="s">
        <v>13</v>
      </c>
      <c r="G2246" s="6"/>
      <c r="H2246" s="6" t="s">
        <v>66</v>
      </c>
      <c r="I2246" s="6" t="s">
        <v>106</v>
      </c>
      <c r="J2246" s="6" t="s">
        <v>1820</v>
      </c>
      <c r="K2246" s="6"/>
      <c r="L2246" s="6" t="s">
        <v>1891</v>
      </c>
      <c r="M2246" s="6"/>
      <c r="N2246" s="6" t="s">
        <v>1892</v>
      </c>
      <c r="O2246" s="6" t="str">
        <f>HYPERLINK("https://ceds.ed.gov/cedselementdetails.aspx?termid=5508")</f>
        <v>https://ceds.ed.gov/cedselementdetails.aspx?termid=5508</v>
      </c>
      <c r="P2246" s="6" t="str">
        <f>HYPERLINK("https://ceds.ed.gov/elementComment.aspx?elementName=Course Description &amp;elementID=5508", "Click here to submit comment")</f>
        <v>Click here to submit comment</v>
      </c>
    </row>
    <row r="2247" spans="1:16" ht="120">
      <c r="A2247" s="6" t="s">
        <v>6884</v>
      </c>
      <c r="B2247" s="6" t="s">
        <v>6825</v>
      </c>
      <c r="C2247" s="6"/>
      <c r="D2247" s="6" t="s">
        <v>5214</v>
      </c>
      <c r="E2247" s="6" t="s">
        <v>5215</v>
      </c>
      <c r="F2247" s="6" t="s">
        <v>13</v>
      </c>
      <c r="G2247" s="6" t="s">
        <v>6078</v>
      </c>
      <c r="H2247" s="6" t="s">
        <v>66</v>
      </c>
      <c r="I2247" s="6" t="s">
        <v>2031</v>
      </c>
      <c r="J2247" s="6" t="s">
        <v>5216</v>
      </c>
      <c r="K2247" s="6" t="s">
        <v>5217</v>
      </c>
      <c r="L2247" s="6" t="s">
        <v>5218</v>
      </c>
      <c r="M2247" s="6" t="s">
        <v>5219</v>
      </c>
      <c r="N2247" s="6" t="s">
        <v>5220</v>
      </c>
      <c r="O2247" s="6" t="str">
        <f>HYPERLINK("https://ceds.ed.gov/cedselementdetails.aspx?termid=5250")</f>
        <v>https://ceds.ed.gov/cedselementdetails.aspx?termid=5250</v>
      </c>
      <c r="P2247" s="6" t="str">
        <f>HYPERLINK("https://ceds.ed.gov/elementComment.aspx?elementName=School Codes for the Exchange of Data Sequence of Course &amp;elementID=5250", "Click here to submit comment")</f>
        <v>Click here to submit comment</v>
      </c>
    </row>
    <row r="2248" spans="1:16" ht="195">
      <c r="A2248" s="6" t="s">
        <v>6884</v>
      </c>
      <c r="B2248" s="6" t="s">
        <v>6825</v>
      </c>
      <c r="C2248" s="6"/>
      <c r="D2248" s="6" t="s">
        <v>1880</v>
      </c>
      <c r="E2248" s="6" t="s">
        <v>1881</v>
      </c>
      <c r="F2248" s="7" t="s">
        <v>6438</v>
      </c>
      <c r="G2248" s="6" t="s">
        <v>24</v>
      </c>
      <c r="H2248" s="6"/>
      <c r="I2248" s="6"/>
      <c r="J2248" s="6"/>
      <c r="K2248" s="6"/>
      <c r="L2248" s="6" t="s">
        <v>1882</v>
      </c>
      <c r="M2248" s="6"/>
      <c r="N2248" s="6" t="s">
        <v>1883</v>
      </c>
      <c r="O2248" s="6" t="str">
        <f>HYPERLINK("https://ceds.ed.gov/cedselementdetails.aspx?termid=5057")</f>
        <v>https://ceds.ed.gov/cedselementdetails.aspx?termid=5057</v>
      </c>
      <c r="P2248" s="6" t="str">
        <f>HYPERLINK("https://ceds.ed.gov/elementComment.aspx?elementName=Course Credit Units &amp;elementID=5057", "Click here to submit comment")</f>
        <v>Click here to submit comment</v>
      </c>
    </row>
    <row r="2249" spans="1:16" ht="409.5">
      <c r="A2249" s="6" t="s">
        <v>6884</v>
      </c>
      <c r="B2249" s="6" t="s">
        <v>6825</v>
      </c>
      <c r="C2249" s="6"/>
      <c r="D2249" s="6" t="s">
        <v>2058</v>
      </c>
      <c r="E2249" s="6" t="s">
        <v>2059</v>
      </c>
      <c r="F2249" s="7" t="s">
        <v>6451</v>
      </c>
      <c r="G2249" s="6" t="s">
        <v>5968</v>
      </c>
      <c r="H2249" s="6"/>
      <c r="I2249" s="6"/>
      <c r="J2249" s="6"/>
      <c r="K2249" s="6"/>
      <c r="L2249" s="6" t="s">
        <v>2060</v>
      </c>
      <c r="M2249" s="6"/>
      <c r="N2249" s="6" t="s">
        <v>2061</v>
      </c>
      <c r="O2249" s="6" t="str">
        <f>HYPERLINK("https://ceds.ed.gov/cedselementdetails.aspx?termid=5072")</f>
        <v>https://ceds.ed.gov/cedselementdetails.aspx?termid=5072</v>
      </c>
      <c r="P2249" s="6" t="str">
        <f>HYPERLINK("https://ceds.ed.gov/elementComment.aspx?elementName=Credit Type Earned &amp;elementID=5072", "Click here to submit comment")</f>
        <v>Click here to submit comment</v>
      </c>
    </row>
    <row r="2250" spans="1:16" ht="105">
      <c r="A2250" s="6" t="s">
        <v>6884</v>
      </c>
      <c r="B2250" s="6" t="s">
        <v>6825</v>
      </c>
      <c r="C2250" s="6"/>
      <c r="D2250" s="6" t="s">
        <v>1884</v>
      </c>
      <c r="E2250" s="6" t="s">
        <v>1885</v>
      </c>
      <c r="F2250" s="6" t="s">
        <v>13</v>
      </c>
      <c r="G2250" s="6" t="s">
        <v>24</v>
      </c>
      <c r="H2250" s="6"/>
      <c r="I2250" s="6" t="s">
        <v>1461</v>
      </c>
      <c r="J2250" s="6"/>
      <c r="K2250" s="6" t="s">
        <v>1886</v>
      </c>
      <c r="L2250" s="6" t="s">
        <v>1887</v>
      </c>
      <c r="M2250" s="6"/>
      <c r="N2250" s="6" t="s">
        <v>1888</v>
      </c>
      <c r="O2250" s="6" t="str">
        <f>HYPERLINK("https://ceds.ed.gov/cedselementdetails.aspx?termid=5058")</f>
        <v>https://ceds.ed.gov/cedselementdetails.aspx?termid=5058</v>
      </c>
      <c r="P2250" s="6" t="str">
        <f>HYPERLINK("https://ceds.ed.gov/elementComment.aspx?elementName=Course Credit Value &amp;elementID=5058", "Click here to submit comment")</f>
        <v>Click here to submit comment</v>
      </c>
    </row>
    <row r="2251" spans="1:16" ht="330">
      <c r="A2251" s="6" t="s">
        <v>6884</v>
      </c>
      <c r="B2251" s="6" t="s">
        <v>6825</v>
      </c>
      <c r="C2251" s="6"/>
      <c r="D2251" s="6" t="s">
        <v>165</v>
      </c>
      <c r="E2251" s="6" t="s">
        <v>166</v>
      </c>
      <c r="F2251" s="7" t="s">
        <v>6352</v>
      </c>
      <c r="G2251" s="6"/>
      <c r="H2251" s="6" t="s">
        <v>66</v>
      </c>
      <c r="I2251" s="6"/>
      <c r="J2251" s="6" t="s">
        <v>167</v>
      </c>
      <c r="K2251" s="6"/>
      <c r="L2251" s="6" t="s">
        <v>168</v>
      </c>
      <c r="M2251" s="6"/>
      <c r="N2251" s="6" t="s">
        <v>169</v>
      </c>
      <c r="O2251" s="6" t="str">
        <f>HYPERLINK("https://ceds.ed.gov/cedselementdetails.aspx?termid=5589")</f>
        <v>https://ceds.ed.gov/cedselementdetails.aspx?termid=5589</v>
      </c>
      <c r="P2251" s="6" t="str">
        <f>HYPERLINK("https://ceds.ed.gov/elementComment.aspx?elementName=Additional Credit Type &amp;elementID=5589", "Click here to submit comment")</f>
        <v>Click here to submit comment</v>
      </c>
    </row>
    <row r="2252" spans="1:16" ht="150">
      <c r="A2252" s="6" t="s">
        <v>6884</v>
      </c>
      <c r="B2252" s="6" t="s">
        <v>6825</v>
      </c>
      <c r="C2252" s="6"/>
      <c r="D2252" s="6" t="s">
        <v>1459</v>
      </c>
      <c r="E2252" s="6" t="s">
        <v>1460</v>
      </c>
      <c r="F2252" s="6" t="s">
        <v>13</v>
      </c>
      <c r="G2252" s="6" t="s">
        <v>6078</v>
      </c>
      <c r="H2252" s="6"/>
      <c r="I2252" s="6" t="s">
        <v>1461</v>
      </c>
      <c r="J2252" s="6"/>
      <c r="K2252" s="6"/>
      <c r="L2252" s="6" t="s">
        <v>1462</v>
      </c>
      <c r="M2252" s="6"/>
      <c r="N2252" s="6" t="s">
        <v>1463</v>
      </c>
      <c r="O2252" s="6" t="str">
        <f>HYPERLINK("https://ceds.ed.gov/cedselementdetails.aspx?termid=5030")</f>
        <v>https://ceds.ed.gov/cedselementdetails.aspx?termid=5030</v>
      </c>
      <c r="P2252" s="6" t="str">
        <f>HYPERLINK("https://ceds.ed.gov/elementComment.aspx?elementName=Available Carnegie Unit Credit &amp;elementID=5030", "Click here to submit comment")</f>
        <v>Click here to submit comment</v>
      </c>
    </row>
    <row r="2253" spans="1:16" ht="120">
      <c r="A2253" s="6" t="s">
        <v>6884</v>
      </c>
      <c r="B2253" s="6" t="s">
        <v>6825</v>
      </c>
      <c r="C2253" s="6"/>
      <c r="D2253" s="6" t="s">
        <v>1906</v>
      </c>
      <c r="E2253" s="6" t="s">
        <v>1907</v>
      </c>
      <c r="F2253" s="7" t="s">
        <v>6439</v>
      </c>
      <c r="G2253" s="6" t="s">
        <v>6078</v>
      </c>
      <c r="H2253" s="6" t="s">
        <v>66</v>
      </c>
      <c r="I2253" s="6"/>
      <c r="J2253" s="6" t="s">
        <v>1820</v>
      </c>
      <c r="K2253" s="6"/>
      <c r="L2253" s="6" t="s">
        <v>1908</v>
      </c>
      <c r="M2253" s="6" t="s">
        <v>1909</v>
      </c>
      <c r="N2253" s="6" t="s">
        <v>1910</v>
      </c>
      <c r="O2253" s="6" t="str">
        <f>HYPERLINK("https://ceds.ed.gov/cedselementdetails.aspx?termid=5060")</f>
        <v>https://ceds.ed.gov/cedselementdetails.aspx?termid=5060</v>
      </c>
      <c r="P2253" s="6" t="str">
        <f>HYPERLINK("https://ceds.ed.gov/elementComment.aspx?elementName=Course Grade Point Average Applicability &amp;elementID=5060", "Click here to submit comment")</f>
        <v>Click here to submit comment</v>
      </c>
    </row>
    <row r="2254" spans="1:16" ht="409.5">
      <c r="A2254" s="6" t="s">
        <v>6884</v>
      </c>
      <c r="B2254" s="6" t="s">
        <v>6825</v>
      </c>
      <c r="C2254" s="6"/>
      <c r="D2254" s="6" t="s">
        <v>1938</v>
      </c>
      <c r="E2254" s="6" t="s">
        <v>1939</v>
      </c>
      <c r="F2254" s="7" t="s">
        <v>6443</v>
      </c>
      <c r="G2254" s="6" t="s">
        <v>6116</v>
      </c>
      <c r="H2254" s="6"/>
      <c r="I2254" s="6"/>
      <c r="J2254" s="6"/>
      <c r="K2254" s="6"/>
      <c r="L2254" s="6" t="s">
        <v>1940</v>
      </c>
      <c r="M2254" s="6"/>
      <c r="N2254" s="6" t="s">
        <v>1941</v>
      </c>
      <c r="O2254" s="6" t="str">
        <f>HYPERLINK("https://ceds.ed.gov/cedselementdetails.aspx?termid=5061")</f>
        <v>https://ceds.ed.gov/cedselementdetails.aspx?termid=5061</v>
      </c>
      <c r="P2254" s="6" t="str">
        <f>HYPERLINK("https://ceds.ed.gov/elementComment.aspx?elementName=Course Level Characteristic &amp;elementID=5061", "Click here to submit comment")</f>
        <v>Click here to submit comment</v>
      </c>
    </row>
    <row r="2255" spans="1:16" ht="120">
      <c r="A2255" s="6" t="s">
        <v>6884</v>
      </c>
      <c r="B2255" s="6" t="s">
        <v>6825</v>
      </c>
      <c r="C2255" s="6"/>
      <c r="D2255" s="6" t="s">
        <v>2941</v>
      </c>
      <c r="E2255" s="6" t="s">
        <v>2942</v>
      </c>
      <c r="F2255" s="6" t="s">
        <v>5963</v>
      </c>
      <c r="G2255" s="6" t="s">
        <v>6078</v>
      </c>
      <c r="H2255" s="6"/>
      <c r="I2255" s="6"/>
      <c r="J2255" s="6"/>
      <c r="K2255" s="6"/>
      <c r="L2255" s="6" t="s">
        <v>2943</v>
      </c>
      <c r="M2255" s="6"/>
      <c r="N2255" s="6" t="s">
        <v>2944</v>
      </c>
      <c r="O2255" s="6" t="str">
        <f>HYPERLINK("https://ceds.ed.gov/cedselementdetails.aspx?termid=5137")</f>
        <v>https://ceds.ed.gov/cedselementdetails.aspx?termid=5137</v>
      </c>
      <c r="P2255" s="6" t="str">
        <f>HYPERLINK("https://ceds.ed.gov/elementComment.aspx?elementName=High School Course Requirement &amp;elementID=5137", "Click here to submit comment")</f>
        <v>Click here to submit comment</v>
      </c>
    </row>
    <row r="2256" spans="1:16" ht="45">
      <c r="A2256" s="6" t="s">
        <v>6884</v>
      </c>
      <c r="B2256" s="6" t="s">
        <v>6825</v>
      </c>
      <c r="C2256" s="6"/>
      <c r="D2256" s="6" t="s">
        <v>3302</v>
      </c>
      <c r="E2256" s="6" t="s">
        <v>3303</v>
      </c>
      <c r="F2256" s="5" t="s">
        <v>939</v>
      </c>
      <c r="G2256" s="6" t="s">
        <v>207</v>
      </c>
      <c r="H2256" s="6"/>
      <c r="I2256" s="6"/>
      <c r="J2256" s="6"/>
      <c r="K2256" s="6"/>
      <c r="L2256" s="6" t="s">
        <v>3304</v>
      </c>
      <c r="M2256" s="6"/>
      <c r="N2256" s="6" t="s">
        <v>3305</v>
      </c>
      <c r="O2256" s="6" t="str">
        <f>HYPERLINK("https://ceds.ed.gov/cedselementdetails.aspx?termid=5438")</f>
        <v>https://ceds.ed.gov/cedselementdetails.aspx?termid=5438</v>
      </c>
      <c r="P2256" s="6" t="str">
        <f>HYPERLINK("https://ceds.ed.gov/elementComment.aspx?elementName=Instruction Language &amp;elementID=5438", "Click here to submit comment")</f>
        <v>Click here to submit comment</v>
      </c>
    </row>
    <row r="2257" spans="1:16" ht="45">
      <c r="A2257" s="6" t="s">
        <v>6884</v>
      </c>
      <c r="B2257" s="6" t="s">
        <v>6825</v>
      </c>
      <c r="C2257" s="6"/>
      <c r="D2257" s="6" t="s">
        <v>1792</v>
      </c>
      <c r="E2257" s="6" t="s">
        <v>1793</v>
      </c>
      <c r="F2257" s="6" t="s">
        <v>5963</v>
      </c>
      <c r="G2257" s="6"/>
      <c r="H2257" s="6"/>
      <c r="I2257" s="6"/>
      <c r="J2257" s="6"/>
      <c r="K2257" s="6"/>
      <c r="L2257" s="6" t="s">
        <v>1794</v>
      </c>
      <c r="M2257" s="6"/>
      <c r="N2257" s="6" t="s">
        <v>1795</v>
      </c>
      <c r="O2257" s="6" t="str">
        <f>HYPERLINK("https://ceds.ed.gov/cedselementdetails.aspx?termid=5509")</f>
        <v>https://ceds.ed.gov/cedselementdetails.aspx?termid=5509</v>
      </c>
      <c r="P2257" s="6" t="str">
        <f>HYPERLINK("https://ceds.ed.gov/elementComment.aspx?elementName=Core Academic Course &amp;elementID=5509", "Click here to submit comment")</f>
        <v>Click here to submit comment</v>
      </c>
    </row>
    <row r="2258" spans="1:16" ht="225">
      <c r="A2258" s="6" t="s">
        <v>6884</v>
      </c>
      <c r="B2258" s="6" t="s">
        <v>6825</v>
      </c>
      <c r="C2258" s="6"/>
      <c r="D2258" s="6" t="s">
        <v>2092</v>
      </c>
      <c r="E2258" s="6" t="s">
        <v>2093</v>
      </c>
      <c r="F2258" s="7" t="s">
        <v>6452</v>
      </c>
      <c r="G2258" s="6"/>
      <c r="H2258" s="6"/>
      <c r="I2258" s="6"/>
      <c r="J2258" s="6"/>
      <c r="K2258" s="6"/>
      <c r="L2258" s="6" t="s">
        <v>2094</v>
      </c>
      <c r="M2258" s="6"/>
      <c r="N2258" s="6" t="s">
        <v>2095</v>
      </c>
      <c r="O2258" s="6" t="str">
        <f>HYPERLINK("https://ceds.ed.gov/cedselementdetails.aspx?termid=5688")</f>
        <v>https://ceds.ed.gov/cedselementdetails.aspx?termid=5688</v>
      </c>
      <c r="P2258" s="6" t="str">
        <f>HYPERLINK("https://ceds.ed.gov/elementComment.aspx?elementName=Curriculum Framework Type &amp;elementID=5688", "Click here to submit comment")</f>
        <v>Click here to submit comment</v>
      </c>
    </row>
    <row r="2259" spans="1:16" ht="45">
      <c r="A2259" s="6" t="s">
        <v>6884</v>
      </c>
      <c r="B2259" s="6" t="s">
        <v>6825</v>
      </c>
      <c r="C2259" s="6"/>
      <c r="D2259" s="6" t="s">
        <v>1845</v>
      </c>
      <c r="E2259" s="6" t="s">
        <v>1846</v>
      </c>
      <c r="F2259" s="6" t="s">
        <v>5963</v>
      </c>
      <c r="G2259" s="6"/>
      <c r="H2259" s="6" t="s">
        <v>66</v>
      </c>
      <c r="I2259" s="6"/>
      <c r="J2259" s="6" t="s">
        <v>1847</v>
      </c>
      <c r="K2259" s="6"/>
      <c r="L2259" s="6" t="s">
        <v>1848</v>
      </c>
      <c r="M2259" s="6"/>
      <c r="N2259" s="6" t="s">
        <v>1849</v>
      </c>
      <c r="O2259" s="6" t="str">
        <f>HYPERLINK("https://ceds.ed.gov/cedselementdetails.aspx?termid=5013")</f>
        <v>https://ceds.ed.gov/cedselementdetails.aspx?termid=5013</v>
      </c>
      <c r="P2259" s="6" t="str">
        <f>HYPERLINK("https://ceds.ed.gov/elementComment.aspx?elementName=Course Aligned with Standards &amp;elementID=5013", "Click here to submit comment")</f>
        <v>Click here to submit comment</v>
      </c>
    </row>
    <row r="2260" spans="1:16" ht="120">
      <c r="A2260" s="6" t="s">
        <v>6884</v>
      </c>
      <c r="B2260" s="6" t="s">
        <v>6825</v>
      </c>
      <c r="C2260" s="6"/>
      <c r="D2260" s="6" t="s">
        <v>5186</v>
      </c>
      <c r="E2260" s="6" t="s">
        <v>5187</v>
      </c>
      <c r="F2260" s="5" t="s">
        <v>5188</v>
      </c>
      <c r="G2260" s="6"/>
      <c r="H2260" s="6" t="s">
        <v>54</v>
      </c>
      <c r="I2260" s="6" t="s">
        <v>5189</v>
      </c>
      <c r="J2260" s="6"/>
      <c r="K2260" s="6" t="s">
        <v>5190</v>
      </c>
      <c r="L2260" s="6" t="s">
        <v>5191</v>
      </c>
      <c r="M2260" s="6" t="s">
        <v>5192</v>
      </c>
      <c r="N2260" s="6" t="s">
        <v>5193</v>
      </c>
      <c r="O2260" s="6" t="str">
        <f>HYPERLINK("https://ceds.ed.gov/cedselementdetails.aspx?termid=6490")</f>
        <v>https://ceds.ed.gov/cedselementdetails.aspx?termid=6490</v>
      </c>
      <c r="P2260" s="6" t="str">
        <f>HYPERLINK("https://ceds.ed.gov/elementComment.aspx?elementName=School Codes for the Exchange of Data Course Code &amp;elementID=6490", "Click here to submit comment")</f>
        <v>Click here to submit comment</v>
      </c>
    </row>
    <row r="2261" spans="1:16" ht="120">
      <c r="A2261" s="6" t="s">
        <v>6884</v>
      </c>
      <c r="B2261" s="6" t="s">
        <v>6825</v>
      </c>
      <c r="C2261" s="6"/>
      <c r="D2261" s="6" t="s">
        <v>5194</v>
      </c>
      <c r="E2261" s="6" t="s">
        <v>5195</v>
      </c>
      <c r="F2261" s="7" t="s">
        <v>6643</v>
      </c>
      <c r="G2261" s="6"/>
      <c r="H2261" s="6" t="s">
        <v>54</v>
      </c>
      <c r="I2261" s="6" t="s">
        <v>5196</v>
      </c>
      <c r="J2261" s="6"/>
      <c r="K2261" s="6"/>
      <c r="L2261" s="6" t="s">
        <v>5197</v>
      </c>
      <c r="M2261" s="6" t="s">
        <v>5198</v>
      </c>
      <c r="N2261" s="6" t="s">
        <v>5199</v>
      </c>
      <c r="O2261" s="6" t="str">
        <f>HYPERLINK("https://ceds.ed.gov/cedselementdetails.aspx?termid=6488")</f>
        <v>https://ceds.ed.gov/cedselementdetails.aspx?termid=6488</v>
      </c>
      <c r="P2261" s="6" t="str">
        <f>HYPERLINK("https://ceds.ed.gov/elementComment.aspx?elementName=School Codes for the Exchange of Data Course Level &amp;elementID=6488", "Click here to submit comment")</f>
        <v>Click here to submit comment</v>
      </c>
    </row>
    <row r="2262" spans="1:16" ht="409.5">
      <c r="A2262" s="6" t="s">
        <v>6884</v>
      </c>
      <c r="B2262" s="6" t="s">
        <v>6825</v>
      </c>
      <c r="C2262" s="6"/>
      <c r="D2262" s="6" t="s">
        <v>5200</v>
      </c>
      <c r="E2262" s="6" t="s">
        <v>5201</v>
      </c>
      <c r="F2262" s="7" t="s">
        <v>6644</v>
      </c>
      <c r="G2262" s="6"/>
      <c r="H2262" s="6" t="s">
        <v>54</v>
      </c>
      <c r="I2262" s="6" t="s">
        <v>5202</v>
      </c>
      <c r="J2262" s="6"/>
      <c r="K2262" s="6" t="s">
        <v>5203</v>
      </c>
      <c r="L2262" s="6" t="s">
        <v>5204</v>
      </c>
      <c r="M2262" s="6" t="s">
        <v>5205</v>
      </c>
      <c r="N2262" s="6" t="s">
        <v>5206</v>
      </c>
      <c r="O2262" s="6" t="str">
        <f>HYPERLINK("https://ceds.ed.gov/cedselementdetails.aspx?termid=6491")</f>
        <v>https://ceds.ed.gov/cedselementdetails.aspx?termid=6491</v>
      </c>
      <c r="P2262" s="6" t="str">
        <f>HYPERLINK("https://ceds.ed.gov/elementComment.aspx?elementName=School Codes for the Exchange of Data Course Subject Area &amp;elementID=6491", "Click here to submit comment")</f>
        <v>Click here to submit comment</v>
      </c>
    </row>
    <row r="2263" spans="1:16" ht="75">
      <c r="A2263" s="6" t="s">
        <v>6884</v>
      </c>
      <c r="B2263" s="6" t="s">
        <v>6824</v>
      </c>
      <c r="C2263" s="6"/>
      <c r="D2263" s="6" t="s">
        <v>2004</v>
      </c>
      <c r="E2263" s="6" t="s">
        <v>2005</v>
      </c>
      <c r="F2263" s="6" t="s">
        <v>13</v>
      </c>
      <c r="G2263" s="6"/>
      <c r="H2263" s="6" t="s">
        <v>66</v>
      </c>
      <c r="I2263" s="6" t="s">
        <v>100</v>
      </c>
      <c r="J2263" s="6" t="s">
        <v>2006</v>
      </c>
      <c r="K2263" s="6"/>
      <c r="L2263" s="6" t="s">
        <v>2007</v>
      </c>
      <c r="M2263" s="6"/>
      <c r="N2263" s="6" t="s">
        <v>2008</v>
      </c>
      <c r="O2263" s="6" t="str">
        <f>HYPERLINK("https://ceds.ed.gov/cedselementdetails.aspx?termid=5979")</f>
        <v>https://ceds.ed.gov/cedselementdetails.aspx?termid=5979</v>
      </c>
      <c r="P2263" s="6" t="str">
        <f>HYPERLINK("https://ceds.ed.gov/elementComment.aspx?elementName=Course Section Identifier &amp;elementID=5979", "Click here to submit comment")</f>
        <v>Click here to submit comment</v>
      </c>
    </row>
    <row r="2264" spans="1:16" ht="60">
      <c r="A2264" s="6" t="s">
        <v>6884</v>
      </c>
      <c r="B2264" s="6" t="s">
        <v>6824</v>
      </c>
      <c r="C2264" s="6"/>
      <c r="D2264" s="6" t="s">
        <v>1717</v>
      </c>
      <c r="E2264" s="6" t="s">
        <v>1718</v>
      </c>
      <c r="F2264" s="6" t="s">
        <v>13</v>
      </c>
      <c r="G2264" s="6"/>
      <c r="H2264" s="6"/>
      <c r="I2264" s="6" t="s">
        <v>100</v>
      </c>
      <c r="J2264" s="6"/>
      <c r="K2264" s="6"/>
      <c r="L2264" s="6" t="s">
        <v>1719</v>
      </c>
      <c r="M2264" s="6"/>
      <c r="N2264" s="6" t="s">
        <v>1720</v>
      </c>
      <c r="O2264" s="6" t="str">
        <f>HYPERLINK("https://ceds.ed.gov/cedselementdetails.aspx?termid=5507")</f>
        <v>https://ceds.ed.gov/cedselementdetails.aspx?termid=5507</v>
      </c>
      <c r="P2264" s="6" t="str">
        <f>HYPERLINK("https://ceds.ed.gov/elementComment.aspx?elementName=Classroom Identifier &amp;elementID=5507", "Click here to submit comment")</f>
        <v>Click here to submit comment</v>
      </c>
    </row>
    <row r="2265" spans="1:16" ht="120">
      <c r="A2265" s="6" t="s">
        <v>6884</v>
      </c>
      <c r="B2265" s="6" t="s">
        <v>6824</v>
      </c>
      <c r="C2265" s="6"/>
      <c r="D2265" s="6" t="s">
        <v>5313</v>
      </c>
      <c r="E2265" s="6" t="s">
        <v>5314</v>
      </c>
      <c r="F2265" s="6" t="s">
        <v>13</v>
      </c>
      <c r="G2265" s="6" t="s">
        <v>6078</v>
      </c>
      <c r="H2265" s="6"/>
      <c r="I2265" s="6" t="s">
        <v>73</v>
      </c>
      <c r="J2265" s="6"/>
      <c r="K2265" s="6"/>
      <c r="L2265" s="6" t="s">
        <v>5315</v>
      </c>
      <c r="M2265" s="6"/>
      <c r="N2265" s="6" t="s">
        <v>5316</v>
      </c>
      <c r="O2265" s="6" t="str">
        <f>HYPERLINK("https://ceds.ed.gov/cedselementdetails.aspx?termid=5251")</f>
        <v>https://ceds.ed.gov/cedselementdetails.aspx?termid=5251</v>
      </c>
      <c r="P2265" s="6" t="str">
        <f>HYPERLINK("https://ceds.ed.gov/elementComment.aspx?elementName=Session Begin Date &amp;elementID=5251", "Click here to submit comment")</f>
        <v>Click here to submit comment</v>
      </c>
    </row>
    <row r="2266" spans="1:16" ht="120">
      <c r="A2266" s="6" t="s">
        <v>6884</v>
      </c>
      <c r="B2266" s="6" t="s">
        <v>6824</v>
      </c>
      <c r="C2266" s="6"/>
      <c r="D2266" s="6" t="s">
        <v>5329</v>
      </c>
      <c r="E2266" s="6" t="s">
        <v>5330</v>
      </c>
      <c r="F2266" s="6" t="s">
        <v>13</v>
      </c>
      <c r="G2266" s="6" t="s">
        <v>6078</v>
      </c>
      <c r="H2266" s="6"/>
      <c r="I2266" s="6" t="s">
        <v>73</v>
      </c>
      <c r="J2266" s="6"/>
      <c r="K2266" s="6"/>
      <c r="L2266" s="6" t="s">
        <v>5331</v>
      </c>
      <c r="M2266" s="6"/>
      <c r="N2266" s="6" t="s">
        <v>5332</v>
      </c>
      <c r="O2266" s="6" t="str">
        <f>HYPERLINK("https://ceds.ed.gov/cedselementdetails.aspx?termid=5253")</f>
        <v>https://ceds.ed.gov/cedselementdetails.aspx?termid=5253</v>
      </c>
      <c r="P2266" s="6" t="str">
        <f>HYPERLINK("https://ceds.ed.gov/elementComment.aspx?elementName=Session End Date &amp;elementID=5253", "Click here to submit comment")</f>
        <v>Click here to submit comment</v>
      </c>
    </row>
    <row r="2267" spans="1:16" ht="30">
      <c r="A2267" s="6" t="s">
        <v>6884</v>
      </c>
      <c r="B2267" s="6" t="s">
        <v>6824</v>
      </c>
      <c r="C2267" s="6"/>
      <c r="D2267" s="6" t="s">
        <v>5325</v>
      </c>
      <c r="E2267" s="6" t="s">
        <v>5326</v>
      </c>
      <c r="F2267" s="6" t="s">
        <v>13</v>
      </c>
      <c r="G2267" s="6" t="s">
        <v>6093</v>
      </c>
      <c r="H2267" s="6"/>
      <c r="I2267" s="6" t="s">
        <v>2191</v>
      </c>
      <c r="J2267" s="6"/>
      <c r="K2267" s="6"/>
      <c r="L2267" s="6" t="s">
        <v>5327</v>
      </c>
      <c r="M2267" s="6"/>
      <c r="N2267" s="6" t="s">
        <v>5328</v>
      </c>
      <c r="O2267" s="6" t="str">
        <f>HYPERLINK("https://ceds.ed.gov/cedselementdetails.aspx?termid=5252")</f>
        <v>https://ceds.ed.gov/cedselementdetails.aspx?termid=5252</v>
      </c>
      <c r="P2267" s="6" t="str">
        <f>HYPERLINK("https://ceds.ed.gov/elementComment.aspx?elementName=Session Designator &amp;elementID=5252", "Click here to submit comment")</f>
        <v>Click here to submit comment</v>
      </c>
    </row>
    <row r="2268" spans="1:16" ht="255">
      <c r="A2268" s="6" t="s">
        <v>6884</v>
      </c>
      <c r="B2268" s="6" t="s">
        <v>6824</v>
      </c>
      <c r="C2268" s="6"/>
      <c r="D2268" s="6" t="s">
        <v>5349</v>
      </c>
      <c r="E2268" s="6" t="s">
        <v>5350</v>
      </c>
      <c r="F2268" s="7" t="s">
        <v>6655</v>
      </c>
      <c r="G2268" s="6" t="s">
        <v>6078</v>
      </c>
      <c r="H2268" s="6"/>
      <c r="I2268" s="6"/>
      <c r="J2268" s="6"/>
      <c r="K2268" s="6"/>
      <c r="L2268" s="6" t="s">
        <v>5351</v>
      </c>
      <c r="M2268" s="6"/>
      <c r="N2268" s="6" t="s">
        <v>5352</v>
      </c>
      <c r="O2268" s="6" t="str">
        <f>HYPERLINK("https://ceds.ed.gov/cedselementdetails.aspx?termid=5254")</f>
        <v>https://ceds.ed.gov/cedselementdetails.aspx?termid=5254</v>
      </c>
      <c r="P2268" s="6" t="str">
        <f>HYPERLINK("https://ceds.ed.gov/elementComment.aspx?elementName=Session Type &amp;elementID=5254", "Click here to submit comment")</f>
        <v>Click here to submit comment</v>
      </c>
    </row>
    <row r="2269" spans="1:16" ht="30">
      <c r="A2269" s="6" t="s">
        <v>6884</v>
      </c>
      <c r="B2269" s="6" t="s">
        <v>6824</v>
      </c>
      <c r="C2269" s="6"/>
      <c r="D2269" s="6" t="s">
        <v>1678</v>
      </c>
      <c r="E2269" s="6" t="s">
        <v>1679</v>
      </c>
      <c r="F2269" s="6" t="s">
        <v>13</v>
      </c>
      <c r="G2269" s="6" t="s">
        <v>6097</v>
      </c>
      <c r="H2269" s="6"/>
      <c r="I2269" s="6" t="s">
        <v>426</v>
      </c>
      <c r="J2269" s="6"/>
      <c r="K2269" s="6"/>
      <c r="L2269" s="6" t="s">
        <v>1680</v>
      </c>
      <c r="M2269" s="6"/>
      <c r="N2269" s="6" t="s">
        <v>1681</v>
      </c>
      <c r="O2269" s="6" t="str">
        <f>HYPERLINK("https://ceds.ed.gov/cedselementdetails.aspx?termid=5510")</f>
        <v>https://ceds.ed.gov/cedselementdetails.aspx?termid=5510</v>
      </c>
      <c r="P2269" s="6" t="str">
        <f>HYPERLINK("https://ceds.ed.gov/elementComment.aspx?elementName=Class Beginning Time &amp;elementID=5510", "Click here to submit comment")</f>
        <v>Click here to submit comment</v>
      </c>
    </row>
    <row r="2270" spans="1:16" ht="30">
      <c r="A2270" s="6" t="s">
        <v>6884</v>
      </c>
      <c r="B2270" s="6" t="s">
        <v>6824</v>
      </c>
      <c r="C2270" s="6"/>
      <c r="D2270" s="6" t="s">
        <v>1682</v>
      </c>
      <c r="E2270" s="6" t="s">
        <v>1683</v>
      </c>
      <c r="F2270" s="6" t="s">
        <v>13</v>
      </c>
      <c r="G2270" s="6" t="s">
        <v>6097</v>
      </c>
      <c r="H2270" s="6"/>
      <c r="I2270" s="6" t="s">
        <v>1684</v>
      </c>
      <c r="J2270" s="6"/>
      <c r="K2270" s="6"/>
      <c r="L2270" s="6" t="s">
        <v>1685</v>
      </c>
      <c r="M2270" s="6"/>
      <c r="N2270" s="6" t="s">
        <v>1686</v>
      </c>
      <c r="O2270" s="6" t="str">
        <f>HYPERLINK("https://ceds.ed.gov/cedselementdetails.aspx?termid=5511")</f>
        <v>https://ceds.ed.gov/cedselementdetails.aspx?termid=5511</v>
      </c>
      <c r="P2270" s="6" t="str">
        <f>HYPERLINK("https://ceds.ed.gov/elementComment.aspx?elementName=Class Ending Time &amp;elementID=5511", "Click here to submit comment")</f>
        <v>Click here to submit comment</v>
      </c>
    </row>
    <row r="2271" spans="1:16" ht="60">
      <c r="A2271" s="6" t="s">
        <v>6884</v>
      </c>
      <c r="B2271" s="6" t="s">
        <v>6824</v>
      </c>
      <c r="C2271" s="6"/>
      <c r="D2271" s="6" t="s">
        <v>1687</v>
      </c>
      <c r="E2271" s="6" t="s">
        <v>1688</v>
      </c>
      <c r="F2271" s="6" t="s">
        <v>13</v>
      </c>
      <c r="G2271" s="6"/>
      <c r="H2271" s="6"/>
      <c r="I2271" s="6" t="s">
        <v>106</v>
      </c>
      <c r="J2271" s="6"/>
      <c r="K2271" s="6"/>
      <c r="L2271" s="6" t="s">
        <v>1689</v>
      </c>
      <c r="M2271" s="6"/>
      <c r="N2271" s="6" t="s">
        <v>1690</v>
      </c>
      <c r="O2271" s="6" t="str">
        <f>HYPERLINK("https://ceds.ed.gov/cedselementdetails.aspx?termid=5512")</f>
        <v>https://ceds.ed.gov/cedselementdetails.aspx?termid=5512</v>
      </c>
      <c r="P2271" s="6" t="str">
        <f>HYPERLINK("https://ceds.ed.gov/elementComment.aspx?elementName=Class Meeting Days &amp;elementID=5512", "Click here to submit comment")</f>
        <v>Click here to submit comment</v>
      </c>
    </row>
    <row r="2272" spans="1:16" ht="75">
      <c r="A2272" s="6" t="s">
        <v>6884</v>
      </c>
      <c r="B2272" s="6" t="s">
        <v>6824</v>
      </c>
      <c r="C2272" s="6"/>
      <c r="D2272" s="6" t="s">
        <v>1691</v>
      </c>
      <c r="E2272" s="6" t="s">
        <v>1692</v>
      </c>
      <c r="F2272" s="6" t="s">
        <v>13</v>
      </c>
      <c r="G2272" s="6"/>
      <c r="H2272" s="6"/>
      <c r="I2272" s="6" t="s">
        <v>100</v>
      </c>
      <c r="J2272" s="6"/>
      <c r="K2272" s="6"/>
      <c r="L2272" s="6" t="s">
        <v>1693</v>
      </c>
      <c r="M2272" s="6"/>
      <c r="N2272" s="6" t="s">
        <v>1694</v>
      </c>
      <c r="O2272" s="6" t="str">
        <f>HYPERLINK("https://ceds.ed.gov/cedselementdetails.aspx?termid=5513")</f>
        <v>https://ceds.ed.gov/cedselementdetails.aspx?termid=5513</v>
      </c>
      <c r="P2272" s="6" t="str">
        <f>HYPERLINK("https://ceds.ed.gov/elementComment.aspx?elementName=Class Period &amp;elementID=5513", "Click here to submit comment")</f>
        <v>Click here to submit comment</v>
      </c>
    </row>
    <row r="2273" spans="1:16" ht="75">
      <c r="A2273" s="6" t="s">
        <v>6884</v>
      </c>
      <c r="B2273" s="6" t="s">
        <v>6824</v>
      </c>
      <c r="C2273" s="6"/>
      <c r="D2273" s="6" t="s">
        <v>5748</v>
      </c>
      <c r="E2273" s="6" t="s">
        <v>5749</v>
      </c>
      <c r="F2273" s="6" t="s">
        <v>13</v>
      </c>
      <c r="G2273" s="6"/>
      <c r="H2273" s="6"/>
      <c r="I2273" s="6" t="s">
        <v>100</v>
      </c>
      <c r="J2273" s="6"/>
      <c r="K2273" s="6"/>
      <c r="L2273" s="6" t="s">
        <v>5750</v>
      </c>
      <c r="M2273" s="6"/>
      <c r="N2273" s="6" t="s">
        <v>5751</v>
      </c>
      <c r="O2273" s="6" t="str">
        <f>HYPERLINK("https://ceds.ed.gov/cedselementdetails.aspx?termid=5514")</f>
        <v>https://ceds.ed.gov/cedselementdetails.aspx?termid=5514</v>
      </c>
      <c r="P2273" s="6" t="str">
        <f>HYPERLINK("https://ceds.ed.gov/elementComment.aspx?elementName=Timetable Day Identifier &amp;elementID=5514", "Click here to submit comment")</f>
        <v>Click here to submit comment</v>
      </c>
    </row>
    <row r="2274" spans="1:16" ht="165">
      <c r="A2274" s="6" t="s">
        <v>6884</v>
      </c>
      <c r="B2274" s="6" t="s">
        <v>6824</v>
      </c>
      <c r="C2274" s="6"/>
      <c r="D2274" s="6" t="s">
        <v>2023</v>
      </c>
      <c r="E2274" s="6" t="s">
        <v>2024</v>
      </c>
      <c r="F2274" s="6" t="s">
        <v>13</v>
      </c>
      <c r="G2274" s="6" t="s">
        <v>2025</v>
      </c>
      <c r="H2274" s="6" t="s">
        <v>66</v>
      </c>
      <c r="I2274" s="6" t="s">
        <v>308</v>
      </c>
      <c r="J2274" s="6" t="s">
        <v>2026</v>
      </c>
      <c r="K2274" s="6"/>
      <c r="L2274" s="6" t="s">
        <v>2027</v>
      </c>
      <c r="M2274" s="6"/>
      <c r="N2274" s="6" t="s">
        <v>2028</v>
      </c>
      <c r="O2274" s="6" t="str">
        <f>HYPERLINK("https://ceds.ed.gov/cedselementdetails.aspx?termid=5101")</f>
        <v>https://ceds.ed.gov/cedselementdetails.aspx?termid=5101</v>
      </c>
      <c r="P2274" s="6" t="str">
        <f>HYPERLINK("https://ceds.ed.gov/elementComment.aspx?elementName=Course Section Time Required For Completion &amp;elementID=5101", "Click here to submit comment")</f>
        <v>Click here to submit comment</v>
      </c>
    </row>
    <row r="2275" spans="1:16" ht="45">
      <c r="A2275" s="6" t="s">
        <v>6884</v>
      </c>
      <c r="B2275" s="6" t="s">
        <v>6824</v>
      </c>
      <c r="C2275" s="6"/>
      <c r="D2275" s="6" t="s">
        <v>3302</v>
      </c>
      <c r="E2275" s="6" t="s">
        <v>3303</v>
      </c>
      <c r="F2275" s="5" t="s">
        <v>939</v>
      </c>
      <c r="G2275" s="6" t="s">
        <v>207</v>
      </c>
      <c r="H2275" s="6"/>
      <c r="I2275" s="6"/>
      <c r="J2275" s="6"/>
      <c r="K2275" s="6"/>
      <c r="L2275" s="6" t="s">
        <v>3304</v>
      </c>
      <c r="M2275" s="6"/>
      <c r="N2275" s="6" t="s">
        <v>3305</v>
      </c>
      <c r="O2275" s="6" t="str">
        <f>HYPERLINK("https://ceds.ed.gov/cedselementdetails.aspx?termid=5438")</f>
        <v>https://ceds.ed.gov/cedselementdetails.aspx?termid=5438</v>
      </c>
      <c r="P2275" s="6" t="str">
        <f>HYPERLINK("https://ceds.ed.gov/elementComment.aspx?elementName=Instruction Language &amp;elementID=5438", "Click here to submit comment")</f>
        <v>Click here to submit comment</v>
      </c>
    </row>
    <row r="2276" spans="1:16" ht="90">
      <c r="A2276" s="6" t="s">
        <v>6884</v>
      </c>
      <c r="B2276" s="6" t="s">
        <v>6824</v>
      </c>
      <c r="C2276" s="6"/>
      <c r="D2276" s="6" t="s">
        <v>2018</v>
      </c>
      <c r="E2276" s="6" t="s">
        <v>2019</v>
      </c>
      <c r="F2276" s="7" t="s">
        <v>6449</v>
      </c>
      <c r="G2276" s="6" t="s">
        <v>6123</v>
      </c>
      <c r="H2276" s="6" t="s">
        <v>66</v>
      </c>
      <c r="I2276" s="6"/>
      <c r="J2276" s="6" t="s">
        <v>2020</v>
      </c>
      <c r="K2276" s="6"/>
      <c r="L2276" s="6" t="s">
        <v>2021</v>
      </c>
      <c r="M2276" s="6"/>
      <c r="N2276" s="6" t="s">
        <v>2022</v>
      </c>
      <c r="O2276" s="6" t="str">
        <f>HYPERLINK("https://ceds.ed.gov/cedselementdetails.aspx?termid=5258")</f>
        <v>https://ceds.ed.gov/cedselementdetails.aspx?termid=5258</v>
      </c>
      <c r="P2276" s="6" t="str">
        <f>HYPERLINK("https://ceds.ed.gov/elementComment.aspx?elementName=Course Section Single Sex Class Status &amp;elementID=5258", "Click here to submit comment")</f>
        <v>Click here to submit comment</v>
      </c>
    </row>
    <row r="2277" spans="1:16" ht="225">
      <c r="A2277" s="6" t="s">
        <v>6884</v>
      </c>
      <c r="B2277" s="6" t="s">
        <v>6824</v>
      </c>
      <c r="C2277" s="6"/>
      <c r="D2277" s="6" t="s">
        <v>4979</v>
      </c>
      <c r="E2277" s="6" t="s">
        <v>4980</v>
      </c>
      <c r="F2277" s="7" t="s">
        <v>6637</v>
      </c>
      <c r="G2277" s="6"/>
      <c r="H2277" s="6"/>
      <c r="I2277" s="6"/>
      <c r="J2277" s="6"/>
      <c r="K2277" s="6"/>
      <c r="L2277" s="6" t="s">
        <v>4981</v>
      </c>
      <c r="M2277" s="6"/>
      <c r="N2277" s="6" t="s">
        <v>4982</v>
      </c>
      <c r="O2277" s="6" t="str">
        <f>HYPERLINK("https://ceds.ed.gov/cedselementdetails.aspx?termid=5515")</f>
        <v>https://ceds.ed.gov/cedselementdetails.aspx?termid=5515</v>
      </c>
      <c r="P2277" s="6" t="str">
        <f>HYPERLINK("https://ceds.ed.gov/elementComment.aspx?elementName=Receiving Location of Instruction &amp;elementID=5515", "Click here to submit comment")</f>
        <v>Click here to submit comment</v>
      </c>
    </row>
    <row r="2278" spans="1:16" ht="210">
      <c r="A2278" s="6" t="s">
        <v>6884</v>
      </c>
      <c r="B2278" s="6" t="s">
        <v>6824</v>
      </c>
      <c r="C2278" s="6"/>
      <c r="D2278" s="6" t="s">
        <v>2009</v>
      </c>
      <c r="E2278" s="6" t="s">
        <v>2010</v>
      </c>
      <c r="F2278" s="7" t="s">
        <v>6448</v>
      </c>
      <c r="G2278" s="6"/>
      <c r="H2278" s="6" t="s">
        <v>66</v>
      </c>
      <c r="I2278" s="6"/>
      <c r="J2278" s="6" t="s">
        <v>2011</v>
      </c>
      <c r="K2278" s="6"/>
      <c r="L2278" s="6" t="s">
        <v>2012</v>
      </c>
      <c r="M2278" s="6"/>
      <c r="N2278" s="6" t="s">
        <v>2013</v>
      </c>
      <c r="O2278" s="6" t="str">
        <f>HYPERLINK("https://ceds.ed.gov/cedselementdetails.aspx?termid=6168")</f>
        <v>https://ceds.ed.gov/cedselementdetails.aspx?termid=6168</v>
      </c>
      <c r="P2278" s="6" t="str">
        <f>HYPERLINK("https://ceds.ed.gov/elementComment.aspx?elementName=Course Section Instructional Delivery Mode &amp;elementID=6168", "Click here to submit comment")</f>
        <v>Click here to submit comment</v>
      </c>
    </row>
    <row r="2279" spans="1:16" ht="105">
      <c r="A2279" s="6" t="s">
        <v>6884</v>
      </c>
      <c r="B2279" s="6" t="s">
        <v>6824</v>
      </c>
      <c r="C2279" s="6"/>
      <c r="D2279" s="6" t="s">
        <v>5875</v>
      </c>
      <c r="E2279" s="6" t="s">
        <v>5876</v>
      </c>
      <c r="F2279" s="6" t="s">
        <v>5963</v>
      </c>
      <c r="G2279" s="6"/>
      <c r="H2279" s="6"/>
      <c r="I2279" s="6"/>
      <c r="J2279" s="6"/>
      <c r="K2279" s="6"/>
      <c r="L2279" s="6" t="s">
        <v>5877</v>
      </c>
      <c r="M2279" s="6"/>
      <c r="N2279" s="6" t="s">
        <v>5878</v>
      </c>
      <c r="O2279" s="6" t="str">
        <f>HYPERLINK("https://ceds.ed.gov/cedselementdetails.aspx?termid=6167")</f>
        <v>https://ceds.ed.gov/cedselementdetails.aspx?termid=6167</v>
      </c>
      <c r="P2279" s="6" t="str">
        <f>HYPERLINK("https://ceds.ed.gov/elementComment.aspx?elementName=Virtual Indicator &amp;elementID=6167", "Click here to submit comment")</f>
        <v>Click here to submit comment</v>
      </c>
    </row>
    <row r="2280" spans="1:16" ht="135">
      <c r="A2280" s="6" t="s">
        <v>6884</v>
      </c>
      <c r="B2280" s="6" t="s">
        <v>6824</v>
      </c>
      <c r="C2280" s="6"/>
      <c r="D2280" s="6" t="s">
        <v>1915</v>
      </c>
      <c r="E2280" s="6" t="s">
        <v>1916</v>
      </c>
      <c r="F2280" s="6" t="s">
        <v>13</v>
      </c>
      <c r="G2280" s="6" t="s">
        <v>6116</v>
      </c>
      <c r="H2280" s="6" t="s">
        <v>66</v>
      </c>
      <c r="I2280" s="6" t="s">
        <v>1917</v>
      </c>
      <c r="J2280" s="6" t="s">
        <v>1918</v>
      </c>
      <c r="K2280" s="6"/>
      <c r="L2280" s="6" t="s">
        <v>1919</v>
      </c>
      <c r="M2280" s="6"/>
      <c r="N2280" s="6" t="s">
        <v>1920</v>
      </c>
      <c r="O2280" s="6" t="str">
        <f>HYPERLINK("https://ceds.ed.gov/cedselementdetails.aspx?termid=5055")</f>
        <v>https://ceds.ed.gov/cedselementdetails.aspx?termid=5055</v>
      </c>
      <c r="P2280" s="6" t="str">
        <f>HYPERLINK("https://ceds.ed.gov/elementComment.aspx?elementName=Course Identifier &amp;elementID=5055", "Click here to submit comment")</f>
        <v>Click here to submit comment</v>
      </c>
    </row>
    <row r="2281" spans="1:16" ht="285">
      <c r="A2281" s="6" t="s">
        <v>6884</v>
      </c>
      <c r="B2281" s="6" t="s">
        <v>6824</v>
      </c>
      <c r="C2281" s="6"/>
      <c r="D2281" s="6" t="s">
        <v>1868</v>
      </c>
      <c r="E2281" s="6" t="s">
        <v>1869</v>
      </c>
      <c r="F2281" s="7" t="s">
        <v>6435</v>
      </c>
      <c r="G2281" s="6" t="s">
        <v>6078</v>
      </c>
      <c r="H2281" s="6"/>
      <c r="I2281" s="6"/>
      <c r="J2281" s="6"/>
      <c r="K2281" s="6"/>
      <c r="L2281" s="6" t="s">
        <v>1870</v>
      </c>
      <c r="M2281" s="6"/>
      <c r="N2281" s="6" t="s">
        <v>1871</v>
      </c>
      <c r="O2281" s="6" t="str">
        <f>HYPERLINK("https://ceds.ed.gov/cedselementdetails.aspx?termid=5056")</f>
        <v>https://ceds.ed.gov/cedselementdetails.aspx?termid=5056</v>
      </c>
      <c r="P2281" s="6" t="str">
        <f>HYPERLINK("https://ceds.ed.gov/elementComment.aspx?elementName=Course Code System &amp;elementID=5056", "Click here to submit comment")</f>
        <v>Click here to submit comment</v>
      </c>
    </row>
    <row r="2282" spans="1:16" ht="225">
      <c r="A2282" s="6" t="s">
        <v>6884</v>
      </c>
      <c r="B2282" s="6" t="s">
        <v>6824</v>
      </c>
      <c r="C2282" s="6"/>
      <c r="D2282" s="6" t="s">
        <v>2034</v>
      </c>
      <c r="E2282" s="6" t="s">
        <v>2035</v>
      </c>
      <c r="F2282" s="6" t="s">
        <v>13</v>
      </c>
      <c r="G2282" s="6" t="s">
        <v>6078</v>
      </c>
      <c r="H2282" s="6"/>
      <c r="I2282" s="6" t="s">
        <v>106</v>
      </c>
      <c r="J2282" s="6"/>
      <c r="K2282" s="6"/>
      <c r="L2282" s="6" t="s">
        <v>2036</v>
      </c>
      <c r="M2282" s="6"/>
      <c r="N2282" s="6" t="s">
        <v>2037</v>
      </c>
      <c r="O2282" s="6" t="str">
        <f>HYPERLINK("https://ceds.ed.gov/cedselementdetails.aspx?termid=5067")</f>
        <v>https://ceds.ed.gov/cedselementdetails.aspx?termid=5067</v>
      </c>
      <c r="P2282" s="6" t="str">
        <f>HYPERLINK("https://ceds.ed.gov/elementComment.aspx?elementName=Course Title &amp;elementID=5067", "Click here to submit comment")</f>
        <v>Click here to submit comment</v>
      </c>
    </row>
    <row r="2283" spans="1:16" ht="120">
      <c r="A2283" s="6" t="s">
        <v>6884</v>
      </c>
      <c r="B2283" s="6" t="s">
        <v>6824</v>
      </c>
      <c r="C2283" s="6"/>
      <c r="D2283" s="6" t="s">
        <v>5214</v>
      </c>
      <c r="E2283" s="6" t="s">
        <v>5215</v>
      </c>
      <c r="F2283" s="6" t="s">
        <v>13</v>
      </c>
      <c r="G2283" s="6" t="s">
        <v>6078</v>
      </c>
      <c r="H2283" s="6" t="s">
        <v>66</v>
      </c>
      <c r="I2283" s="6" t="s">
        <v>2031</v>
      </c>
      <c r="J2283" s="6" t="s">
        <v>5216</v>
      </c>
      <c r="K2283" s="6" t="s">
        <v>5217</v>
      </c>
      <c r="L2283" s="6" t="s">
        <v>5218</v>
      </c>
      <c r="M2283" s="6" t="s">
        <v>5219</v>
      </c>
      <c r="N2283" s="6" t="s">
        <v>5220</v>
      </c>
      <c r="O2283" s="6" t="str">
        <f>HYPERLINK("https://ceds.ed.gov/cedselementdetails.aspx?termid=5250")</f>
        <v>https://ceds.ed.gov/cedselementdetails.aspx?termid=5250</v>
      </c>
      <c r="P2283" s="6" t="str">
        <f>HYPERLINK("https://ceds.ed.gov/elementComment.aspx?elementName=School Codes for the Exchange of Data Sequence of Course &amp;elementID=5250", "Click here to submit comment")</f>
        <v>Click here to submit comment</v>
      </c>
    </row>
    <row r="2284" spans="1:16" ht="409.5">
      <c r="A2284" s="6" t="s">
        <v>6884</v>
      </c>
      <c r="B2284" s="6" t="s">
        <v>6824</v>
      </c>
      <c r="C2284" s="6"/>
      <c r="D2284" s="6" t="s">
        <v>1938</v>
      </c>
      <c r="E2284" s="6" t="s">
        <v>1939</v>
      </c>
      <c r="F2284" s="7" t="s">
        <v>6443</v>
      </c>
      <c r="G2284" s="6" t="s">
        <v>6116</v>
      </c>
      <c r="H2284" s="6"/>
      <c r="I2284" s="6"/>
      <c r="J2284" s="6"/>
      <c r="K2284" s="6"/>
      <c r="L2284" s="6" t="s">
        <v>1940</v>
      </c>
      <c r="M2284" s="6"/>
      <c r="N2284" s="6" t="s">
        <v>1941</v>
      </c>
      <c r="O2284" s="6" t="str">
        <f>HYPERLINK("https://ceds.ed.gov/cedselementdetails.aspx?termid=5061")</f>
        <v>https://ceds.ed.gov/cedselementdetails.aspx?termid=5061</v>
      </c>
      <c r="P2284" s="6" t="str">
        <f>HYPERLINK("https://ceds.ed.gov/elementComment.aspx?elementName=Course Level Characteristic &amp;elementID=5061", "Click here to submit comment")</f>
        <v>Click here to submit comment</v>
      </c>
    </row>
    <row r="2285" spans="1:16" ht="409.5">
      <c r="A2285" s="6" t="s">
        <v>6884</v>
      </c>
      <c r="B2285" s="6" t="s">
        <v>6824</v>
      </c>
      <c r="C2285" s="6"/>
      <c r="D2285" s="6" t="s">
        <v>2058</v>
      </c>
      <c r="E2285" s="6" t="s">
        <v>2059</v>
      </c>
      <c r="F2285" s="7" t="s">
        <v>6451</v>
      </c>
      <c r="G2285" s="6" t="s">
        <v>5968</v>
      </c>
      <c r="H2285" s="6"/>
      <c r="I2285" s="6"/>
      <c r="J2285" s="6"/>
      <c r="K2285" s="6"/>
      <c r="L2285" s="6" t="s">
        <v>2060</v>
      </c>
      <c r="M2285" s="6"/>
      <c r="N2285" s="6" t="s">
        <v>2061</v>
      </c>
      <c r="O2285" s="6" t="str">
        <f>HYPERLINK("https://ceds.ed.gov/cedselementdetails.aspx?termid=5072")</f>
        <v>https://ceds.ed.gov/cedselementdetails.aspx?termid=5072</v>
      </c>
      <c r="P2285" s="6" t="str">
        <f>HYPERLINK("https://ceds.ed.gov/elementComment.aspx?elementName=Credit Type Earned &amp;elementID=5072", "Click here to submit comment")</f>
        <v>Click here to submit comment</v>
      </c>
    </row>
    <row r="2286" spans="1:16" ht="120">
      <c r="A2286" s="6" t="s">
        <v>6884</v>
      </c>
      <c r="B2286" s="6" t="s">
        <v>6824</v>
      </c>
      <c r="C2286" s="6"/>
      <c r="D2286" s="6" t="s">
        <v>2941</v>
      </c>
      <c r="E2286" s="6" t="s">
        <v>2942</v>
      </c>
      <c r="F2286" s="6" t="s">
        <v>5963</v>
      </c>
      <c r="G2286" s="6" t="s">
        <v>6078</v>
      </c>
      <c r="H2286" s="6"/>
      <c r="I2286" s="6"/>
      <c r="J2286" s="6"/>
      <c r="K2286" s="6"/>
      <c r="L2286" s="6" t="s">
        <v>2943</v>
      </c>
      <c r="M2286" s="6"/>
      <c r="N2286" s="6" t="s">
        <v>2944</v>
      </c>
      <c r="O2286" s="6" t="str">
        <f>HYPERLINK("https://ceds.ed.gov/cedselementdetails.aspx?termid=5137")</f>
        <v>https://ceds.ed.gov/cedselementdetails.aspx?termid=5137</v>
      </c>
      <c r="P2286" s="6" t="str">
        <f>HYPERLINK("https://ceds.ed.gov/elementComment.aspx?elementName=High School Course Requirement &amp;elementID=5137", "Click here to submit comment")</f>
        <v>Click here to submit comment</v>
      </c>
    </row>
    <row r="2287" spans="1:16" ht="150">
      <c r="A2287" s="6" t="s">
        <v>6884</v>
      </c>
      <c r="B2287" s="6" t="s">
        <v>6824</v>
      </c>
      <c r="C2287" s="6"/>
      <c r="D2287" s="6" t="s">
        <v>1459</v>
      </c>
      <c r="E2287" s="6" t="s">
        <v>1460</v>
      </c>
      <c r="F2287" s="6" t="s">
        <v>13</v>
      </c>
      <c r="G2287" s="6" t="s">
        <v>6078</v>
      </c>
      <c r="H2287" s="6"/>
      <c r="I2287" s="6" t="s">
        <v>1461</v>
      </c>
      <c r="J2287" s="6"/>
      <c r="K2287" s="6"/>
      <c r="L2287" s="6" t="s">
        <v>1462</v>
      </c>
      <c r="M2287" s="6"/>
      <c r="N2287" s="6" t="s">
        <v>1463</v>
      </c>
      <c r="O2287" s="6" t="str">
        <f>HYPERLINK("https://ceds.ed.gov/cedselementdetails.aspx?termid=5030")</f>
        <v>https://ceds.ed.gov/cedselementdetails.aspx?termid=5030</v>
      </c>
      <c r="P2287" s="6" t="str">
        <f>HYPERLINK("https://ceds.ed.gov/elementComment.aspx?elementName=Available Carnegie Unit Credit &amp;elementID=5030", "Click here to submit comment")</f>
        <v>Click here to submit comment</v>
      </c>
    </row>
    <row r="2288" spans="1:16" ht="120">
      <c r="A2288" s="6" t="s">
        <v>6884</v>
      </c>
      <c r="B2288" s="6" t="s">
        <v>6824</v>
      </c>
      <c r="C2288" s="6"/>
      <c r="D2288" s="6" t="s">
        <v>1906</v>
      </c>
      <c r="E2288" s="6" t="s">
        <v>1907</v>
      </c>
      <c r="F2288" s="7" t="s">
        <v>6439</v>
      </c>
      <c r="G2288" s="6" t="s">
        <v>6078</v>
      </c>
      <c r="H2288" s="6" t="s">
        <v>66</v>
      </c>
      <c r="I2288" s="6"/>
      <c r="J2288" s="6" t="s">
        <v>1820</v>
      </c>
      <c r="K2288" s="6"/>
      <c r="L2288" s="6" t="s">
        <v>1908</v>
      </c>
      <c r="M2288" s="6" t="s">
        <v>1909</v>
      </c>
      <c r="N2288" s="6" t="s">
        <v>1910</v>
      </c>
      <c r="O2288" s="6" t="str">
        <f>HYPERLINK("https://ceds.ed.gov/cedselementdetails.aspx?termid=5060")</f>
        <v>https://ceds.ed.gov/cedselementdetails.aspx?termid=5060</v>
      </c>
      <c r="P2288" s="6" t="str">
        <f>HYPERLINK("https://ceds.ed.gov/elementComment.aspx?elementName=Course Grade Point Average Applicability &amp;elementID=5060", "Click here to submit comment")</f>
        <v>Click here to submit comment</v>
      </c>
    </row>
    <row r="2289" spans="1:16" ht="45">
      <c r="A2289" s="6" t="s">
        <v>6884</v>
      </c>
      <c r="B2289" s="6" t="s">
        <v>6824</v>
      </c>
      <c r="C2289" s="6"/>
      <c r="D2289" s="6" t="s">
        <v>1845</v>
      </c>
      <c r="E2289" s="6" t="s">
        <v>1846</v>
      </c>
      <c r="F2289" s="6" t="s">
        <v>5963</v>
      </c>
      <c r="G2289" s="6"/>
      <c r="H2289" s="6" t="s">
        <v>66</v>
      </c>
      <c r="I2289" s="6"/>
      <c r="J2289" s="6" t="s">
        <v>1847</v>
      </c>
      <c r="K2289" s="6"/>
      <c r="L2289" s="6" t="s">
        <v>1848</v>
      </c>
      <c r="M2289" s="6"/>
      <c r="N2289" s="6" t="s">
        <v>1849</v>
      </c>
      <c r="O2289" s="6" t="str">
        <f>HYPERLINK("https://ceds.ed.gov/cedselementdetails.aspx?termid=5013")</f>
        <v>https://ceds.ed.gov/cedselementdetails.aspx?termid=5013</v>
      </c>
      <c r="P2289" s="6" t="str">
        <f>HYPERLINK("https://ceds.ed.gov/elementComment.aspx?elementName=Course Aligned with Standards &amp;elementID=5013", "Click here to submit comment")</f>
        <v>Click here to submit comment</v>
      </c>
    </row>
    <row r="2290" spans="1:16" ht="45">
      <c r="A2290" s="6" t="s">
        <v>6884</v>
      </c>
      <c r="B2290" s="6" t="s">
        <v>6824</v>
      </c>
      <c r="C2290" s="6"/>
      <c r="D2290" s="6" t="s">
        <v>5021</v>
      </c>
      <c r="E2290" s="6" t="s">
        <v>5022</v>
      </c>
      <c r="F2290" s="6" t="s">
        <v>13</v>
      </c>
      <c r="G2290" s="6"/>
      <c r="H2290" s="6"/>
      <c r="I2290" s="6" t="s">
        <v>106</v>
      </c>
      <c r="J2290" s="6"/>
      <c r="K2290" s="6"/>
      <c r="L2290" s="6" t="s">
        <v>5023</v>
      </c>
      <c r="M2290" s="6"/>
      <c r="N2290" s="6" t="s">
        <v>5024</v>
      </c>
      <c r="O2290" s="6" t="str">
        <f>HYPERLINK("https://ceds.ed.gov/cedselementdetails.aspx?termid=5231")</f>
        <v>https://ceds.ed.gov/cedselementdetails.aspx?termid=5231</v>
      </c>
      <c r="P2290" s="6" t="str">
        <f>HYPERLINK("https://ceds.ed.gov/elementComment.aspx?elementName=Related Learning Standards &amp;elementID=5231", "Click here to submit comment")</f>
        <v>Click here to submit comment</v>
      </c>
    </row>
    <row r="2291" spans="1:16" ht="409.5">
      <c r="A2291" s="6" t="s">
        <v>6884</v>
      </c>
      <c r="B2291" s="6" t="s">
        <v>6824</v>
      </c>
      <c r="C2291" s="6"/>
      <c r="D2291" s="6" t="s">
        <v>1966</v>
      </c>
      <c r="E2291" s="6" t="s">
        <v>1967</v>
      </c>
      <c r="F2291" s="7" t="s">
        <v>6398</v>
      </c>
      <c r="G2291" s="6" t="s">
        <v>6121</v>
      </c>
      <c r="H2291" s="6" t="s">
        <v>66</v>
      </c>
      <c r="I2291" s="6"/>
      <c r="J2291" s="6" t="s">
        <v>1968</v>
      </c>
      <c r="K2291" s="6"/>
      <c r="L2291" s="6" t="s">
        <v>1969</v>
      </c>
      <c r="M2291" s="6"/>
      <c r="N2291" s="6" t="s">
        <v>1970</v>
      </c>
      <c r="O2291" s="6" t="str">
        <f>HYPERLINK("https://ceds.ed.gov/cedselementdetails.aspx?termid=5027")</f>
        <v>https://ceds.ed.gov/cedselementdetails.aspx?termid=5027</v>
      </c>
      <c r="P2291" s="6" t="str">
        <f>HYPERLINK("https://ceds.ed.gov/elementComment.aspx?elementName=Course Section Assessment Reporting Method &amp;elementID=5027", "Click here to submit comment")</f>
        <v>Click here to submit comment</v>
      </c>
    </row>
    <row r="2292" spans="1:16" ht="195">
      <c r="A2292" s="6" t="s">
        <v>6884</v>
      </c>
      <c r="B2292" s="6" t="s">
        <v>6888</v>
      </c>
      <c r="C2292" s="6" t="s">
        <v>6717</v>
      </c>
      <c r="D2292" s="6" t="s">
        <v>2776</v>
      </c>
      <c r="E2292" s="6" t="s">
        <v>2777</v>
      </c>
      <c r="F2292" s="6" t="s">
        <v>13</v>
      </c>
      <c r="G2292" s="6" t="s">
        <v>6176</v>
      </c>
      <c r="H2292" s="6" t="s">
        <v>3</v>
      </c>
      <c r="I2292" s="6" t="s">
        <v>1368</v>
      </c>
      <c r="J2292" s="6"/>
      <c r="K2292" s="6" t="s">
        <v>2778</v>
      </c>
      <c r="L2292" s="6" t="s">
        <v>2779</v>
      </c>
      <c r="M2292" s="6"/>
      <c r="N2292" s="6" t="s">
        <v>2780</v>
      </c>
      <c r="O2292" s="6" t="str">
        <f>HYPERLINK("https://ceds.ed.gov/cedselementdetails.aspx?termid=5115")</f>
        <v>https://ceds.ed.gov/cedselementdetails.aspx?termid=5115</v>
      </c>
      <c r="P2292" s="6" t="str">
        <f>HYPERLINK("https://ceds.ed.gov/elementComment.aspx?elementName=First Name &amp;elementID=5115", "Click here to submit comment")</f>
        <v>Click here to submit comment</v>
      </c>
    </row>
    <row r="2293" spans="1:16" ht="195">
      <c r="A2293" s="6" t="s">
        <v>6884</v>
      </c>
      <c r="B2293" s="6" t="s">
        <v>6888</v>
      </c>
      <c r="C2293" s="6" t="s">
        <v>6717</v>
      </c>
      <c r="D2293" s="6" t="s">
        <v>4088</v>
      </c>
      <c r="E2293" s="6" t="s">
        <v>4089</v>
      </c>
      <c r="F2293" s="6" t="s">
        <v>13</v>
      </c>
      <c r="G2293" s="6" t="s">
        <v>6176</v>
      </c>
      <c r="H2293" s="6" t="s">
        <v>3</v>
      </c>
      <c r="I2293" s="6" t="s">
        <v>1368</v>
      </c>
      <c r="J2293" s="6"/>
      <c r="K2293" s="6" t="s">
        <v>2778</v>
      </c>
      <c r="L2293" s="6" t="s">
        <v>4090</v>
      </c>
      <c r="M2293" s="6"/>
      <c r="N2293" s="6" t="s">
        <v>4091</v>
      </c>
      <c r="O2293" s="6" t="str">
        <f>HYPERLINK("https://ceds.ed.gov/cedselementdetails.aspx?termid=5184")</f>
        <v>https://ceds.ed.gov/cedselementdetails.aspx?termid=5184</v>
      </c>
      <c r="P2293" s="6" t="str">
        <f>HYPERLINK("https://ceds.ed.gov/elementComment.aspx?elementName=Middle Name &amp;elementID=5184", "Click here to submit comment")</f>
        <v>Click here to submit comment</v>
      </c>
    </row>
    <row r="2294" spans="1:16" ht="195">
      <c r="A2294" s="6" t="s">
        <v>6884</v>
      </c>
      <c r="B2294" s="6" t="s">
        <v>6888</v>
      </c>
      <c r="C2294" s="6" t="s">
        <v>6717</v>
      </c>
      <c r="D2294" s="6" t="s">
        <v>3427</v>
      </c>
      <c r="E2294" s="6" t="s">
        <v>3428</v>
      </c>
      <c r="F2294" s="6" t="s">
        <v>13</v>
      </c>
      <c r="G2294" s="6" t="s">
        <v>6176</v>
      </c>
      <c r="H2294" s="6" t="s">
        <v>3</v>
      </c>
      <c r="I2294" s="6" t="s">
        <v>1368</v>
      </c>
      <c r="J2294" s="6"/>
      <c r="K2294" s="6" t="s">
        <v>2778</v>
      </c>
      <c r="L2294" s="6" t="s">
        <v>3429</v>
      </c>
      <c r="M2294" s="6" t="s">
        <v>3430</v>
      </c>
      <c r="N2294" s="6" t="s">
        <v>3431</v>
      </c>
      <c r="O2294" s="6" t="str">
        <f>HYPERLINK("https://ceds.ed.gov/cedselementdetails.aspx?termid=5172")</f>
        <v>https://ceds.ed.gov/cedselementdetails.aspx?termid=5172</v>
      </c>
      <c r="P2294" s="6" t="str">
        <f>HYPERLINK("https://ceds.ed.gov/elementComment.aspx?elementName=Last or Surname &amp;elementID=5172", "Click here to submit comment")</f>
        <v>Click here to submit comment</v>
      </c>
    </row>
    <row r="2295" spans="1:16" ht="150">
      <c r="A2295" s="6" t="s">
        <v>6884</v>
      </c>
      <c r="B2295" s="6" t="s">
        <v>6888</v>
      </c>
      <c r="C2295" s="6" t="s">
        <v>6717</v>
      </c>
      <c r="D2295" s="6" t="s">
        <v>2829</v>
      </c>
      <c r="E2295" s="6" t="s">
        <v>2830</v>
      </c>
      <c r="F2295" s="6" t="s">
        <v>13</v>
      </c>
      <c r="G2295" s="6" t="s">
        <v>6179</v>
      </c>
      <c r="H2295" s="6" t="s">
        <v>3</v>
      </c>
      <c r="I2295" s="6" t="s">
        <v>2031</v>
      </c>
      <c r="J2295" s="6"/>
      <c r="K2295" s="6" t="s">
        <v>2778</v>
      </c>
      <c r="L2295" s="6" t="s">
        <v>2831</v>
      </c>
      <c r="M2295" s="6"/>
      <c r="N2295" s="6" t="s">
        <v>2832</v>
      </c>
      <c r="O2295" s="6" t="str">
        <f>HYPERLINK("https://ceds.ed.gov/cedselementdetails.aspx?termid=5121")</f>
        <v>https://ceds.ed.gov/cedselementdetails.aspx?termid=5121</v>
      </c>
      <c r="P2295" s="6" t="str">
        <f>HYPERLINK("https://ceds.ed.gov/elementComment.aspx?elementName=Generation Code or Suffix &amp;elementID=5121", "Click here to submit comment")</f>
        <v>Click here to submit comment</v>
      </c>
    </row>
    <row r="2296" spans="1:16" ht="105">
      <c r="A2296" s="6" t="s">
        <v>6884</v>
      </c>
      <c r="B2296" s="6" t="s">
        <v>6888</v>
      </c>
      <c r="C2296" s="6" t="s">
        <v>6717</v>
      </c>
      <c r="D2296" s="6" t="s">
        <v>4498</v>
      </c>
      <c r="E2296" s="6" t="s">
        <v>4499</v>
      </c>
      <c r="F2296" s="6" t="s">
        <v>13</v>
      </c>
      <c r="G2296" s="6" t="s">
        <v>6280</v>
      </c>
      <c r="H2296" s="6" t="s">
        <v>3</v>
      </c>
      <c r="I2296" s="6" t="s">
        <v>100</v>
      </c>
      <c r="J2296" s="6"/>
      <c r="K2296" s="6"/>
      <c r="L2296" s="6" t="s">
        <v>4500</v>
      </c>
      <c r="M2296" s="6" t="s">
        <v>4501</v>
      </c>
      <c r="N2296" s="6" t="s">
        <v>4502</v>
      </c>
      <c r="O2296" s="6" t="str">
        <f>HYPERLINK("https://ceds.ed.gov/cedselementdetails.aspx?termid=5212")</f>
        <v>https://ceds.ed.gov/cedselementdetails.aspx?termid=5212</v>
      </c>
      <c r="P2296" s="6" t="str">
        <f>HYPERLINK("https://ceds.ed.gov/elementComment.aspx?elementName=Personal Title or Prefix &amp;elementID=5212", "Click here to submit comment")</f>
        <v>Click here to submit comment</v>
      </c>
    </row>
    <row r="2297" spans="1:16" ht="30">
      <c r="A2297" s="6" t="s">
        <v>6884</v>
      </c>
      <c r="B2297" s="6" t="s">
        <v>6888</v>
      </c>
      <c r="C2297" s="6" t="s">
        <v>6718</v>
      </c>
      <c r="D2297" s="6" t="s">
        <v>4375</v>
      </c>
      <c r="E2297" s="6" t="s">
        <v>4376</v>
      </c>
      <c r="F2297" s="6" t="s">
        <v>13</v>
      </c>
      <c r="G2297" s="6"/>
      <c r="H2297" s="6" t="s">
        <v>54</v>
      </c>
      <c r="I2297" s="6" t="s">
        <v>1368</v>
      </c>
      <c r="J2297" s="6"/>
      <c r="K2297" s="6" t="s">
        <v>4377</v>
      </c>
      <c r="L2297" s="6" t="s">
        <v>4378</v>
      </c>
      <c r="M2297" s="6"/>
      <c r="N2297" s="6" t="s">
        <v>4379</v>
      </c>
      <c r="O2297" s="6" t="str">
        <f>HYPERLINK("https://ceds.ed.gov/cedselementdetails.aspx?termid=6486")</f>
        <v>https://ceds.ed.gov/cedselementdetails.aspx?termid=6486</v>
      </c>
      <c r="P2297" s="6" t="str">
        <f>HYPERLINK("https://ceds.ed.gov/elementComment.aspx?elementName=Other First Name &amp;elementID=6486", "Click here to submit comment")</f>
        <v>Click here to submit comment</v>
      </c>
    </row>
    <row r="2298" spans="1:16" ht="30">
      <c r="A2298" s="6" t="s">
        <v>6884</v>
      </c>
      <c r="B2298" s="6" t="s">
        <v>6888</v>
      </c>
      <c r="C2298" s="6" t="s">
        <v>6718</v>
      </c>
      <c r="D2298" s="6" t="s">
        <v>4380</v>
      </c>
      <c r="E2298" s="6" t="s">
        <v>4381</v>
      </c>
      <c r="F2298" s="6" t="s">
        <v>13</v>
      </c>
      <c r="G2298" s="6"/>
      <c r="H2298" s="6" t="s">
        <v>54</v>
      </c>
      <c r="I2298" s="6" t="s">
        <v>1368</v>
      </c>
      <c r="J2298" s="6"/>
      <c r="K2298" s="6" t="s">
        <v>4382</v>
      </c>
      <c r="L2298" s="6" t="s">
        <v>4383</v>
      </c>
      <c r="M2298" s="6"/>
      <c r="N2298" s="6" t="s">
        <v>4384</v>
      </c>
      <c r="O2298" s="6" t="str">
        <f>HYPERLINK("https://ceds.ed.gov/cedselementdetails.aspx?termid=6485")</f>
        <v>https://ceds.ed.gov/cedselementdetails.aspx?termid=6485</v>
      </c>
      <c r="P2298" s="6" t="str">
        <f>HYPERLINK("https://ceds.ed.gov/elementComment.aspx?elementName=Other Last Name &amp;elementID=6485", "Click here to submit comment")</f>
        <v>Click here to submit comment</v>
      </c>
    </row>
    <row r="2299" spans="1:16" ht="30">
      <c r="A2299" s="6" t="s">
        <v>6884</v>
      </c>
      <c r="B2299" s="6" t="s">
        <v>6888</v>
      </c>
      <c r="C2299" s="6" t="s">
        <v>6718</v>
      </c>
      <c r="D2299" s="6" t="s">
        <v>4385</v>
      </c>
      <c r="E2299" s="6" t="s">
        <v>4386</v>
      </c>
      <c r="F2299" s="6" t="s">
        <v>13</v>
      </c>
      <c r="G2299" s="6"/>
      <c r="H2299" s="6" t="s">
        <v>54</v>
      </c>
      <c r="I2299" s="6" t="s">
        <v>1368</v>
      </c>
      <c r="J2299" s="6"/>
      <c r="K2299" s="6" t="s">
        <v>4387</v>
      </c>
      <c r="L2299" s="6" t="s">
        <v>4388</v>
      </c>
      <c r="M2299" s="6"/>
      <c r="N2299" s="6" t="s">
        <v>4389</v>
      </c>
      <c r="O2299" s="6" t="str">
        <f>HYPERLINK("https://ceds.ed.gov/cedselementdetails.aspx?termid=6487")</f>
        <v>https://ceds.ed.gov/cedselementdetails.aspx?termid=6487</v>
      </c>
      <c r="P2299" s="6" t="str">
        <f>HYPERLINK("https://ceds.ed.gov/elementComment.aspx?elementName=Other Middle Name &amp;elementID=6487", "Click here to submit comment")</f>
        <v>Click here to submit comment</v>
      </c>
    </row>
    <row r="2300" spans="1:16" ht="150">
      <c r="A2300" s="6" t="s">
        <v>6884</v>
      </c>
      <c r="B2300" s="6" t="s">
        <v>6888</v>
      </c>
      <c r="C2300" s="6" t="s">
        <v>6718</v>
      </c>
      <c r="D2300" s="6" t="s">
        <v>4390</v>
      </c>
      <c r="E2300" s="6" t="s">
        <v>4391</v>
      </c>
      <c r="F2300" s="6" t="s">
        <v>13</v>
      </c>
      <c r="G2300" s="6" t="s">
        <v>6179</v>
      </c>
      <c r="H2300" s="6" t="s">
        <v>3</v>
      </c>
      <c r="I2300" s="6" t="s">
        <v>149</v>
      </c>
      <c r="J2300" s="6"/>
      <c r="K2300" s="6"/>
      <c r="L2300" s="6" t="s">
        <v>4392</v>
      </c>
      <c r="M2300" s="6"/>
      <c r="N2300" s="6" t="s">
        <v>4393</v>
      </c>
      <c r="O2300" s="6" t="str">
        <f>HYPERLINK("https://ceds.ed.gov/cedselementdetails.aspx?termid=5206")</f>
        <v>https://ceds.ed.gov/cedselementdetails.aspx?termid=5206</v>
      </c>
      <c r="P2300" s="6" t="str">
        <f>HYPERLINK("https://ceds.ed.gov/elementComment.aspx?elementName=Other Name &amp;elementID=5206", "Click here to submit comment")</f>
        <v>Click here to submit comment</v>
      </c>
    </row>
    <row r="2301" spans="1:16" ht="90">
      <c r="A2301" s="6" t="s">
        <v>6884</v>
      </c>
      <c r="B2301" s="6" t="s">
        <v>6888</v>
      </c>
      <c r="C2301" s="6" t="s">
        <v>6718</v>
      </c>
      <c r="D2301" s="6" t="s">
        <v>4394</v>
      </c>
      <c r="E2301" s="6" t="s">
        <v>4395</v>
      </c>
      <c r="F2301" s="7" t="s">
        <v>6593</v>
      </c>
      <c r="G2301" s="6" t="s">
        <v>6273</v>
      </c>
      <c r="H2301" s="6" t="s">
        <v>3</v>
      </c>
      <c r="I2301" s="6" t="s">
        <v>100</v>
      </c>
      <c r="J2301" s="6"/>
      <c r="K2301" s="6"/>
      <c r="L2301" s="6" t="s">
        <v>4396</v>
      </c>
      <c r="M2301" s="6"/>
      <c r="N2301" s="6" t="s">
        <v>4397</v>
      </c>
      <c r="O2301" s="6" t="str">
        <f>HYPERLINK("https://ceds.ed.gov/cedselementdetails.aspx?termid=5627")</f>
        <v>https://ceds.ed.gov/cedselementdetails.aspx?termid=5627</v>
      </c>
      <c r="P2301" s="6" t="str">
        <f>HYPERLINK("https://ceds.ed.gov/elementComment.aspx?elementName=Other Name Type &amp;elementID=5627", "Click here to submit comment")</f>
        <v>Click here to submit comment</v>
      </c>
    </row>
    <row r="2302" spans="1:16" ht="135">
      <c r="A2302" s="6" t="s">
        <v>6884</v>
      </c>
      <c r="B2302" s="6" t="s">
        <v>6888</v>
      </c>
      <c r="C2302" s="6" t="s">
        <v>6719</v>
      </c>
      <c r="D2302" s="6" t="s">
        <v>5506</v>
      </c>
      <c r="E2302" s="6" t="s">
        <v>5507</v>
      </c>
      <c r="F2302" s="6" t="s">
        <v>13</v>
      </c>
      <c r="G2302" s="6" t="s">
        <v>6322</v>
      </c>
      <c r="H2302" s="6" t="s">
        <v>3</v>
      </c>
      <c r="I2302" s="6" t="s">
        <v>100</v>
      </c>
      <c r="J2302" s="6"/>
      <c r="K2302" s="6"/>
      <c r="L2302" s="6" t="s">
        <v>5508</v>
      </c>
      <c r="M2302" s="6"/>
      <c r="N2302" s="6" t="s">
        <v>5509</v>
      </c>
      <c r="O2302" s="6" t="str">
        <f>HYPERLINK("https://ceds.ed.gov/cedselementdetails.aspx?termid=5156")</f>
        <v>https://ceds.ed.gov/cedselementdetails.aspx?termid=5156</v>
      </c>
      <c r="P2302" s="6" t="str">
        <f>HYPERLINK("https://ceds.ed.gov/elementComment.aspx?elementName=Staff Member Identifier &amp;elementID=5156", "Click here to submit comment")</f>
        <v>Click here to submit comment</v>
      </c>
    </row>
    <row r="2303" spans="1:16" ht="409.5">
      <c r="A2303" s="6" t="s">
        <v>6884</v>
      </c>
      <c r="B2303" s="6" t="s">
        <v>6888</v>
      </c>
      <c r="C2303" s="6" t="s">
        <v>6719</v>
      </c>
      <c r="D2303" s="6" t="s">
        <v>5502</v>
      </c>
      <c r="E2303" s="6" t="s">
        <v>5503</v>
      </c>
      <c r="F2303" s="7" t="s">
        <v>6662</v>
      </c>
      <c r="G2303" s="6" t="s">
        <v>6321</v>
      </c>
      <c r="H2303" s="6" t="s">
        <v>3</v>
      </c>
      <c r="I2303" s="6"/>
      <c r="J2303" s="6"/>
      <c r="K2303" s="6"/>
      <c r="L2303" s="6" t="s">
        <v>5504</v>
      </c>
      <c r="M2303" s="6"/>
      <c r="N2303" s="6" t="s">
        <v>5505</v>
      </c>
      <c r="O2303" s="6" t="str">
        <f>HYPERLINK("https://ceds.ed.gov/cedselementdetails.aspx?termid=5162")</f>
        <v>https://ceds.ed.gov/cedselementdetails.aspx?termid=5162</v>
      </c>
      <c r="P2303" s="6" t="str">
        <f>HYPERLINK("https://ceds.ed.gov/elementComment.aspx?elementName=Staff Member Identification System &amp;elementID=5162", "Click here to submit comment")</f>
        <v>Click here to submit comment</v>
      </c>
    </row>
    <row r="2304" spans="1:16" ht="390">
      <c r="A2304" s="6" t="s">
        <v>6884</v>
      </c>
      <c r="B2304" s="6" t="s">
        <v>6888</v>
      </c>
      <c r="C2304" s="6" t="s">
        <v>6719</v>
      </c>
      <c r="D2304" s="6" t="s">
        <v>5383</v>
      </c>
      <c r="E2304" s="6" t="s">
        <v>5384</v>
      </c>
      <c r="F2304" s="6" t="s">
        <v>13</v>
      </c>
      <c r="G2304" s="6" t="s">
        <v>6315</v>
      </c>
      <c r="H2304" s="6" t="s">
        <v>3</v>
      </c>
      <c r="I2304" s="6" t="s">
        <v>5385</v>
      </c>
      <c r="J2304" s="6"/>
      <c r="K2304" s="6" t="s">
        <v>5386</v>
      </c>
      <c r="L2304" s="6" t="s">
        <v>5387</v>
      </c>
      <c r="M2304" s="6" t="s">
        <v>5388</v>
      </c>
      <c r="N2304" s="6" t="s">
        <v>5389</v>
      </c>
      <c r="O2304" s="6" t="str">
        <f>HYPERLINK("https://ceds.ed.gov/cedselementdetails.aspx?termid=5259")</f>
        <v>https://ceds.ed.gov/cedselementdetails.aspx?termid=5259</v>
      </c>
      <c r="P2304" s="6" t="str">
        <f>HYPERLINK("https://ceds.ed.gov/elementComment.aspx?elementName=Social Security Number &amp;elementID=5259", "Click here to submit comment")</f>
        <v>Click here to submit comment</v>
      </c>
    </row>
    <row r="2305" spans="1:16" ht="375">
      <c r="A2305" s="6" t="s">
        <v>6884</v>
      </c>
      <c r="B2305" s="6" t="s">
        <v>6888</v>
      </c>
      <c r="C2305" s="6" t="s">
        <v>6719</v>
      </c>
      <c r="D2305" s="6" t="s">
        <v>4494</v>
      </c>
      <c r="E2305" s="6" t="s">
        <v>4495</v>
      </c>
      <c r="F2305" s="7" t="s">
        <v>6599</v>
      </c>
      <c r="G2305" s="6"/>
      <c r="H2305" s="6" t="s">
        <v>3</v>
      </c>
      <c r="I2305" s="6"/>
      <c r="J2305" s="6"/>
      <c r="K2305" s="6"/>
      <c r="L2305" s="6" t="s">
        <v>4496</v>
      </c>
      <c r="M2305" s="6"/>
      <c r="N2305" s="6" t="s">
        <v>4497</v>
      </c>
      <c r="O2305" s="6" t="str">
        <f>HYPERLINK("https://ceds.ed.gov/cedselementdetails.aspx?termid=5611")</f>
        <v>https://ceds.ed.gov/cedselementdetails.aspx?termid=5611</v>
      </c>
      <c r="P2305" s="6" t="str">
        <f>HYPERLINK("https://ceds.ed.gov/elementComment.aspx?elementName=Personal Information Verification &amp;elementID=5611", "Click here to submit comment")</f>
        <v>Click here to submit comment</v>
      </c>
    </row>
    <row r="2306" spans="1:16" ht="150">
      <c r="A2306" s="6" t="s">
        <v>6884</v>
      </c>
      <c r="B2306" s="6" t="s">
        <v>6888</v>
      </c>
      <c r="C2306" s="6" t="s">
        <v>6720</v>
      </c>
      <c r="D2306" s="6" t="s">
        <v>200</v>
      </c>
      <c r="E2306" s="6" t="s">
        <v>201</v>
      </c>
      <c r="F2306" s="7" t="s">
        <v>6355</v>
      </c>
      <c r="G2306" s="6" t="s">
        <v>202</v>
      </c>
      <c r="H2306" s="6" t="s">
        <v>3</v>
      </c>
      <c r="I2306" s="6" t="s">
        <v>100</v>
      </c>
      <c r="J2306" s="6"/>
      <c r="K2306" s="6"/>
      <c r="L2306" s="6" t="s">
        <v>203</v>
      </c>
      <c r="M2306" s="6"/>
      <c r="N2306" s="6" t="s">
        <v>204</v>
      </c>
      <c r="O2306" s="6" t="str">
        <f>HYPERLINK("https://ceds.ed.gov/cedselementdetails.aspx?termid=5698")</f>
        <v>https://ceds.ed.gov/cedselementdetails.aspx?termid=5698</v>
      </c>
      <c r="P2306" s="6" t="str">
        <f>HYPERLINK("https://ceds.ed.gov/elementComment.aspx?elementName=Address Type for Staff &amp;elementID=5698", "Click here to submit comment")</f>
        <v>Click here to submit comment</v>
      </c>
    </row>
    <row r="2307" spans="1:16" ht="225">
      <c r="A2307" s="6" t="s">
        <v>6884</v>
      </c>
      <c r="B2307" s="6" t="s">
        <v>6888</v>
      </c>
      <c r="C2307" s="6" t="s">
        <v>6720</v>
      </c>
      <c r="D2307" s="6" t="s">
        <v>187</v>
      </c>
      <c r="E2307" s="6" t="s">
        <v>188</v>
      </c>
      <c r="F2307" s="6" t="s">
        <v>13</v>
      </c>
      <c r="G2307" s="6" t="s">
        <v>5973</v>
      </c>
      <c r="H2307" s="6" t="s">
        <v>3</v>
      </c>
      <c r="I2307" s="6" t="s">
        <v>149</v>
      </c>
      <c r="J2307" s="6"/>
      <c r="K2307" s="6"/>
      <c r="L2307" s="6" t="s">
        <v>189</v>
      </c>
      <c r="M2307" s="6"/>
      <c r="N2307" s="6" t="s">
        <v>190</v>
      </c>
      <c r="O2307" s="6" t="str">
        <f>HYPERLINK("https://ceds.ed.gov/cedselementdetails.aspx?termid=5269")</f>
        <v>https://ceds.ed.gov/cedselementdetails.aspx?termid=5269</v>
      </c>
      <c r="P2307" s="6" t="str">
        <f>HYPERLINK("https://ceds.ed.gov/elementComment.aspx?elementName=Address Street Number and Name &amp;elementID=5269", "Click here to submit comment")</f>
        <v>Click here to submit comment</v>
      </c>
    </row>
    <row r="2308" spans="1:16" ht="225">
      <c r="A2308" s="6" t="s">
        <v>6884</v>
      </c>
      <c r="B2308" s="6" t="s">
        <v>6888</v>
      </c>
      <c r="C2308" s="6" t="s">
        <v>6720</v>
      </c>
      <c r="D2308" s="6" t="s">
        <v>170</v>
      </c>
      <c r="E2308" s="6" t="s">
        <v>171</v>
      </c>
      <c r="F2308" s="6" t="s">
        <v>13</v>
      </c>
      <c r="G2308" s="6" t="s">
        <v>5973</v>
      </c>
      <c r="H2308" s="6" t="s">
        <v>3</v>
      </c>
      <c r="I2308" s="6" t="s">
        <v>100</v>
      </c>
      <c r="J2308" s="6"/>
      <c r="K2308" s="6"/>
      <c r="L2308" s="6" t="s">
        <v>172</v>
      </c>
      <c r="M2308" s="6"/>
      <c r="N2308" s="6" t="s">
        <v>173</v>
      </c>
      <c r="O2308" s="6" t="str">
        <f>HYPERLINK("https://ceds.ed.gov/cedselementdetails.aspx?termid=5019")</f>
        <v>https://ceds.ed.gov/cedselementdetails.aspx?termid=5019</v>
      </c>
      <c r="P2308" s="6" t="str">
        <f>HYPERLINK("https://ceds.ed.gov/elementComment.aspx?elementName=Address Apartment Room or Suite Number &amp;elementID=5019", "Click here to submit comment")</f>
        <v>Click here to submit comment</v>
      </c>
    </row>
    <row r="2309" spans="1:16" ht="225">
      <c r="A2309" s="6" t="s">
        <v>6884</v>
      </c>
      <c r="B2309" s="6" t="s">
        <v>6888</v>
      </c>
      <c r="C2309" s="6" t="s">
        <v>6720</v>
      </c>
      <c r="D2309" s="6" t="s">
        <v>174</v>
      </c>
      <c r="E2309" s="6" t="s">
        <v>175</v>
      </c>
      <c r="F2309" s="6" t="s">
        <v>13</v>
      </c>
      <c r="G2309" s="6" t="s">
        <v>5973</v>
      </c>
      <c r="H2309" s="6" t="s">
        <v>3</v>
      </c>
      <c r="I2309" s="6" t="s">
        <v>100</v>
      </c>
      <c r="J2309" s="6"/>
      <c r="K2309" s="6"/>
      <c r="L2309" s="6" t="s">
        <v>176</v>
      </c>
      <c r="M2309" s="6"/>
      <c r="N2309" s="6" t="s">
        <v>177</v>
      </c>
      <c r="O2309" s="6" t="str">
        <f>HYPERLINK("https://ceds.ed.gov/cedselementdetails.aspx?termid=5040")</f>
        <v>https://ceds.ed.gov/cedselementdetails.aspx?termid=5040</v>
      </c>
      <c r="P2309" s="6" t="str">
        <f>HYPERLINK("https://ceds.ed.gov/elementComment.aspx?elementName=Address City &amp;elementID=5040", "Click here to submit comment")</f>
        <v>Click here to submit comment</v>
      </c>
    </row>
    <row r="2310" spans="1:16" ht="409.5">
      <c r="A2310" s="6" t="s">
        <v>6884</v>
      </c>
      <c r="B2310" s="6" t="s">
        <v>6888</v>
      </c>
      <c r="C2310" s="6" t="s">
        <v>6720</v>
      </c>
      <c r="D2310" s="6" t="s">
        <v>5533</v>
      </c>
      <c r="E2310" s="6" t="s">
        <v>5534</v>
      </c>
      <c r="F2310" s="7" t="s">
        <v>6633</v>
      </c>
      <c r="G2310" s="6" t="s">
        <v>6324</v>
      </c>
      <c r="H2310" s="6" t="s">
        <v>3</v>
      </c>
      <c r="I2310" s="6"/>
      <c r="J2310" s="6"/>
      <c r="K2310" s="6"/>
      <c r="L2310" s="6" t="s">
        <v>5535</v>
      </c>
      <c r="M2310" s="6"/>
      <c r="N2310" s="6" t="s">
        <v>5536</v>
      </c>
      <c r="O2310" s="6" t="str">
        <f>HYPERLINK("https://ceds.ed.gov/cedselementdetails.aspx?termid=5267")</f>
        <v>https://ceds.ed.gov/cedselementdetails.aspx?termid=5267</v>
      </c>
      <c r="P2310" s="6" t="str">
        <f>HYPERLINK("https://ceds.ed.gov/elementComment.aspx?elementName=State Abbreviation &amp;elementID=5267", "Click here to submit comment")</f>
        <v>Click here to submit comment</v>
      </c>
    </row>
    <row r="2311" spans="1:16" ht="225">
      <c r="A2311" s="6" t="s">
        <v>6884</v>
      </c>
      <c r="B2311" s="6" t="s">
        <v>6888</v>
      </c>
      <c r="C2311" s="6" t="s">
        <v>6720</v>
      </c>
      <c r="D2311" s="6" t="s">
        <v>182</v>
      </c>
      <c r="E2311" s="6" t="s">
        <v>183</v>
      </c>
      <c r="F2311" s="6" t="s">
        <v>13</v>
      </c>
      <c r="G2311" s="6" t="s">
        <v>5973</v>
      </c>
      <c r="H2311" s="6" t="s">
        <v>3</v>
      </c>
      <c r="I2311" s="6" t="s">
        <v>184</v>
      </c>
      <c r="J2311" s="6"/>
      <c r="K2311" s="6"/>
      <c r="L2311" s="6" t="s">
        <v>185</v>
      </c>
      <c r="M2311" s="6"/>
      <c r="N2311" s="6" t="s">
        <v>186</v>
      </c>
      <c r="O2311" s="6" t="str">
        <f>HYPERLINK("https://ceds.ed.gov/cedselementdetails.aspx?termid=5214")</f>
        <v>https://ceds.ed.gov/cedselementdetails.aspx?termid=5214</v>
      </c>
      <c r="P2311" s="6" t="str">
        <f>HYPERLINK("https://ceds.ed.gov/elementComment.aspx?elementName=Address Postal Code &amp;elementID=5214", "Click here to submit comment")</f>
        <v>Click here to submit comment</v>
      </c>
    </row>
    <row r="2312" spans="1:16" ht="225">
      <c r="A2312" s="6" t="s">
        <v>6884</v>
      </c>
      <c r="B2312" s="6" t="s">
        <v>6888</v>
      </c>
      <c r="C2312" s="6" t="s">
        <v>6720</v>
      </c>
      <c r="D2312" s="6" t="s">
        <v>178</v>
      </c>
      <c r="E2312" s="6" t="s">
        <v>179</v>
      </c>
      <c r="F2312" s="6" t="s">
        <v>13</v>
      </c>
      <c r="G2312" s="6" t="s">
        <v>5973</v>
      </c>
      <c r="H2312" s="6" t="s">
        <v>3</v>
      </c>
      <c r="I2312" s="6" t="s">
        <v>100</v>
      </c>
      <c r="J2312" s="6"/>
      <c r="K2312" s="6"/>
      <c r="L2312" s="6" t="s">
        <v>180</v>
      </c>
      <c r="M2312" s="6"/>
      <c r="N2312" s="6" t="s">
        <v>181</v>
      </c>
      <c r="O2312" s="6" t="str">
        <f>HYPERLINK("https://ceds.ed.gov/cedselementdetails.aspx?termid=5190")</f>
        <v>https://ceds.ed.gov/cedselementdetails.aspx?termid=5190</v>
      </c>
      <c r="P2312" s="6" t="str">
        <f>HYPERLINK("https://ceds.ed.gov/elementComment.aspx?elementName=Address County Name &amp;elementID=5190", "Click here to submit comment")</f>
        <v>Click here to submit comment</v>
      </c>
    </row>
    <row r="2313" spans="1:16" ht="409.5">
      <c r="A2313" s="6" t="s">
        <v>6884</v>
      </c>
      <c r="B2313" s="6" t="s">
        <v>6888</v>
      </c>
      <c r="C2313" s="6" t="s">
        <v>6720</v>
      </c>
      <c r="D2313" s="6" t="s">
        <v>1809</v>
      </c>
      <c r="E2313" s="6" t="s">
        <v>1810</v>
      </c>
      <c r="F2313" s="7" t="s">
        <v>6433</v>
      </c>
      <c r="G2313" s="6" t="s">
        <v>6107</v>
      </c>
      <c r="H2313" s="6" t="s">
        <v>3</v>
      </c>
      <c r="I2313" s="6"/>
      <c r="J2313" s="6"/>
      <c r="K2313" s="6"/>
      <c r="L2313" s="6" t="s">
        <v>1811</v>
      </c>
      <c r="M2313" s="6"/>
      <c r="N2313" s="6" t="s">
        <v>1812</v>
      </c>
      <c r="O2313" s="6" t="str">
        <f>HYPERLINK("https://ceds.ed.gov/cedselementdetails.aspx?termid=5050")</f>
        <v>https://ceds.ed.gov/cedselementdetails.aspx?termid=5050</v>
      </c>
      <c r="P2313" s="6" t="str">
        <f>HYPERLINK("https://ceds.ed.gov/elementComment.aspx?elementName=Country Code &amp;elementID=5050", "Click here to submit comment")</f>
        <v>Click here to submit comment</v>
      </c>
    </row>
    <row r="2314" spans="1:16" ht="105">
      <c r="A2314" s="6" t="s">
        <v>6884</v>
      </c>
      <c r="B2314" s="6" t="s">
        <v>6888</v>
      </c>
      <c r="C2314" s="6" t="s">
        <v>6742</v>
      </c>
      <c r="D2314" s="6" t="s">
        <v>2457</v>
      </c>
      <c r="E2314" s="6" t="s">
        <v>2458</v>
      </c>
      <c r="F2314" s="7" t="s">
        <v>6489</v>
      </c>
      <c r="G2314" s="6" t="s">
        <v>5968</v>
      </c>
      <c r="H2314" s="6" t="s">
        <v>3</v>
      </c>
      <c r="I2314" s="6"/>
      <c r="J2314" s="6"/>
      <c r="K2314" s="6"/>
      <c r="L2314" s="6" t="s">
        <v>2459</v>
      </c>
      <c r="M2314" s="6" t="s">
        <v>2460</v>
      </c>
      <c r="N2314" s="6" t="s">
        <v>2461</v>
      </c>
      <c r="O2314" s="6" t="str">
        <f>HYPERLINK("https://ceds.ed.gov/cedselementdetails.aspx?termid=5089")</f>
        <v>https://ceds.ed.gov/cedselementdetails.aspx?termid=5089</v>
      </c>
      <c r="P2314" s="6" t="str">
        <f>HYPERLINK("https://ceds.ed.gov/elementComment.aspx?elementName=Electronic Mail Address Type &amp;elementID=5089", "Click here to submit comment")</f>
        <v>Click here to submit comment</v>
      </c>
    </row>
    <row r="2315" spans="1:16" ht="135">
      <c r="A2315" s="6" t="s">
        <v>6884</v>
      </c>
      <c r="B2315" s="6" t="s">
        <v>6888</v>
      </c>
      <c r="C2315" s="6" t="s">
        <v>6721</v>
      </c>
      <c r="D2315" s="6" t="s">
        <v>5732</v>
      </c>
      <c r="E2315" s="6" t="s">
        <v>5733</v>
      </c>
      <c r="F2315" s="7" t="s">
        <v>6675</v>
      </c>
      <c r="G2315" s="6" t="s">
        <v>5968</v>
      </c>
      <c r="H2315" s="6" t="s">
        <v>3</v>
      </c>
      <c r="I2315" s="6" t="s">
        <v>2844</v>
      </c>
      <c r="J2315" s="6"/>
      <c r="K2315" s="6"/>
      <c r="L2315" s="6" t="s">
        <v>5734</v>
      </c>
      <c r="M2315" s="6"/>
      <c r="N2315" s="6" t="s">
        <v>5735</v>
      </c>
      <c r="O2315" s="6" t="str">
        <f>HYPERLINK("https://ceds.ed.gov/cedselementdetails.aspx?termid=5280")</f>
        <v>https://ceds.ed.gov/cedselementdetails.aspx?termid=5280</v>
      </c>
      <c r="P2315" s="6" t="str">
        <f>HYPERLINK("https://ceds.ed.gov/elementComment.aspx?elementName=Telephone Number Type &amp;elementID=5280", "Click here to submit comment")</f>
        <v>Click here to submit comment</v>
      </c>
    </row>
    <row r="2316" spans="1:16" ht="90">
      <c r="A2316" s="6" t="s">
        <v>6884</v>
      </c>
      <c r="B2316" s="6" t="s">
        <v>6888</v>
      </c>
      <c r="C2316" s="6" t="s">
        <v>6742</v>
      </c>
      <c r="D2316" s="6" t="s">
        <v>2451</v>
      </c>
      <c r="E2316" s="6" t="s">
        <v>2452</v>
      </c>
      <c r="F2316" s="6" t="s">
        <v>13</v>
      </c>
      <c r="G2316" s="6" t="s">
        <v>5968</v>
      </c>
      <c r="H2316" s="6" t="s">
        <v>3</v>
      </c>
      <c r="I2316" s="6" t="s">
        <v>2453</v>
      </c>
      <c r="J2316" s="6"/>
      <c r="K2316" s="6"/>
      <c r="L2316" s="6" t="s">
        <v>2454</v>
      </c>
      <c r="M2316" s="6" t="s">
        <v>2455</v>
      </c>
      <c r="N2316" s="6" t="s">
        <v>2456</v>
      </c>
      <c r="O2316" s="6" t="str">
        <f>HYPERLINK("https://ceds.ed.gov/cedselementdetails.aspx?termid=5088")</f>
        <v>https://ceds.ed.gov/cedselementdetails.aspx?termid=5088</v>
      </c>
      <c r="P2316" s="6" t="str">
        <f>HYPERLINK("https://ceds.ed.gov/elementComment.aspx?elementName=Electronic Mail Address &amp;elementID=5088", "Click here to submit comment")</f>
        <v>Click here to submit comment</v>
      </c>
    </row>
    <row r="2317" spans="1:16" ht="90">
      <c r="A2317" s="6" t="s">
        <v>6884</v>
      </c>
      <c r="B2317" s="6" t="s">
        <v>6888</v>
      </c>
      <c r="C2317" s="6" t="s">
        <v>6721</v>
      </c>
      <c r="D2317" s="6" t="s">
        <v>4591</v>
      </c>
      <c r="E2317" s="6" t="s">
        <v>4592</v>
      </c>
      <c r="F2317" s="6" t="s">
        <v>5963</v>
      </c>
      <c r="G2317" s="6" t="s">
        <v>5968</v>
      </c>
      <c r="H2317" s="6" t="s">
        <v>3</v>
      </c>
      <c r="I2317" s="6"/>
      <c r="J2317" s="6"/>
      <c r="K2317" s="6"/>
      <c r="L2317" s="6" t="s">
        <v>4593</v>
      </c>
      <c r="M2317" s="6"/>
      <c r="N2317" s="6" t="s">
        <v>4594</v>
      </c>
      <c r="O2317" s="6" t="str">
        <f>HYPERLINK("https://ceds.ed.gov/cedselementdetails.aspx?termid=5219")</f>
        <v>https://ceds.ed.gov/cedselementdetails.aspx?termid=5219</v>
      </c>
      <c r="P2317" s="6" t="str">
        <f>HYPERLINK("https://ceds.ed.gov/elementComment.aspx?elementName=Primary Telephone Number Indicator &amp;elementID=5219", "Click here to submit comment")</f>
        <v>Click here to submit comment</v>
      </c>
    </row>
    <row r="2318" spans="1:16" ht="90">
      <c r="A2318" s="6" t="s">
        <v>6884</v>
      </c>
      <c r="B2318" s="6" t="s">
        <v>6888</v>
      </c>
      <c r="C2318" s="6" t="s">
        <v>6721</v>
      </c>
      <c r="D2318" s="6" t="s">
        <v>5727</v>
      </c>
      <c r="E2318" s="6" t="s">
        <v>5728</v>
      </c>
      <c r="F2318" s="6" t="s">
        <v>13</v>
      </c>
      <c r="G2318" s="6" t="s">
        <v>5968</v>
      </c>
      <c r="H2318" s="6" t="s">
        <v>3</v>
      </c>
      <c r="I2318" s="6" t="s">
        <v>5729</v>
      </c>
      <c r="J2318" s="6"/>
      <c r="K2318" s="6"/>
      <c r="L2318" s="6" t="s">
        <v>5730</v>
      </c>
      <c r="M2318" s="6"/>
      <c r="N2318" s="6" t="s">
        <v>5731</v>
      </c>
      <c r="O2318" s="6" t="str">
        <f>HYPERLINK("https://ceds.ed.gov/cedselementdetails.aspx?termid=5279")</f>
        <v>https://ceds.ed.gov/cedselementdetails.aspx?termid=5279</v>
      </c>
      <c r="P2318" s="6" t="str">
        <f>HYPERLINK("https://ceds.ed.gov/elementComment.aspx?elementName=Telephone Number &amp;elementID=5279", "Click here to submit comment")</f>
        <v>Click here to submit comment</v>
      </c>
    </row>
    <row r="2319" spans="1:16" ht="75">
      <c r="A2319" s="6" t="s">
        <v>6884</v>
      </c>
      <c r="B2319" s="6" t="s">
        <v>6888</v>
      </c>
      <c r="C2319" s="6" t="s">
        <v>6771</v>
      </c>
      <c r="D2319" s="6" t="s">
        <v>1562</v>
      </c>
      <c r="E2319" s="6" t="s">
        <v>1563</v>
      </c>
      <c r="F2319" s="6" t="s">
        <v>5963</v>
      </c>
      <c r="G2319" s="6"/>
      <c r="H2319" s="6" t="s">
        <v>54</v>
      </c>
      <c r="I2319" s="6"/>
      <c r="J2319" s="6"/>
      <c r="K2319" s="6"/>
      <c r="L2319" s="6" t="s">
        <v>1564</v>
      </c>
      <c r="M2319" s="6" t="s">
        <v>1565</v>
      </c>
      <c r="N2319" s="6" t="s">
        <v>1566</v>
      </c>
      <c r="O2319" s="6" t="str">
        <f>HYPERLINK("https://ceds.ed.gov/cedselementdetails.aspx?termid=6284")</f>
        <v>https://ceds.ed.gov/cedselementdetails.aspx?termid=6284</v>
      </c>
      <c r="P2319" s="6" t="str">
        <f>HYPERLINK("https://ceds.ed.gov/elementComment.aspx?elementName=Career and Technical Education Instructor Industry Certification &amp;elementID=6284", "Click here to submit comment")</f>
        <v>Click here to submit comment</v>
      </c>
    </row>
    <row r="2320" spans="1:16" ht="90">
      <c r="A2320" s="6" t="s">
        <v>6884</v>
      </c>
      <c r="B2320" s="6" t="s">
        <v>6888</v>
      </c>
      <c r="C2320" s="6" t="s">
        <v>6771</v>
      </c>
      <c r="D2320" s="6" t="s">
        <v>2050</v>
      </c>
      <c r="E2320" s="6" t="s">
        <v>2051</v>
      </c>
      <c r="F2320" s="6" t="s">
        <v>6125</v>
      </c>
      <c r="G2320" s="6"/>
      <c r="H2320" s="6" t="s">
        <v>3</v>
      </c>
      <c r="I2320" s="6"/>
      <c r="J2320" s="6"/>
      <c r="K2320" s="6"/>
      <c r="L2320" s="6" t="s">
        <v>2052</v>
      </c>
      <c r="M2320" s="6"/>
      <c r="N2320" s="6" t="s">
        <v>2053</v>
      </c>
      <c r="O2320" s="6" t="str">
        <f>HYPERLINK("https://ceds.ed.gov/cedselementdetails.aspx?termid=5071")</f>
        <v>https://ceds.ed.gov/cedselementdetails.aspx?termid=5071</v>
      </c>
      <c r="P2320" s="6" t="str">
        <f>HYPERLINK("https://ceds.ed.gov/elementComment.aspx?elementName=Credential Type &amp;elementID=5071", "Click here to submit comment")</f>
        <v>Click here to submit comment</v>
      </c>
    </row>
    <row r="2321" spans="1:16" ht="390">
      <c r="A2321" s="6" t="s">
        <v>6884</v>
      </c>
      <c r="B2321" s="6" t="s">
        <v>6888</v>
      </c>
      <c r="C2321" s="6" t="s">
        <v>6771</v>
      </c>
      <c r="D2321" s="6" t="s">
        <v>5699</v>
      </c>
      <c r="E2321" s="6" t="s">
        <v>5700</v>
      </c>
      <c r="F2321" s="7" t="s">
        <v>6671</v>
      </c>
      <c r="G2321" s="6" t="s">
        <v>344</v>
      </c>
      <c r="H2321" s="6" t="s">
        <v>66</v>
      </c>
      <c r="I2321" s="6"/>
      <c r="J2321" s="6" t="s">
        <v>2527</v>
      </c>
      <c r="K2321" s="6"/>
      <c r="L2321" s="6" t="s">
        <v>5701</v>
      </c>
      <c r="M2321" s="6"/>
      <c r="N2321" s="6" t="s">
        <v>5702</v>
      </c>
      <c r="O2321" s="6" t="str">
        <f>HYPERLINK("https://ceds.ed.gov/cedselementdetails.aspx?termid=5277")</f>
        <v>https://ceds.ed.gov/cedselementdetails.aspx?termid=5277</v>
      </c>
      <c r="P2321" s="6" t="str">
        <f>HYPERLINK("https://ceds.ed.gov/elementComment.aspx?elementName=Teaching Credential Basis &amp;elementID=5277", "Click here to submit comment")</f>
        <v>Click here to submit comment</v>
      </c>
    </row>
    <row r="2322" spans="1:16" ht="409.5">
      <c r="A2322" s="6" t="s">
        <v>6889</v>
      </c>
      <c r="B2322" s="6" t="s">
        <v>6824</v>
      </c>
      <c r="C2322" s="6" t="s">
        <v>6825</v>
      </c>
      <c r="D2322" s="6" t="s">
        <v>1942</v>
      </c>
      <c r="E2322" s="6" t="s">
        <v>1943</v>
      </c>
      <c r="F2322" s="7" t="s">
        <v>6444</v>
      </c>
      <c r="G2322" s="6"/>
      <c r="H2322" s="6" t="s">
        <v>54</v>
      </c>
      <c r="I2322" s="6"/>
      <c r="J2322" s="6"/>
      <c r="K2322" s="6"/>
      <c r="L2322" s="6" t="s">
        <v>1944</v>
      </c>
      <c r="M2322" s="6"/>
      <c r="N2322" s="6" t="s">
        <v>1945</v>
      </c>
      <c r="O2322" s="6" t="str">
        <f>HYPERLINK("https://ceds.ed.gov/cedselementdetails.aspx?termid=6278")</f>
        <v>https://ceds.ed.gov/cedselementdetails.aspx?termid=6278</v>
      </c>
      <c r="P2322" s="6" t="str">
        <f>HYPERLINK("https://ceds.ed.gov/elementComment.aspx?elementName=Course Level Type &amp;elementID=6278", "Click here to submit comment")</f>
        <v>Click here to submit comment</v>
      </c>
    </row>
    <row r="2323" spans="1:16" ht="195">
      <c r="A2323" s="6" t="s">
        <v>6889</v>
      </c>
      <c r="B2323" s="6" t="s">
        <v>6890</v>
      </c>
      <c r="C2323" s="6" t="s">
        <v>6717</v>
      </c>
      <c r="D2323" s="6" t="s">
        <v>2776</v>
      </c>
      <c r="E2323" s="6" t="s">
        <v>2777</v>
      </c>
      <c r="F2323" s="6" t="s">
        <v>13</v>
      </c>
      <c r="G2323" s="6" t="s">
        <v>6176</v>
      </c>
      <c r="H2323" s="6" t="s">
        <v>3</v>
      </c>
      <c r="I2323" s="6" t="s">
        <v>1368</v>
      </c>
      <c r="J2323" s="6"/>
      <c r="K2323" s="6" t="s">
        <v>2778</v>
      </c>
      <c r="L2323" s="6" t="s">
        <v>2779</v>
      </c>
      <c r="M2323" s="6"/>
      <c r="N2323" s="6" t="s">
        <v>2780</v>
      </c>
      <c r="O2323" s="6" t="str">
        <f>HYPERLINK("https://ceds.ed.gov/cedselementdetails.aspx?termid=5115")</f>
        <v>https://ceds.ed.gov/cedselementdetails.aspx?termid=5115</v>
      </c>
      <c r="P2323" s="6" t="str">
        <f>HYPERLINK("https://ceds.ed.gov/elementComment.aspx?elementName=First Name &amp;elementID=5115", "Click here to submit comment")</f>
        <v>Click here to submit comment</v>
      </c>
    </row>
    <row r="2324" spans="1:16" ht="195">
      <c r="A2324" s="6" t="s">
        <v>6889</v>
      </c>
      <c r="B2324" s="6" t="s">
        <v>6890</v>
      </c>
      <c r="C2324" s="6" t="s">
        <v>6717</v>
      </c>
      <c r="D2324" s="6" t="s">
        <v>4088</v>
      </c>
      <c r="E2324" s="6" t="s">
        <v>4089</v>
      </c>
      <c r="F2324" s="6" t="s">
        <v>13</v>
      </c>
      <c r="G2324" s="6" t="s">
        <v>6176</v>
      </c>
      <c r="H2324" s="6" t="s">
        <v>3</v>
      </c>
      <c r="I2324" s="6" t="s">
        <v>1368</v>
      </c>
      <c r="J2324" s="6"/>
      <c r="K2324" s="6" t="s">
        <v>2778</v>
      </c>
      <c r="L2324" s="6" t="s">
        <v>4090</v>
      </c>
      <c r="M2324" s="6"/>
      <c r="N2324" s="6" t="s">
        <v>4091</v>
      </c>
      <c r="O2324" s="6" t="str">
        <f>HYPERLINK("https://ceds.ed.gov/cedselementdetails.aspx?termid=5184")</f>
        <v>https://ceds.ed.gov/cedselementdetails.aspx?termid=5184</v>
      </c>
      <c r="P2324" s="6" t="str">
        <f>HYPERLINK("https://ceds.ed.gov/elementComment.aspx?elementName=Middle Name &amp;elementID=5184", "Click here to submit comment")</f>
        <v>Click here to submit comment</v>
      </c>
    </row>
    <row r="2325" spans="1:16" ht="195">
      <c r="A2325" s="6" t="s">
        <v>6889</v>
      </c>
      <c r="B2325" s="6" t="s">
        <v>6890</v>
      </c>
      <c r="C2325" s="6" t="s">
        <v>6717</v>
      </c>
      <c r="D2325" s="6" t="s">
        <v>3427</v>
      </c>
      <c r="E2325" s="6" t="s">
        <v>3428</v>
      </c>
      <c r="F2325" s="6" t="s">
        <v>13</v>
      </c>
      <c r="G2325" s="6" t="s">
        <v>6176</v>
      </c>
      <c r="H2325" s="6" t="s">
        <v>3</v>
      </c>
      <c r="I2325" s="6" t="s">
        <v>1368</v>
      </c>
      <c r="J2325" s="6"/>
      <c r="K2325" s="6" t="s">
        <v>2778</v>
      </c>
      <c r="L2325" s="6" t="s">
        <v>3429</v>
      </c>
      <c r="M2325" s="6" t="s">
        <v>3430</v>
      </c>
      <c r="N2325" s="6" t="s">
        <v>3431</v>
      </c>
      <c r="O2325" s="6" t="str">
        <f>HYPERLINK("https://ceds.ed.gov/cedselementdetails.aspx?termid=5172")</f>
        <v>https://ceds.ed.gov/cedselementdetails.aspx?termid=5172</v>
      </c>
      <c r="P2325" s="6" t="str">
        <f>HYPERLINK("https://ceds.ed.gov/elementComment.aspx?elementName=Last or Surname &amp;elementID=5172", "Click here to submit comment")</f>
        <v>Click here to submit comment</v>
      </c>
    </row>
    <row r="2326" spans="1:16" ht="150">
      <c r="A2326" s="6" t="s">
        <v>6889</v>
      </c>
      <c r="B2326" s="6" t="s">
        <v>6890</v>
      </c>
      <c r="C2326" s="6" t="s">
        <v>6717</v>
      </c>
      <c r="D2326" s="6" t="s">
        <v>2829</v>
      </c>
      <c r="E2326" s="6" t="s">
        <v>2830</v>
      </c>
      <c r="F2326" s="6" t="s">
        <v>13</v>
      </c>
      <c r="G2326" s="6" t="s">
        <v>6179</v>
      </c>
      <c r="H2326" s="6" t="s">
        <v>3</v>
      </c>
      <c r="I2326" s="6" t="s">
        <v>2031</v>
      </c>
      <c r="J2326" s="6"/>
      <c r="K2326" s="6" t="s">
        <v>2778</v>
      </c>
      <c r="L2326" s="6" t="s">
        <v>2831</v>
      </c>
      <c r="M2326" s="6"/>
      <c r="N2326" s="6" t="s">
        <v>2832</v>
      </c>
      <c r="O2326" s="6" t="str">
        <f>HYPERLINK("https://ceds.ed.gov/cedselementdetails.aspx?termid=5121")</f>
        <v>https://ceds.ed.gov/cedselementdetails.aspx?termid=5121</v>
      </c>
      <c r="P2326" s="6" t="str">
        <f>HYPERLINK("https://ceds.ed.gov/elementComment.aspx?elementName=Generation Code or Suffix &amp;elementID=5121", "Click here to submit comment")</f>
        <v>Click here to submit comment</v>
      </c>
    </row>
    <row r="2327" spans="1:16" ht="105">
      <c r="A2327" s="6" t="s">
        <v>6889</v>
      </c>
      <c r="B2327" s="6" t="s">
        <v>6890</v>
      </c>
      <c r="C2327" s="6" t="s">
        <v>6717</v>
      </c>
      <c r="D2327" s="6" t="s">
        <v>4498</v>
      </c>
      <c r="E2327" s="6" t="s">
        <v>4499</v>
      </c>
      <c r="F2327" s="6" t="s">
        <v>13</v>
      </c>
      <c r="G2327" s="6" t="s">
        <v>6280</v>
      </c>
      <c r="H2327" s="6" t="s">
        <v>3</v>
      </c>
      <c r="I2327" s="6" t="s">
        <v>100</v>
      </c>
      <c r="J2327" s="6"/>
      <c r="K2327" s="6"/>
      <c r="L2327" s="6" t="s">
        <v>4500</v>
      </c>
      <c r="M2327" s="6" t="s">
        <v>4501</v>
      </c>
      <c r="N2327" s="6" t="s">
        <v>4502</v>
      </c>
      <c r="O2327" s="6" t="str">
        <f>HYPERLINK("https://ceds.ed.gov/cedselementdetails.aspx?termid=5212")</f>
        <v>https://ceds.ed.gov/cedselementdetails.aspx?termid=5212</v>
      </c>
      <c r="P2327" s="6" t="str">
        <f>HYPERLINK("https://ceds.ed.gov/elementComment.aspx?elementName=Personal Title or Prefix &amp;elementID=5212", "Click here to submit comment")</f>
        <v>Click here to submit comment</v>
      </c>
    </row>
    <row r="2328" spans="1:16" ht="30">
      <c r="A2328" s="6" t="s">
        <v>6889</v>
      </c>
      <c r="B2328" s="6" t="s">
        <v>6890</v>
      </c>
      <c r="C2328" s="6" t="s">
        <v>6718</v>
      </c>
      <c r="D2328" s="6" t="s">
        <v>4375</v>
      </c>
      <c r="E2328" s="6" t="s">
        <v>4376</v>
      </c>
      <c r="F2328" s="6" t="s">
        <v>13</v>
      </c>
      <c r="G2328" s="6"/>
      <c r="H2328" s="6" t="s">
        <v>54</v>
      </c>
      <c r="I2328" s="6" t="s">
        <v>1368</v>
      </c>
      <c r="J2328" s="6"/>
      <c r="K2328" s="6" t="s">
        <v>4377</v>
      </c>
      <c r="L2328" s="6" t="s">
        <v>4378</v>
      </c>
      <c r="M2328" s="6"/>
      <c r="N2328" s="6" t="s">
        <v>4379</v>
      </c>
      <c r="O2328" s="6" t="str">
        <f>HYPERLINK("https://ceds.ed.gov/cedselementdetails.aspx?termid=6486")</f>
        <v>https://ceds.ed.gov/cedselementdetails.aspx?termid=6486</v>
      </c>
      <c r="P2328" s="6" t="str">
        <f>HYPERLINK("https://ceds.ed.gov/elementComment.aspx?elementName=Other First Name &amp;elementID=6486", "Click here to submit comment")</f>
        <v>Click here to submit comment</v>
      </c>
    </row>
    <row r="2329" spans="1:16" ht="30">
      <c r="A2329" s="6" t="s">
        <v>6889</v>
      </c>
      <c r="B2329" s="6" t="s">
        <v>6890</v>
      </c>
      <c r="C2329" s="6" t="s">
        <v>6718</v>
      </c>
      <c r="D2329" s="6" t="s">
        <v>4380</v>
      </c>
      <c r="E2329" s="6" t="s">
        <v>4381</v>
      </c>
      <c r="F2329" s="6" t="s">
        <v>13</v>
      </c>
      <c r="G2329" s="6"/>
      <c r="H2329" s="6" t="s">
        <v>54</v>
      </c>
      <c r="I2329" s="6" t="s">
        <v>1368</v>
      </c>
      <c r="J2329" s="6"/>
      <c r="K2329" s="6" t="s">
        <v>4382</v>
      </c>
      <c r="L2329" s="6" t="s">
        <v>4383</v>
      </c>
      <c r="M2329" s="6"/>
      <c r="N2329" s="6" t="s">
        <v>4384</v>
      </c>
      <c r="O2329" s="6" t="str">
        <f>HYPERLINK("https://ceds.ed.gov/cedselementdetails.aspx?termid=6485")</f>
        <v>https://ceds.ed.gov/cedselementdetails.aspx?termid=6485</v>
      </c>
      <c r="P2329" s="6" t="str">
        <f>HYPERLINK("https://ceds.ed.gov/elementComment.aspx?elementName=Other Last Name &amp;elementID=6485", "Click here to submit comment")</f>
        <v>Click here to submit comment</v>
      </c>
    </row>
    <row r="2330" spans="1:16" ht="30">
      <c r="A2330" s="6" t="s">
        <v>6889</v>
      </c>
      <c r="B2330" s="6" t="s">
        <v>6890</v>
      </c>
      <c r="C2330" s="6" t="s">
        <v>6718</v>
      </c>
      <c r="D2330" s="6" t="s">
        <v>4385</v>
      </c>
      <c r="E2330" s="6" t="s">
        <v>4386</v>
      </c>
      <c r="F2330" s="6" t="s">
        <v>13</v>
      </c>
      <c r="G2330" s="6"/>
      <c r="H2330" s="6" t="s">
        <v>54</v>
      </c>
      <c r="I2330" s="6" t="s">
        <v>1368</v>
      </c>
      <c r="J2330" s="6"/>
      <c r="K2330" s="6" t="s">
        <v>4387</v>
      </c>
      <c r="L2330" s="6" t="s">
        <v>4388</v>
      </c>
      <c r="M2330" s="6"/>
      <c r="N2330" s="6" t="s">
        <v>4389</v>
      </c>
      <c r="O2330" s="6" t="str">
        <f>HYPERLINK("https://ceds.ed.gov/cedselementdetails.aspx?termid=6487")</f>
        <v>https://ceds.ed.gov/cedselementdetails.aspx?termid=6487</v>
      </c>
      <c r="P2330" s="6" t="str">
        <f>HYPERLINK("https://ceds.ed.gov/elementComment.aspx?elementName=Other Middle Name &amp;elementID=6487", "Click here to submit comment")</f>
        <v>Click here to submit comment</v>
      </c>
    </row>
    <row r="2331" spans="1:16" ht="150">
      <c r="A2331" s="6" t="s">
        <v>6889</v>
      </c>
      <c r="B2331" s="6" t="s">
        <v>6890</v>
      </c>
      <c r="C2331" s="6" t="s">
        <v>6718</v>
      </c>
      <c r="D2331" s="6" t="s">
        <v>4390</v>
      </c>
      <c r="E2331" s="6" t="s">
        <v>4391</v>
      </c>
      <c r="F2331" s="6" t="s">
        <v>13</v>
      </c>
      <c r="G2331" s="6" t="s">
        <v>6179</v>
      </c>
      <c r="H2331" s="6" t="s">
        <v>3</v>
      </c>
      <c r="I2331" s="6" t="s">
        <v>149</v>
      </c>
      <c r="J2331" s="6"/>
      <c r="K2331" s="6"/>
      <c r="L2331" s="6" t="s">
        <v>4392</v>
      </c>
      <c r="M2331" s="6"/>
      <c r="N2331" s="6" t="s">
        <v>4393</v>
      </c>
      <c r="O2331" s="6" t="str">
        <f>HYPERLINK("https://ceds.ed.gov/cedselementdetails.aspx?termid=5206")</f>
        <v>https://ceds.ed.gov/cedselementdetails.aspx?termid=5206</v>
      </c>
      <c r="P2331" s="6" t="str">
        <f>HYPERLINK("https://ceds.ed.gov/elementComment.aspx?elementName=Other Name &amp;elementID=5206", "Click here to submit comment")</f>
        <v>Click here to submit comment</v>
      </c>
    </row>
    <row r="2332" spans="1:16" ht="90">
      <c r="A2332" s="6" t="s">
        <v>6889</v>
      </c>
      <c r="B2332" s="6" t="s">
        <v>6890</v>
      </c>
      <c r="C2332" s="6" t="s">
        <v>6718</v>
      </c>
      <c r="D2332" s="6" t="s">
        <v>4394</v>
      </c>
      <c r="E2332" s="6" t="s">
        <v>4395</v>
      </c>
      <c r="F2332" s="7" t="s">
        <v>6593</v>
      </c>
      <c r="G2332" s="6" t="s">
        <v>6273</v>
      </c>
      <c r="H2332" s="6" t="s">
        <v>3</v>
      </c>
      <c r="I2332" s="6" t="s">
        <v>100</v>
      </c>
      <c r="J2332" s="6"/>
      <c r="K2332" s="6"/>
      <c r="L2332" s="6" t="s">
        <v>4396</v>
      </c>
      <c r="M2332" s="6"/>
      <c r="N2332" s="6" t="s">
        <v>4397</v>
      </c>
      <c r="O2332" s="6" t="str">
        <f>HYPERLINK("https://ceds.ed.gov/cedselementdetails.aspx?termid=5627")</f>
        <v>https://ceds.ed.gov/cedselementdetails.aspx?termid=5627</v>
      </c>
      <c r="P2332" s="6" t="str">
        <f>HYPERLINK("https://ceds.ed.gov/elementComment.aspx?elementName=Other Name Type &amp;elementID=5627", "Click here to submit comment")</f>
        <v>Click here to submit comment</v>
      </c>
    </row>
    <row r="2333" spans="1:16" ht="135">
      <c r="A2333" s="6" t="s">
        <v>6889</v>
      </c>
      <c r="B2333" s="6" t="s">
        <v>6890</v>
      </c>
      <c r="C2333" s="6" t="s">
        <v>6719</v>
      </c>
      <c r="D2333" s="6" t="s">
        <v>5614</v>
      </c>
      <c r="E2333" s="6" t="s">
        <v>5615</v>
      </c>
      <c r="F2333" s="6" t="s">
        <v>13</v>
      </c>
      <c r="G2333" s="6" t="s">
        <v>6330</v>
      </c>
      <c r="H2333" s="6"/>
      <c r="I2333" s="6" t="s">
        <v>100</v>
      </c>
      <c r="J2333" s="6"/>
      <c r="K2333" s="6"/>
      <c r="L2333" s="6" t="s">
        <v>5616</v>
      </c>
      <c r="M2333" s="6"/>
      <c r="N2333" s="6" t="s">
        <v>5617</v>
      </c>
      <c r="O2333" s="6" t="str">
        <f>HYPERLINK("https://ceds.ed.gov/cedselementdetails.aspx?termid=5157")</f>
        <v>https://ceds.ed.gov/cedselementdetails.aspx?termid=5157</v>
      </c>
      <c r="P2333" s="6" t="str">
        <f>HYPERLINK("https://ceds.ed.gov/elementComment.aspx?elementName=Student Identifier &amp;elementID=5157", "Click here to submit comment")</f>
        <v>Click here to submit comment</v>
      </c>
    </row>
    <row r="2334" spans="1:16" ht="285">
      <c r="A2334" s="6" t="s">
        <v>6889</v>
      </c>
      <c r="B2334" s="6" t="s">
        <v>6890</v>
      </c>
      <c r="C2334" s="6" t="s">
        <v>6719</v>
      </c>
      <c r="D2334" s="6" t="s">
        <v>5610</v>
      </c>
      <c r="E2334" s="6" t="s">
        <v>5611</v>
      </c>
      <c r="F2334" s="7" t="s">
        <v>6665</v>
      </c>
      <c r="G2334" s="6" t="s">
        <v>6330</v>
      </c>
      <c r="H2334" s="6"/>
      <c r="I2334" s="6"/>
      <c r="J2334" s="6"/>
      <c r="K2334" s="6"/>
      <c r="L2334" s="6" t="s">
        <v>5612</v>
      </c>
      <c r="M2334" s="6"/>
      <c r="N2334" s="6" t="s">
        <v>5613</v>
      </c>
      <c r="O2334" s="6" t="str">
        <f>HYPERLINK("https://ceds.ed.gov/cedselementdetails.aspx?termid=5163")</f>
        <v>https://ceds.ed.gov/cedselementdetails.aspx?termid=5163</v>
      </c>
      <c r="P2334" s="6" t="str">
        <f>HYPERLINK("https://ceds.ed.gov/elementComment.aspx?elementName=Student Identification System &amp;elementID=5163", "Click here to submit comment")</f>
        <v>Click here to submit comment</v>
      </c>
    </row>
    <row r="2335" spans="1:16" ht="390">
      <c r="A2335" s="6" t="s">
        <v>6889</v>
      </c>
      <c r="B2335" s="6" t="s">
        <v>6890</v>
      </c>
      <c r="C2335" s="6" t="s">
        <v>6719</v>
      </c>
      <c r="D2335" s="6" t="s">
        <v>5383</v>
      </c>
      <c r="E2335" s="6" t="s">
        <v>5384</v>
      </c>
      <c r="F2335" s="6" t="s">
        <v>13</v>
      </c>
      <c r="G2335" s="6" t="s">
        <v>6315</v>
      </c>
      <c r="H2335" s="6" t="s">
        <v>3</v>
      </c>
      <c r="I2335" s="6" t="s">
        <v>5385</v>
      </c>
      <c r="J2335" s="6"/>
      <c r="K2335" s="6" t="s">
        <v>5386</v>
      </c>
      <c r="L2335" s="6" t="s">
        <v>5387</v>
      </c>
      <c r="M2335" s="6" t="s">
        <v>5388</v>
      </c>
      <c r="N2335" s="6" t="s">
        <v>5389</v>
      </c>
      <c r="O2335" s="6" t="str">
        <f>HYPERLINK("https://ceds.ed.gov/cedselementdetails.aspx?termid=5259")</f>
        <v>https://ceds.ed.gov/cedselementdetails.aspx?termid=5259</v>
      </c>
      <c r="P2335" s="6" t="str">
        <f>HYPERLINK("https://ceds.ed.gov/elementComment.aspx?elementName=Social Security Number &amp;elementID=5259", "Click here to submit comment")</f>
        <v>Click here to submit comment</v>
      </c>
    </row>
    <row r="2336" spans="1:16" ht="375">
      <c r="A2336" s="6" t="s">
        <v>6889</v>
      </c>
      <c r="B2336" s="6" t="s">
        <v>6890</v>
      </c>
      <c r="C2336" s="6" t="s">
        <v>6719</v>
      </c>
      <c r="D2336" s="6" t="s">
        <v>4494</v>
      </c>
      <c r="E2336" s="6" t="s">
        <v>4495</v>
      </c>
      <c r="F2336" s="7" t="s">
        <v>6599</v>
      </c>
      <c r="G2336" s="6"/>
      <c r="H2336" s="6" t="s">
        <v>3</v>
      </c>
      <c r="I2336" s="6"/>
      <c r="J2336" s="6"/>
      <c r="K2336" s="6"/>
      <c r="L2336" s="6" t="s">
        <v>4496</v>
      </c>
      <c r="M2336" s="6"/>
      <c r="N2336" s="6" t="s">
        <v>4497</v>
      </c>
      <c r="O2336" s="6" t="str">
        <f>HYPERLINK("https://ceds.ed.gov/cedselementdetails.aspx?termid=5611")</f>
        <v>https://ceds.ed.gov/cedselementdetails.aspx?termid=5611</v>
      </c>
      <c r="P2336" s="6" t="str">
        <f>HYPERLINK("https://ceds.ed.gov/elementComment.aspx?elementName=Personal Information Verification &amp;elementID=5611", "Click here to submit comment")</f>
        <v>Click here to submit comment</v>
      </c>
    </row>
    <row r="2337" spans="1:16" ht="285">
      <c r="A2337" s="6" t="s">
        <v>6889</v>
      </c>
      <c r="B2337" s="6" t="s">
        <v>6890</v>
      </c>
      <c r="C2337" s="6" t="s">
        <v>6720</v>
      </c>
      <c r="D2337" s="6" t="s">
        <v>191</v>
      </c>
      <c r="E2337" s="6" t="s">
        <v>192</v>
      </c>
      <c r="F2337" s="7" t="s">
        <v>6353</v>
      </c>
      <c r="G2337" s="6" t="s">
        <v>5976</v>
      </c>
      <c r="H2337" s="6" t="s">
        <v>66</v>
      </c>
      <c r="I2337" s="6" t="s">
        <v>100</v>
      </c>
      <c r="J2337" s="6" t="s">
        <v>193</v>
      </c>
      <c r="K2337" s="6"/>
      <c r="L2337" s="6" t="s">
        <v>194</v>
      </c>
      <c r="M2337" s="6"/>
      <c r="N2337" s="6" t="s">
        <v>195</v>
      </c>
      <c r="O2337" s="6" t="str">
        <f>HYPERLINK("https://ceds.ed.gov/cedselementdetails.aspx?termid=5358")</f>
        <v>https://ceds.ed.gov/cedselementdetails.aspx?termid=5358</v>
      </c>
      <c r="P2337" s="6" t="str">
        <f>HYPERLINK("https://ceds.ed.gov/elementComment.aspx?elementName=Address Type for Learner or Family &amp;elementID=5358", "Click here to submit comment")</f>
        <v>Click here to submit comment</v>
      </c>
    </row>
    <row r="2338" spans="1:16" ht="225">
      <c r="A2338" s="6" t="s">
        <v>6889</v>
      </c>
      <c r="B2338" s="6" t="s">
        <v>6890</v>
      </c>
      <c r="C2338" s="6" t="s">
        <v>6720</v>
      </c>
      <c r="D2338" s="6" t="s">
        <v>187</v>
      </c>
      <c r="E2338" s="6" t="s">
        <v>188</v>
      </c>
      <c r="F2338" s="6" t="s">
        <v>13</v>
      </c>
      <c r="G2338" s="6" t="s">
        <v>5973</v>
      </c>
      <c r="H2338" s="6" t="s">
        <v>3</v>
      </c>
      <c r="I2338" s="6" t="s">
        <v>149</v>
      </c>
      <c r="J2338" s="6"/>
      <c r="K2338" s="6"/>
      <c r="L2338" s="6" t="s">
        <v>189</v>
      </c>
      <c r="M2338" s="6"/>
      <c r="N2338" s="6" t="s">
        <v>190</v>
      </c>
      <c r="O2338" s="6" t="str">
        <f>HYPERLINK("https://ceds.ed.gov/cedselementdetails.aspx?termid=5269")</f>
        <v>https://ceds.ed.gov/cedselementdetails.aspx?termid=5269</v>
      </c>
      <c r="P2338" s="6" t="str">
        <f>HYPERLINK("https://ceds.ed.gov/elementComment.aspx?elementName=Address Street Number and Name &amp;elementID=5269", "Click here to submit comment")</f>
        <v>Click here to submit comment</v>
      </c>
    </row>
    <row r="2339" spans="1:16" ht="225">
      <c r="A2339" s="6" t="s">
        <v>6889</v>
      </c>
      <c r="B2339" s="6" t="s">
        <v>6890</v>
      </c>
      <c r="C2339" s="6" t="s">
        <v>6720</v>
      </c>
      <c r="D2339" s="6" t="s">
        <v>170</v>
      </c>
      <c r="E2339" s="6" t="s">
        <v>171</v>
      </c>
      <c r="F2339" s="6" t="s">
        <v>13</v>
      </c>
      <c r="G2339" s="6" t="s">
        <v>5973</v>
      </c>
      <c r="H2339" s="6" t="s">
        <v>3</v>
      </c>
      <c r="I2339" s="6" t="s">
        <v>100</v>
      </c>
      <c r="J2339" s="6"/>
      <c r="K2339" s="6"/>
      <c r="L2339" s="6" t="s">
        <v>172</v>
      </c>
      <c r="M2339" s="6"/>
      <c r="N2339" s="6" t="s">
        <v>173</v>
      </c>
      <c r="O2339" s="6" t="str">
        <f>HYPERLINK("https://ceds.ed.gov/cedselementdetails.aspx?termid=5019")</f>
        <v>https://ceds.ed.gov/cedselementdetails.aspx?termid=5019</v>
      </c>
      <c r="P2339" s="6" t="str">
        <f>HYPERLINK("https://ceds.ed.gov/elementComment.aspx?elementName=Address Apartment Room or Suite Number &amp;elementID=5019", "Click here to submit comment")</f>
        <v>Click here to submit comment</v>
      </c>
    </row>
    <row r="2340" spans="1:16" ht="225">
      <c r="A2340" s="6" t="s">
        <v>6889</v>
      </c>
      <c r="B2340" s="6" t="s">
        <v>6890</v>
      </c>
      <c r="C2340" s="6" t="s">
        <v>6720</v>
      </c>
      <c r="D2340" s="6" t="s">
        <v>174</v>
      </c>
      <c r="E2340" s="6" t="s">
        <v>175</v>
      </c>
      <c r="F2340" s="6" t="s">
        <v>13</v>
      </c>
      <c r="G2340" s="6" t="s">
        <v>5973</v>
      </c>
      <c r="H2340" s="6" t="s">
        <v>3</v>
      </c>
      <c r="I2340" s="6" t="s">
        <v>100</v>
      </c>
      <c r="J2340" s="6"/>
      <c r="K2340" s="6"/>
      <c r="L2340" s="6" t="s">
        <v>176</v>
      </c>
      <c r="M2340" s="6"/>
      <c r="N2340" s="6" t="s">
        <v>177</v>
      </c>
      <c r="O2340" s="6" t="str">
        <f>HYPERLINK("https://ceds.ed.gov/cedselementdetails.aspx?termid=5040")</f>
        <v>https://ceds.ed.gov/cedselementdetails.aspx?termid=5040</v>
      </c>
      <c r="P2340" s="6" t="str">
        <f>HYPERLINK("https://ceds.ed.gov/elementComment.aspx?elementName=Address City &amp;elementID=5040", "Click here to submit comment")</f>
        <v>Click here to submit comment</v>
      </c>
    </row>
    <row r="2341" spans="1:16" ht="409.5">
      <c r="A2341" s="6" t="s">
        <v>6889</v>
      </c>
      <c r="B2341" s="6" t="s">
        <v>6890</v>
      </c>
      <c r="C2341" s="6" t="s">
        <v>6720</v>
      </c>
      <c r="D2341" s="6" t="s">
        <v>5533</v>
      </c>
      <c r="E2341" s="6" t="s">
        <v>5534</v>
      </c>
      <c r="F2341" s="7" t="s">
        <v>6633</v>
      </c>
      <c r="G2341" s="6" t="s">
        <v>6324</v>
      </c>
      <c r="H2341" s="6" t="s">
        <v>3</v>
      </c>
      <c r="I2341" s="6"/>
      <c r="J2341" s="6"/>
      <c r="K2341" s="6"/>
      <c r="L2341" s="6" t="s">
        <v>5535</v>
      </c>
      <c r="M2341" s="6"/>
      <c r="N2341" s="6" t="s">
        <v>5536</v>
      </c>
      <c r="O2341" s="6" t="str">
        <f>HYPERLINK("https://ceds.ed.gov/cedselementdetails.aspx?termid=5267")</f>
        <v>https://ceds.ed.gov/cedselementdetails.aspx?termid=5267</v>
      </c>
      <c r="P2341" s="6" t="str">
        <f>HYPERLINK("https://ceds.ed.gov/elementComment.aspx?elementName=State Abbreviation &amp;elementID=5267", "Click here to submit comment")</f>
        <v>Click here to submit comment</v>
      </c>
    </row>
    <row r="2342" spans="1:16" ht="225">
      <c r="A2342" s="6" t="s">
        <v>6889</v>
      </c>
      <c r="B2342" s="6" t="s">
        <v>6890</v>
      </c>
      <c r="C2342" s="6" t="s">
        <v>6720</v>
      </c>
      <c r="D2342" s="6" t="s">
        <v>182</v>
      </c>
      <c r="E2342" s="6" t="s">
        <v>183</v>
      </c>
      <c r="F2342" s="6" t="s">
        <v>13</v>
      </c>
      <c r="G2342" s="6" t="s">
        <v>5973</v>
      </c>
      <c r="H2342" s="6" t="s">
        <v>3</v>
      </c>
      <c r="I2342" s="6" t="s">
        <v>184</v>
      </c>
      <c r="J2342" s="6"/>
      <c r="K2342" s="6"/>
      <c r="L2342" s="6" t="s">
        <v>185</v>
      </c>
      <c r="M2342" s="6"/>
      <c r="N2342" s="6" t="s">
        <v>186</v>
      </c>
      <c r="O2342" s="6" t="str">
        <f>HYPERLINK("https://ceds.ed.gov/cedselementdetails.aspx?termid=5214")</f>
        <v>https://ceds.ed.gov/cedselementdetails.aspx?termid=5214</v>
      </c>
      <c r="P2342" s="6" t="str">
        <f>HYPERLINK("https://ceds.ed.gov/elementComment.aspx?elementName=Address Postal Code &amp;elementID=5214", "Click here to submit comment")</f>
        <v>Click here to submit comment</v>
      </c>
    </row>
    <row r="2343" spans="1:16" ht="225">
      <c r="A2343" s="6" t="s">
        <v>6889</v>
      </c>
      <c r="B2343" s="6" t="s">
        <v>6890</v>
      </c>
      <c r="C2343" s="6" t="s">
        <v>6720</v>
      </c>
      <c r="D2343" s="6" t="s">
        <v>178</v>
      </c>
      <c r="E2343" s="6" t="s">
        <v>179</v>
      </c>
      <c r="F2343" s="6" t="s">
        <v>13</v>
      </c>
      <c r="G2343" s="6" t="s">
        <v>5973</v>
      </c>
      <c r="H2343" s="6" t="s">
        <v>3</v>
      </c>
      <c r="I2343" s="6" t="s">
        <v>100</v>
      </c>
      <c r="J2343" s="6"/>
      <c r="K2343" s="6"/>
      <c r="L2343" s="6" t="s">
        <v>180</v>
      </c>
      <c r="M2343" s="6"/>
      <c r="N2343" s="6" t="s">
        <v>181</v>
      </c>
      <c r="O2343" s="6" t="str">
        <f>HYPERLINK("https://ceds.ed.gov/cedselementdetails.aspx?termid=5190")</f>
        <v>https://ceds.ed.gov/cedselementdetails.aspx?termid=5190</v>
      </c>
      <c r="P2343" s="6" t="str">
        <f>HYPERLINK("https://ceds.ed.gov/elementComment.aspx?elementName=Address County Name &amp;elementID=5190", "Click here to submit comment")</f>
        <v>Click here to submit comment</v>
      </c>
    </row>
    <row r="2344" spans="1:16" ht="409.5">
      <c r="A2344" s="6" t="s">
        <v>6889</v>
      </c>
      <c r="B2344" s="6" t="s">
        <v>6890</v>
      </c>
      <c r="C2344" s="6" t="s">
        <v>6720</v>
      </c>
      <c r="D2344" s="6" t="s">
        <v>1809</v>
      </c>
      <c r="E2344" s="6" t="s">
        <v>1810</v>
      </c>
      <c r="F2344" s="7" t="s">
        <v>6433</v>
      </c>
      <c r="G2344" s="6" t="s">
        <v>6107</v>
      </c>
      <c r="H2344" s="6" t="s">
        <v>3</v>
      </c>
      <c r="I2344" s="6"/>
      <c r="J2344" s="6"/>
      <c r="K2344" s="6"/>
      <c r="L2344" s="6" t="s">
        <v>1811</v>
      </c>
      <c r="M2344" s="6"/>
      <c r="N2344" s="6" t="s">
        <v>1812</v>
      </c>
      <c r="O2344" s="6" t="str">
        <f>HYPERLINK("https://ceds.ed.gov/cedselementdetails.aspx?termid=5050")</f>
        <v>https://ceds.ed.gov/cedselementdetails.aspx?termid=5050</v>
      </c>
      <c r="P2344" s="6" t="str">
        <f>HYPERLINK("https://ceds.ed.gov/elementComment.aspx?elementName=Country Code &amp;elementID=5050", "Click here to submit comment")</f>
        <v>Click here to submit comment</v>
      </c>
    </row>
    <row r="2345" spans="1:16" ht="135">
      <c r="A2345" s="6" t="s">
        <v>6889</v>
      </c>
      <c r="B2345" s="6" t="s">
        <v>6890</v>
      </c>
      <c r="C2345" s="6" t="s">
        <v>6721</v>
      </c>
      <c r="D2345" s="6" t="s">
        <v>5732</v>
      </c>
      <c r="E2345" s="6" t="s">
        <v>5733</v>
      </c>
      <c r="F2345" s="7" t="s">
        <v>6675</v>
      </c>
      <c r="G2345" s="6" t="s">
        <v>5968</v>
      </c>
      <c r="H2345" s="6" t="s">
        <v>3</v>
      </c>
      <c r="I2345" s="6" t="s">
        <v>2844</v>
      </c>
      <c r="J2345" s="6"/>
      <c r="K2345" s="6"/>
      <c r="L2345" s="6" t="s">
        <v>5734</v>
      </c>
      <c r="M2345" s="6"/>
      <c r="N2345" s="6" t="s">
        <v>5735</v>
      </c>
      <c r="O2345" s="6" t="str">
        <f>HYPERLINK("https://ceds.ed.gov/cedselementdetails.aspx?termid=5280")</f>
        <v>https://ceds.ed.gov/cedselementdetails.aspx?termid=5280</v>
      </c>
      <c r="P2345" s="6" t="str">
        <f>HYPERLINK("https://ceds.ed.gov/elementComment.aspx?elementName=Telephone Number Type &amp;elementID=5280", "Click here to submit comment")</f>
        <v>Click here to submit comment</v>
      </c>
    </row>
    <row r="2346" spans="1:16" ht="90">
      <c r="A2346" s="6" t="s">
        <v>6889</v>
      </c>
      <c r="B2346" s="6" t="s">
        <v>6890</v>
      </c>
      <c r="C2346" s="6" t="s">
        <v>6721</v>
      </c>
      <c r="D2346" s="6" t="s">
        <v>4591</v>
      </c>
      <c r="E2346" s="6" t="s">
        <v>4592</v>
      </c>
      <c r="F2346" s="6" t="s">
        <v>5963</v>
      </c>
      <c r="G2346" s="6" t="s">
        <v>5968</v>
      </c>
      <c r="H2346" s="6" t="s">
        <v>3</v>
      </c>
      <c r="I2346" s="6"/>
      <c r="J2346" s="6"/>
      <c r="K2346" s="6"/>
      <c r="L2346" s="6" t="s">
        <v>4593</v>
      </c>
      <c r="M2346" s="6"/>
      <c r="N2346" s="6" t="s">
        <v>4594</v>
      </c>
      <c r="O2346" s="6" t="str">
        <f>HYPERLINK("https://ceds.ed.gov/cedselementdetails.aspx?termid=5219")</f>
        <v>https://ceds.ed.gov/cedselementdetails.aspx?termid=5219</v>
      </c>
      <c r="P2346" s="6" t="str">
        <f>HYPERLINK("https://ceds.ed.gov/elementComment.aspx?elementName=Primary Telephone Number Indicator &amp;elementID=5219", "Click here to submit comment")</f>
        <v>Click here to submit comment</v>
      </c>
    </row>
    <row r="2347" spans="1:16" ht="90">
      <c r="A2347" s="6" t="s">
        <v>6889</v>
      </c>
      <c r="B2347" s="6" t="s">
        <v>6890</v>
      </c>
      <c r="C2347" s="6" t="s">
        <v>6721</v>
      </c>
      <c r="D2347" s="6" t="s">
        <v>5727</v>
      </c>
      <c r="E2347" s="6" t="s">
        <v>5728</v>
      </c>
      <c r="F2347" s="6" t="s">
        <v>13</v>
      </c>
      <c r="G2347" s="6" t="s">
        <v>5968</v>
      </c>
      <c r="H2347" s="6" t="s">
        <v>3</v>
      </c>
      <c r="I2347" s="6" t="s">
        <v>5729</v>
      </c>
      <c r="J2347" s="6"/>
      <c r="K2347" s="6"/>
      <c r="L2347" s="6" t="s">
        <v>5730</v>
      </c>
      <c r="M2347" s="6"/>
      <c r="N2347" s="6" t="s">
        <v>5731</v>
      </c>
      <c r="O2347" s="6" t="str">
        <f>HYPERLINK("https://ceds.ed.gov/cedselementdetails.aspx?termid=5279")</f>
        <v>https://ceds.ed.gov/cedselementdetails.aspx?termid=5279</v>
      </c>
      <c r="P2347" s="6" t="str">
        <f>HYPERLINK("https://ceds.ed.gov/elementComment.aspx?elementName=Telephone Number &amp;elementID=5279", "Click here to submit comment")</f>
        <v>Click here to submit comment</v>
      </c>
    </row>
    <row r="2348" spans="1:16" ht="105">
      <c r="A2348" s="6" t="s">
        <v>6889</v>
      </c>
      <c r="B2348" s="6" t="s">
        <v>6890</v>
      </c>
      <c r="C2348" s="6" t="s">
        <v>6742</v>
      </c>
      <c r="D2348" s="6" t="s">
        <v>2457</v>
      </c>
      <c r="E2348" s="6" t="s">
        <v>2458</v>
      </c>
      <c r="F2348" s="7" t="s">
        <v>6489</v>
      </c>
      <c r="G2348" s="6" t="s">
        <v>5968</v>
      </c>
      <c r="H2348" s="6" t="s">
        <v>3</v>
      </c>
      <c r="I2348" s="6"/>
      <c r="J2348" s="6"/>
      <c r="K2348" s="6"/>
      <c r="L2348" s="6" t="s">
        <v>2459</v>
      </c>
      <c r="M2348" s="6" t="s">
        <v>2460</v>
      </c>
      <c r="N2348" s="6" t="s">
        <v>2461</v>
      </c>
      <c r="O2348" s="6" t="str">
        <f>HYPERLINK("https://ceds.ed.gov/cedselementdetails.aspx?termid=5089")</f>
        <v>https://ceds.ed.gov/cedselementdetails.aspx?termid=5089</v>
      </c>
      <c r="P2348" s="6" t="str">
        <f>HYPERLINK("https://ceds.ed.gov/elementComment.aspx?elementName=Electronic Mail Address Type &amp;elementID=5089", "Click here to submit comment")</f>
        <v>Click here to submit comment</v>
      </c>
    </row>
    <row r="2349" spans="1:16" ht="90">
      <c r="A2349" s="6" t="s">
        <v>6889</v>
      </c>
      <c r="B2349" s="6" t="s">
        <v>6890</v>
      </c>
      <c r="C2349" s="6" t="s">
        <v>6742</v>
      </c>
      <c r="D2349" s="6" t="s">
        <v>2451</v>
      </c>
      <c r="E2349" s="6" t="s">
        <v>2452</v>
      </c>
      <c r="F2349" s="6" t="s">
        <v>13</v>
      </c>
      <c r="G2349" s="6" t="s">
        <v>5968</v>
      </c>
      <c r="H2349" s="6" t="s">
        <v>3</v>
      </c>
      <c r="I2349" s="6" t="s">
        <v>2453</v>
      </c>
      <c r="J2349" s="6"/>
      <c r="K2349" s="6"/>
      <c r="L2349" s="6" t="s">
        <v>2454</v>
      </c>
      <c r="M2349" s="6" t="s">
        <v>2455</v>
      </c>
      <c r="N2349" s="6" t="s">
        <v>2456</v>
      </c>
      <c r="O2349" s="6" t="str">
        <f>HYPERLINK("https://ceds.ed.gov/cedselementdetails.aspx?termid=5088")</f>
        <v>https://ceds.ed.gov/cedselementdetails.aspx?termid=5088</v>
      </c>
      <c r="P2349" s="6" t="str">
        <f>HYPERLINK("https://ceds.ed.gov/elementComment.aspx?elementName=Electronic Mail Address &amp;elementID=5088", "Click here to submit comment")</f>
        <v>Click here to submit comment</v>
      </c>
    </row>
    <row r="2350" spans="1:16" ht="240">
      <c r="A2350" s="6" t="s">
        <v>6889</v>
      </c>
      <c r="B2350" s="6" t="s">
        <v>6890</v>
      </c>
      <c r="C2350" s="6" t="s">
        <v>6722</v>
      </c>
      <c r="D2350" s="6" t="s">
        <v>1474</v>
      </c>
      <c r="E2350" s="6" t="s">
        <v>1475</v>
      </c>
      <c r="F2350" s="6" t="s">
        <v>13</v>
      </c>
      <c r="G2350" s="6" t="s">
        <v>6080</v>
      </c>
      <c r="H2350" s="6" t="s">
        <v>3</v>
      </c>
      <c r="I2350" s="6" t="s">
        <v>73</v>
      </c>
      <c r="J2350" s="6"/>
      <c r="K2350" s="6"/>
      <c r="L2350" s="6" t="s">
        <v>1476</v>
      </c>
      <c r="M2350" s="6"/>
      <c r="N2350" s="6" t="s">
        <v>1474</v>
      </c>
      <c r="O2350" s="6" t="str">
        <f>HYPERLINK("https://ceds.ed.gov/cedselementdetails.aspx?termid=5033")</f>
        <v>https://ceds.ed.gov/cedselementdetails.aspx?termid=5033</v>
      </c>
      <c r="P2350" s="6" t="str">
        <f>HYPERLINK("https://ceds.ed.gov/elementComment.aspx?elementName=Birthdate &amp;elementID=5033", "Click here to submit comment")</f>
        <v>Click here to submit comment</v>
      </c>
    </row>
    <row r="2351" spans="1:16" ht="255">
      <c r="A2351" s="6" t="s">
        <v>6889</v>
      </c>
      <c r="B2351" s="6" t="s">
        <v>6890</v>
      </c>
      <c r="C2351" s="6" t="s">
        <v>6722</v>
      </c>
      <c r="D2351" s="6" t="s">
        <v>5353</v>
      </c>
      <c r="E2351" s="6" t="s">
        <v>5354</v>
      </c>
      <c r="F2351" s="7" t="s">
        <v>6656</v>
      </c>
      <c r="G2351" s="6" t="s">
        <v>6312</v>
      </c>
      <c r="H2351" s="6" t="s">
        <v>3</v>
      </c>
      <c r="I2351" s="6"/>
      <c r="J2351" s="6"/>
      <c r="K2351" s="6" t="s">
        <v>5355</v>
      </c>
      <c r="L2351" s="6" t="s">
        <v>5356</v>
      </c>
      <c r="M2351" s="6"/>
      <c r="N2351" s="6" t="s">
        <v>5353</v>
      </c>
      <c r="O2351" s="6" t="str">
        <f>HYPERLINK("https://ceds.ed.gov/cedselementdetails.aspx?termid=5255")</f>
        <v>https://ceds.ed.gov/cedselementdetails.aspx?termid=5255</v>
      </c>
      <c r="P2351" s="6" t="str">
        <f>HYPERLINK("https://ceds.ed.gov/elementComment.aspx?elementName=Sex &amp;elementID=5255", "Click here to submit comment")</f>
        <v>Click here to submit comment</v>
      </c>
    </row>
    <row r="2352" spans="1:16" ht="225">
      <c r="A2352" s="6" t="s">
        <v>6889</v>
      </c>
      <c r="B2352" s="6" t="s">
        <v>6890</v>
      </c>
      <c r="C2352" s="6" t="s">
        <v>6722</v>
      </c>
      <c r="D2352" s="6" t="s">
        <v>351</v>
      </c>
      <c r="E2352" s="6" t="s">
        <v>352</v>
      </c>
      <c r="F2352" s="7" t="s">
        <v>6373</v>
      </c>
      <c r="G2352" s="6" t="s">
        <v>5986</v>
      </c>
      <c r="H2352" s="6"/>
      <c r="I2352" s="6"/>
      <c r="J2352" s="6"/>
      <c r="K2352" s="6" t="s">
        <v>353</v>
      </c>
      <c r="L2352" s="6" t="s">
        <v>354</v>
      </c>
      <c r="M2352" s="6"/>
      <c r="N2352" s="6" t="s">
        <v>355</v>
      </c>
      <c r="O2352" s="6" t="str">
        <f>HYPERLINK("https://ceds.ed.gov/cedselementdetails.aspx?termid=5655")</f>
        <v>https://ceds.ed.gov/cedselementdetails.aspx?termid=5655</v>
      </c>
      <c r="P2352" s="6" t="str">
        <f>HYPERLINK("https://ceds.ed.gov/elementComment.aspx?elementName=American Indian or Alaska Native &amp;elementID=5655", "Click here to submit comment")</f>
        <v>Click here to submit comment</v>
      </c>
    </row>
    <row r="2353" spans="1:16" ht="225">
      <c r="A2353" s="6" t="s">
        <v>6889</v>
      </c>
      <c r="B2353" s="6" t="s">
        <v>6890</v>
      </c>
      <c r="C2353" s="6" t="s">
        <v>6722</v>
      </c>
      <c r="D2353" s="6" t="s">
        <v>392</v>
      </c>
      <c r="E2353" s="6" t="s">
        <v>393</v>
      </c>
      <c r="F2353" s="7" t="s">
        <v>6373</v>
      </c>
      <c r="G2353" s="6" t="s">
        <v>5986</v>
      </c>
      <c r="H2353" s="6"/>
      <c r="I2353" s="6"/>
      <c r="J2353" s="6"/>
      <c r="K2353" s="6" t="s">
        <v>353</v>
      </c>
      <c r="L2353" s="6" t="s">
        <v>394</v>
      </c>
      <c r="M2353" s="6"/>
      <c r="N2353" s="6" t="s">
        <v>392</v>
      </c>
      <c r="O2353" s="6" t="str">
        <f>HYPERLINK("https://ceds.ed.gov/cedselementdetails.aspx?termid=5656")</f>
        <v>https://ceds.ed.gov/cedselementdetails.aspx?termid=5656</v>
      </c>
      <c r="P2353" s="6" t="str">
        <f>HYPERLINK("https://ceds.ed.gov/elementComment.aspx?elementName=Asian &amp;elementID=5656", "Click here to submit comment")</f>
        <v>Click here to submit comment</v>
      </c>
    </row>
    <row r="2354" spans="1:16" ht="225">
      <c r="A2354" s="6" t="s">
        <v>6889</v>
      </c>
      <c r="B2354" s="6" t="s">
        <v>6890</v>
      </c>
      <c r="C2354" s="6" t="s">
        <v>6722</v>
      </c>
      <c r="D2354" s="6" t="s">
        <v>1483</v>
      </c>
      <c r="E2354" s="6" t="s">
        <v>1484</v>
      </c>
      <c r="F2354" s="7" t="s">
        <v>6373</v>
      </c>
      <c r="G2354" s="6" t="s">
        <v>5986</v>
      </c>
      <c r="H2354" s="6"/>
      <c r="I2354" s="6"/>
      <c r="J2354" s="6"/>
      <c r="K2354" s="6" t="s">
        <v>353</v>
      </c>
      <c r="L2354" s="6" t="s">
        <v>1485</v>
      </c>
      <c r="M2354" s="6"/>
      <c r="N2354" s="6" t="s">
        <v>1486</v>
      </c>
      <c r="O2354" s="6" t="str">
        <f>HYPERLINK("https://ceds.ed.gov/cedselementdetails.aspx?termid=5657")</f>
        <v>https://ceds.ed.gov/cedselementdetails.aspx?termid=5657</v>
      </c>
      <c r="P2354" s="6" t="str">
        <f>HYPERLINK("https://ceds.ed.gov/elementComment.aspx?elementName=Black or African American &amp;elementID=5657", "Click here to submit comment")</f>
        <v>Click here to submit comment</v>
      </c>
    </row>
    <row r="2355" spans="1:16" ht="225">
      <c r="A2355" s="6" t="s">
        <v>6889</v>
      </c>
      <c r="B2355" s="6" t="s">
        <v>6890</v>
      </c>
      <c r="C2355" s="6" t="s">
        <v>6722</v>
      </c>
      <c r="D2355" s="6" t="s">
        <v>4202</v>
      </c>
      <c r="E2355" s="6" t="s">
        <v>4203</v>
      </c>
      <c r="F2355" s="7" t="s">
        <v>6373</v>
      </c>
      <c r="G2355" s="6" t="s">
        <v>5986</v>
      </c>
      <c r="H2355" s="6"/>
      <c r="I2355" s="6"/>
      <c r="J2355" s="6"/>
      <c r="K2355" s="6" t="s">
        <v>353</v>
      </c>
      <c r="L2355" s="6" t="s">
        <v>4204</v>
      </c>
      <c r="M2355" s="6"/>
      <c r="N2355" s="6" t="s">
        <v>4205</v>
      </c>
      <c r="O2355" s="6" t="str">
        <f>HYPERLINK("https://ceds.ed.gov/cedselementdetails.aspx?termid=5658")</f>
        <v>https://ceds.ed.gov/cedselementdetails.aspx?termid=5658</v>
      </c>
      <c r="P2355" s="6" t="str">
        <f>HYPERLINK("https://ceds.ed.gov/elementComment.aspx?elementName=Native Hawaiian or Other Pacific Islander &amp;elementID=5658", "Click here to submit comment")</f>
        <v>Click here to submit comment</v>
      </c>
    </row>
    <row r="2356" spans="1:16" ht="225">
      <c r="A2356" s="6" t="s">
        <v>6889</v>
      </c>
      <c r="B2356" s="6" t="s">
        <v>6890</v>
      </c>
      <c r="C2356" s="6" t="s">
        <v>6722</v>
      </c>
      <c r="D2356" s="6" t="s">
        <v>5925</v>
      </c>
      <c r="E2356" s="6" t="s">
        <v>5926</v>
      </c>
      <c r="F2356" s="7" t="s">
        <v>6373</v>
      </c>
      <c r="G2356" s="6" t="s">
        <v>5986</v>
      </c>
      <c r="H2356" s="6"/>
      <c r="I2356" s="6"/>
      <c r="J2356" s="6"/>
      <c r="K2356" s="6" t="s">
        <v>353</v>
      </c>
      <c r="L2356" s="6" t="s">
        <v>5927</v>
      </c>
      <c r="M2356" s="6"/>
      <c r="N2356" s="6" t="s">
        <v>5925</v>
      </c>
      <c r="O2356" s="6" t="str">
        <f>HYPERLINK("https://ceds.ed.gov/cedselementdetails.aspx?termid=5659")</f>
        <v>https://ceds.ed.gov/cedselementdetails.aspx?termid=5659</v>
      </c>
      <c r="P2356" s="6" t="str">
        <f>HYPERLINK("https://ceds.ed.gov/elementComment.aspx?elementName=White &amp;elementID=5659", "Click here to submit comment")</f>
        <v>Click here to submit comment</v>
      </c>
    </row>
    <row r="2357" spans="1:16" ht="225">
      <c r="A2357" s="6" t="s">
        <v>6889</v>
      </c>
      <c r="B2357" s="6" t="s">
        <v>6890</v>
      </c>
      <c r="C2357" s="6" t="s">
        <v>6722</v>
      </c>
      <c r="D2357" s="6" t="s">
        <v>2985</v>
      </c>
      <c r="E2357" s="6" t="s">
        <v>2986</v>
      </c>
      <c r="F2357" s="7" t="s">
        <v>6373</v>
      </c>
      <c r="G2357" s="6" t="s">
        <v>5986</v>
      </c>
      <c r="H2357" s="6"/>
      <c r="I2357" s="6"/>
      <c r="J2357" s="6"/>
      <c r="K2357" s="6" t="s">
        <v>353</v>
      </c>
      <c r="L2357" s="6" t="s">
        <v>2987</v>
      </c>
      <c r="M2357" s="6"/>
      <c r="N2357" s="6" t="s">
        <v>2988</v>
      </c>
      <c r="O2357" s="6" t="str">
        <f>HYPERLINK("https://ceds.ed.gov/cedselementdetails.aspx?termid=5144")</f>
        <v>https://ceds.ed.gov/cedselementdetails.aspx?termid=5144</v>
      </c>
      <c r="P2357" s="6" t="str">
        <f>HYPERLINK("https://ceds.ed.gov/elementComment.aspx?elementName=Hispanic or Latino Ethnicity &amp;elementID=5144", "Click here to submit comment")</f>
        <v>Click here to submit comment</v>
      </c>
    </row>
    <row r="2358" spans="1:16" ht="270">
      <c r="A2358" s="6" t="s">
        <v>6889</v>
      </c>
      <c r="B2358" s="6" t="s">
        <v>6890</v>
      </c>
      <c r="C2358" s="6" t="s">
        <v>6701</v>
      </c>
      <c r="D2358" s="6" t="s">
        <v>1599</v>
      </c>
      <c r="E2358" s="6" t="s">
        <v>1600</v>
      </c>
      <c r="F2358" s="6" t="s">
        <v>5963</v>
      </c>
      <c r="G2358" s="6" t="s">
        <v>218</v>
      </c>
      <c r="H2358" s="6"/>
      <c r="I2358" s="6"/>
      <c r="J2358" s="6"/>
      <c r="K2358" s="6"/>
      <c r="L2358" s="6" t="s">
        <v>1601</v>
      </c>
      <c r="M2358" s="6" t="s">
        <v>1602</v>
      </c>
      <c r="N2358" s="6" t="s">
        <v>1603</v>
      </c>
      <c r="O2358" s="6" t="str">
        <f>HYPERLINK("https://ceds.ed.gov/cedselementdetails.aspx?termid=5084")</f>
        <v>https://ceds.ed.gov/cedselementdetails.aspx?termid=5084</v>
      </c>
      <c r="P2358" s="6" t="str">
        <f>HYPERLINK("https://ceds.ed.gov/elementComment.aspx?elementName=Career-Technical-Adult Education Displaced Homemaker Indicator &amp;elementID=5084", "Click here to submit comment")</f>
        <v>Click here to submit comment</v>
      </c>
    </row>
    <row r="2359" spans="1:16" ht="45">
      <c r="A2359" s="6" t="s">
        <v>6889</v>
      </c>
      <c r="B2359" s="6" t="s">
        <v>6890</v>
      </c>
      <c r="C2359" s="6" t="s">
        <v>6701</v>
      </c>
      <c r="D2359" s="6" t="s">
        <v>2208</v>
      </c>
      <c r="E2359" s="6" t="s">
        <v>2209</v>
      </c>
      <c r="F2359" s="6" t="s">
        <v>5963</v>
      </c>
      <c r="G2359" s="6" t="s">
        <v>218</v>
      </c>
      <c r="H2359" s="6" t="s">
        <v>3</v>
      </c>
      <c r="I2359" s="6"/>
      <c r="J2359" s="6"/>
      <c r="K2359" s="6"/>
      <c r="L2359" s="6" t="s">
        <v>2210</v>
      </c>
      <c r="M2359" s="6"/>
      <c r="N2359" s="6" t="s">
        <v>2211</v>
      </c>
      <c r="O2359" s="6" t="str">
        <f>HYPERLINK("https://ceds.ed.gov/cedselementdetails.aspx?termid=5569")</f>
        <v>https://ceds.ed.gov/cedselementdetails.aspx?termid=5569</v>
      </c>
      <c r="P2359" s="6" t="str">
        <f>HYPERLINK("https://ceds.ed.gov/elementComment.aspx?elementName=Disability Status &amp;elementID=5569", "Click here to submit comment")</f>
        <v>Click here to submit comment</v>
      </c>
    </row>
    <row r="2360" spans="1:16" ht="135">
      <c r="A2360" s="6" t="s">
        <v>6889</v>
      </c>
      <c r="B2360" s="6" t="s">
        <v>6890</v>
      </c>
      <c r="C2360" s="6" t="s">
        <v>6701</v>
      </c>
      <c r="D2360" s="6" t="s">
        <v>2246</v>
      </c>
      <c r="E2360" s="6" t="s">
        <v>2247</v>
      </c>
      <c r="F2360" s="6" t="s">
        <v>5963</v>
      </c>
      <c r="G2360" s="6"/>
      <c r="H2360" s="6"/>
      <c r="I2360" s="6"/>
      <c r="J2360" s="6"/>
      <c r="K2360" s="6"/>
      <c r="L2360" s="6" t="s">
        <v>2249</v>
      </c>
      <c r="M2360" s="6"/>
      <c r="N2360" s="6" t="s">
        <v>2250</v>
      </c>
      <c r="O2360" s="6" t="str">
        <f>HYPERLINK("https://ceds.ed.gov/cedselementdetails.aspx?termid=5759")</f>
        <v>https://ceds.ed.gov/cedselementdetails.aspx?termid=5759</v>
      </c>
      <c r="P2360" s="6" t="str">
        <f>HYPERLINK("https://ceds.ed.gov/elementComment.aspx?elementName=Dislocated Worker Status &amp;elementID=5759", "Click here to submit comment")</f>
        <v>Click here to submit comment</v>
      </c>
    </row>
    <row r="2361" spans="1:16" ht="285">
      <c r="A2361" s="6" t="s">
        <v>6889</v>
      </c>
      <c r="B2361" s="6" t="s">
        <v>6890</v>
      </c>
      <c r="C2361" s="6" t="s">
        <v>6701</v>
      </c>
      <c r="D2361" s="6" t="s">
        <v>3040</v>
      </c>
      <c r="E2361" s="6" t="s">
        <v>3041</v>
      </c>
      <c r="F2361" s="6" t="s">
        <v>5963</v>
      </c>
      <c r="G2361" s="6" t="s">
        <v>6200</v>
      </c>
      <c r="H2361" s="6" t="s">
        <v>3</v>
      </c>
      <c r="I2361" s="6"/>
      <c r="J2361" s="6"/>
      <c r="K2361" s="6"/>
      <c r="L2361" s="6" t="s">
        <v>3042</v>
      </c>
      <c r="M2361" s="6"/>
      <c r="N2361" s="6" t="s">
        <v>3043</v>
      </c>
      <c r="O2361" s="6" t="str">
        <f>HYPERLINK("https://ceds.ed.gov/cedselementdetails.aspx?termid=5151")</f>
        <v>https://ceds.ed.gov/cedselementdetails.aspx?termid=5151</v>
      </c>
      <c r="P2361" s="6" t="str">
        <f>HYPERLINK("https://ceds.ed.gov/elementComment.aspx?elementName=IDEA Indicator &amp;elementID=5151", "Click here to submit comment")</f>
        <v>Click here to submit comment</v>
      </c>
    </row>
    <row r="2362" spans="1:16" ht="180">
      <c r="A2362" s="6" t="s">
        <v>6889</v>
      </c>
      <c r="B2362" s="6" t="s">
        <v>6890</v>
      </c>
      <c r="C2362" s="6" t="s">
        <v>6701</v>
      </c>
      <c r="D2362" s="6" t="s">
        <v>4056</v>
      </c>
      <c r="E2362" s="6" t="s">
        <v>4057</v>
      </c>
      <c r="F2362" s="6" t="s">
        <v>5963</v>
      </c>
      <c r="G2362" s="6"/>
      <c r="H2362" s="6"/>
      <c r="I2362" s="6"/>
      <c r="J2362" s="6"/>
      <c r="K2362" s="6"/>
      <c r="L2362" s="6" t="s">
        <v>4058</v>
      </c>
      <c r="M2362" s="6"/>
      <c r="N2362" s="6" t="s">
        <v>4059</v>
      </c>
      <c r="O2362" s="6" t="str">
        <f>HYPERLINK("https://ceds.ed.gov/cedselementdetails.aspx?termid=5758")</f>
        <v>https://ceds.ed.gov/cedselementdetails.aspx?termid=5758</v>
      </c>
      <c r="P2362" s="6" t="str">
        <f>HYPERLINK("https://ceds.ed.gov/elementComment.aspx?elementName=Low-income Status &amp;elementID=5758", "Click here to submit comment")</f>
        <v>Click here to submit comment</v>
      </c>
    </row>
    <row r="2363" spans="1:16" ht="75">
      <c r="A2363" s="6" t="s">
        <v>6889</v>
      </c>
      <c r="B2363" s="6" t="s">
        <v>6890</v>
      </c>
      <c r="C2363" s="6" t="s">
        <v>6701</v>
      </c>
      <c r="D2363" s="6" t="s">
        <v>4883</v>
      </c>
      <c r="E2363" s="6" t="s">
        <v>4884</v>
      </c>
      <c r="F2363" s="6" t="s">
        <v>5963</v>
      </c>
      <c r="G2363" s="6"/>
      <c r="H2363" s="6"/>
      <c r="I2363" s="6"/>
      <c r="J2363" s="6"/>
      <c r="K2363" s="6"/>
      <c r="L2363" s="6" t="s">
        <v>4885</v>
      </c>
      <c r="M2363" s="6"/>
      <c r="N2363" s="6" t="s">
        <v>4886</v>
      </c>
      <c r="O2363" s="6" t="str">
        <f>HYPERLINK("https://ceds.ed.gov/cedselementdetails.aspx?termid=5760")</f>
        <v>https://ceds.ed.gov/cedselementdetails.aspx?termid=5760</v>
      </c>
      <c r="P2363" s="6" t="str">
        <f>HYPERLINK("https://ceds.ed.gov/elementComment.aspx?elementName=Public Assistance Status &amp;elementID=5760", "Click here to submit comment")</f>
        <v>Click here to submit comment</v>
      </c>
    </row>
    <row r="2364" spans="1:16" ht="90">
      <c r="A2364" s="6" t="s">
        <v>6889</v>
      </c>
      <c r="B2364" s="6" t="s">
        <v>6890</v>
      </c>
      <c r="C2364" s="6" t="s">
        <v>6701</v>
      </c>
      <c r="D2364" s="6" t="s">
        <v>5131</v>
      </c>
      <c r="E2364" s="6" t="s">
        <v>5132</v>
      </c>
      <c r="F2364" s="6" t="s">
        <v>5963</v>
      </c>
      <c r="G2364" s="6"/>
      <c r="H2364" s="6"/>
      <c r="I2364" s="6"/>
      <c r="J2364" s="6"/>
      <c r="K2364" s="6"/>
      <c r="L2364" s="6" t="s">
        <v>5133</v>
      </c>
      <c r="M2364" s="6"/>
      <c r="N2364" s="6" t="s">
        <v>5134</v>
      </c>
      <c r="O2364" s="6" t="str">
        <f>HYPERLINK("https://ceds.ed.gov/cedselementdetails.aspx?termid=5761")</f>
        <v>https://ceds.ed.gov/cedselementdetails.aspx?termid=5761</v>
      </c>
      <c r="P2364" s="6" t="str">
        <f>HYPERLINK("https://ceds.ed.gov/elementComment.aspx?elementName=Rural Residency Status &amp;elementID=5761", "Click here to submit comment")</f>
        <v>Click here to submit comment</v>
      </c>
    </row>
    <row r="2365" spans="1:16" ht="105">
      <c r="A2365" s="6" t="s">
        <v>6889</v>
      </c>
      <c r="B2365" s="6" t="s">
        <v>6890</v>
      </c>
      <c r="C2365" s="6" t="s">
        <v>6701</v>
      </c>
      <c r="D2365" s="6" t="s">
        <v>5370</v>
      </c>
      <c r="E2365" s="6" t="s">
        <v>5371</v>
      </c>
      <c r="F2365" s="6" t="s">
        <v>5963</v>
      </c>
      <c r="G2365" s="6" t="s">
        <v>6101</v>
      </c>
      <c r="H2365" s="6" t="s">
        <v>3</v>
      </c>
      <c r="I2365" s="6"/>
      <c r="J2365" s="6"/>
      <c r="K2365" s="6"/>
      <c r="L2365" s="6" t="s">
        <v>5372</v>
      </c>
      <c r="M2365" s="6"/>
      <c r="N2365" s="6" t="s">
        <v>5373</v>
      </c>
      <c r="O2365" s="6" t="str">
        <f>HYPERLINK("https://ceds.ed.gov/cedselementdetails.aspx?termid=5573")</f>
        <v>https://ceds.ed.gov/cedselementdetails.aspx?termid=5573</v>
      </c>
      <c r="P2365" s="6" t="str">
        <f>HYPERLINK("https://ceds.ed.gov/elementComment.aspx?elementName=Single Parent Or Single Pregnant Woman Status &amp;elementID=5573", "Click here to submit comment")</f>
        <v>Click here to submit comment</v>
      </c>
    </row>
    <row r="2366" spans="1:16" ht="225">
      <c r="A2366" s="6" t="s">
        <v>6889</v>
      </c>
      <c r="B2366" s="6" t="s">
        <v>6890</v>
      </c>
      <c r="C2366" s="6" t="s">
        <v>6770</v>
      </c>
      <c r="D2366" s="6" t="s">
        <v>2487</v>
      </c>
      <c r="E2366" s="6" t="s">
        <v>2488</v>
      </c>
      <c r="F2366" s="6" t="s">
        <v>6150</v>
      </c>
      <c r="G2366" s="6" t="s">
        <v>2476</v>
      </c>
      <c r="H2366" s="6" t="s">
        <v>66</v>
      </c>
      <c r="I2366" s="6"/>
      <c r="J2366" s="6" t="s">
        <v>2477</v>
      </c>
      <c r="K2366" s="6" t="s">
        <v>2489</v>
      </c>
      <c r="L2366" s="6" t="s">
        <v>2490</v>
      </c>
      <c r="M2366" s="6"/>
      <c r="N2366" s="6" t="s">
        <v>2491</v>
      </c>
      <c r="O2366" s="6" t="str">
        <f>HYPERLINK("https://ceds.ed.gov/cedselementdetails.aspx?termid=5989")</f>
        <v>https://ceds.ed.gov/cedselementdetails.aspx?termid=5989</v>
      </c>
      <c r="P2366" s="6" t="str">
        <f>HYPERLINK("https://ceds.ed.gov/elementComment.aspx?elementName=Employed While Enrolled &amp;elementID=5989", "Click here to submit comment")</f>
        <v>Click here to submit comment</v>
      </c>
    </row>
    <row r="2367" spans="1:16" ht="60">
      <c r="A2367" s="6" t="s">
        <v>6889</v>
      </c>
      <c r="B2367" s="6" t="s">
        <v>6890</v>
      </c>
      <c r="C2367" s="6" t="s">
        <v>6770</v>
      </c>
      <c r="D2367" s="6" t="s">
        <v>2502</v>
      </c>
      <c r="E2367" s="6" t="s">
        <v>2503</v>
      </c>
      <c r="F2367" s="6" t="s">
        <v>2504</v>
      </c>
      <c r="G2367" s="6"/>
      <c r="H2367" s="6"/>
      <c r="I2367" s="6" t="s">
        <v>2505</v>
      </c>
      <c r="J2367" s="6"/>
      <c r="K2367" s="6"/>
      <c r="L2367" s="6" t="s">
        <v>2506</v>
      </c>
      <c r="M2367" s="6"/>
      <c r="N2367" s="6" t="s">
        <v>2507</v>
      </c>
      <c r="O2367" s="6" t="str">
        <f>HYPERLINK("https://ceds.ed.gov/cedselementdetails.aspx?termid=6070")</f>
        <v>https://ceds.ed.gov/cedselementdetails.aspx?termid=6070</v>
      </c>
      <c r="P2367" s="6" t="str">
        <f>HYPERLINK("https://ceds.ed.gov/elementComment.aspx?elementName=Employment NAICS Code &amp;elementID=6070", "Click here to submit comment")</f>
        <v>Click here to submit comment</v>
      </c>
    </row>
    <row r="2368" spans="1:16" ht="270">
      <c r="A2368" s="6" t="s">
        <v>6889</v>
      </c>
      <c r="B2368" s="6" t="s">
        <v>6890</v>
      </c>
      <c r="C2368" s="6" t="s">
        <v>6770</v>
      </c>
      <c r="D2368" s="6" t="s">
        <v>2474</v>
      </c>
      <c r="E2368" s="6" t="s">
        <v>2475</v>
      </c>
      <c r="F2368" s="6" t="s">
        <v>6150</v>
      </c>
      <c r="G2368" s="6" t="s">
        <v>2476</v>
      </c>
      <c r="H2368" s="6" t="s">
        <v>66</v>
      </c>
      <c r="I2368" s="6"/>
      <c r="J2368" s="6" t="s">
        <v>2477</v>
      </c>
      <c r="K2368" s="6" t="s">
        <v>2478</v>
      </c>
      <c r="L2368" s="6" t="s">
        <v>2479</v>
      </c>
      <c r="M2368" s="6"/>
      <c r="N2368" s="6" t="s">
        <v>2480</v>
      </c>
      <c r="O2368" s="6" t="str">
        <f>HYPERLINK("https://ceds.ed.gov/cedselementdetails.aspx?termid=5990")</f>
        <v>https://ceds.ed.gov/cedselementdetails.aspx?termid=5990</v>
      </c>
      <c r="P2368" s="6" t="str">
        <f>HYPERLINK("https://ceds.ed.gov/elementComment.aspx?elementName=Employed After Exit &amp;elementID=5990", "Click here to submit comment")</f>
        <v>Click here to submit comment</v>
      </c>
    </row>
    <row r="2369" spans="1:16" ht="60">
      <c r="A2369" s="6" t="s">
        <v>6889</v>
      </c>
      <c r="B2369" s="6" t="s">
        <v>6890</v>
      </c>
      <c r="C2369" s="6" t="s">
        <v>6770</v>
      </c>
      <c r="D2369" s="6" t="s">
        <v>2492</v>
      </c>
      <c r="E2369" s="6" t="s">
        <v>2493</v>
      </c>
      <c r="F2369" s="6" t="s">
        <v>13</v>
      </c>
      <c r="G2369" s="6" t="s">
        <v>202</v>
      </c>
      <c r="H2369" s="6" t="s">
        <v>3</v>
      </c>
      <c r="I2369" s="6" t="s">
        <v>73</v>
      </c>
      <c r="J2369" s="6"/>
      <c r="K2369" s="6"/>
      <c r="L2369" s="6" t="s">
        <v>2494</v>
      </c>
      <c r="M2369" s="6"/>
      <c r="N2369" s="6" t="s">
        <v>2495</v>
      </c>
      <c r="O2369" s="6" t="str">
        <f>HYPERLINK("https://ceds.ed.gov/cedselementdetails.aspx?termid=5794")</f>
        <v>https://ceds.ed.gov/cedselementdetails.aspx?termid=5794</v>
      </c>
      <c r="P2369" s="6" t="str">
        <f>HYPERLINK("https://ceds.ed.gov/elementComment.aspx?elementName=Employment End Date &amp;elementID=5794", "Click here to submit comment")</f>
        <v>Click here to submit comment</v>
      </c>
    </row>
    <row r="2370" spans="1:16" ht="60">
      <c r="A2370" s="6" t="s">
        <v>6889</v>
      </c>
      <c r="B2370" s="6" t="s">
        <v>6890</v>
      </c>
      <c r="C2370" s="6" t="s">
        <v>6770</v>
      </c>
      <c r="D2370" s="6" t="s">
        <v>2534</v>
      </c>
      <c r="E2370" s="6" t="s">
        <v>2535</v>
      </c>
      <c r="F2370" s="6" t="s">
        <v>13</v>
      </c>
      <c r="G2370" s="6" t="s">
        <v>6154</v>
      </c>
      <c r="H2370" s="6" t="s">
        <v>3</v>
      </c>
      <c r="I2370" s="6" t="s">
        <v>73</v>
      </c>
      <c r="J2370" s="6"/>
      <c r="K2370" s="6"/>
      <c r="L2370" s="6" t="s">
        <v>2536</v>
      </c>
      <c r="M2370" s="6"/>
      <c r="N2370" s="6" t="s">
        <v>2537</v>
      </c>
      <c r="O2370" s="6" t="str">
        <f>HYPERLINK("https://ceds.ed.gov/cedselementdetails.aspx?termid=5345")</f>
        <v>https://ceds.ed.gov/cedselementdetails.aspx?termid=5345</v>
      </c>
      <c r="P2370" s="6" t="str">
        <f>HYPERLINK("https://ceds.ed.gov/elementComment.aspx?elementName=Employment Start Date &amp;elementID=5345", "Click here to submit comment")</f>
        <v>Click here to submit comment</v>
      </c>
    </row>
    <row r="2371" spans="1:16" ht="105">
      <c r="A2371" s="6" t="s">
        <v>6889</v>
      </c>
      <c r="B2371" s="6" t="s">
        <v>6890</v>
      </c>
      <c r="C2371" s="6" t="s">
        <v>6886</v>
      </c>
      <c r="D2371" s="6" t="s">
        <v>246</v>
      </c>
      <c r="E2371" s="6" t="s">
        <v>247</v>
      </c>
      <c r="F2371" s="7" t="s">
        <v>6361</v>
      </c>
      <c r="G2371" s="6"/>
      <c r="H2371" s="6" t="s">
        <v>66</v>
      </c>
      <c r="I2371" s="6"/>
      <c r="J2371" s="6" t="s">
        <v>193</v>
      </c>
      <c r="K2371" s="6"/>
      <c r="L2371" s="6" t="s">
        <v>249</v>
      </c>
      <c r="M2371" s="6"/>
      <c r="N2371" s="6" t="s">
        <v>250</v>
      </c>
      <c r="O2371" s="6" t="str">
        <f>HYPERLINK("https://ceds.ed.gov/cedselementdetails.aspx?termid=5765")</f>
        <v>https://ceds.ed.gov/cedselementdetails.aspx?termid=5765</v>
      </c>
      <c r="P2371" s="6" t="str">
        <f>HYPERLINK("https://ceds.ed.gov/elementComment.aspx?elementName=Adult Education Instructional Program Type &amp;elementID=5765", "Click here to submit comment")</f>
        <v>Click here to submit comment</v>
      </c>
    </row>
    <row r="2372" spans="1:16" ht="45">
      <c r="A2372" s="6" t="s">
        <v>6889</v>
      </c>
      <c r="B2372" s="6" t="s">
        <v>6890</v>
      </c>
      <c r="C2372" s="6" t="s">
        <v>6886</v>
      </c>
      <c r="D2372" s="6" t="s">
        <v>2550</v>
      </c>
      <c r="E2372" s="6" t="s">
        <v>2551</v>
      </c>
      <c r="F2372" s="6" t="s">
        <v>13</v>
      </c>
      <c r="G2372" s="6" t="s">
        <v>5988</v>
      </c>
      <c r="H2372" s="6"/>
      <c r="I2372" s="6" t="s">
        <v>73</v>
      </c>
      <c r="J2372" s="6"/>
      <c r="K2372" s="6"/>
      <c r="L2372" s="6" t="s">
        <v>2552</v>
      </c>
      <c r="M2372" s="6"/>
      <c r="N2372" s="6" t="s">
        <v>2553</v>
      </c>
      <c r="O2372" s="6" t="str">
        <f>HYPERLINK("https://ceds.ed.gov/cedselementdetails.aspx?termid=5324")</f>
        <v>https://ceds.ed.gov/cedselementdetails.aspx?termid=5324</v>
      </c>
      <c r="P2372" s="6" t="str">
        <f>HYPERLINK("https://ceds.ed.gov/elementComment.aspx?elementName=Enrollment Date &amp;elementID=5324", "Click here to submit comment")</f>
        <v>Click here to submit comment</v>
      </c>
    </row>
    <row r="2373" spans="1:16" ht="60">
      <c r="A2373" s="6" t="s">
        <v>6889</v>
      </c>
      <c r="B2373" s="6" t="s">
        <v>6890</v>
      </c>
      <c r="C2373" s="6" t="s">
        <v>6886</v>
      </c>
      <c r="D2373" s="6" t="s">
        <v>2578</v>
      </c>
      <c r="E2373" s="6" t="s">
        <v>2579</v>
      </c>
      <c r="F2373" s="6" t="s">
        <v>13</v>
      </c>
      <c r="G2373" s="6" t="s">
        <v>24</v>
      </c>
      <c r="H2373" s="6"/>
      <c r="I2373" s="6" t="s">
        <v>73</v>
      </c>
      <c r="J2373" s="6"/>
      <c r="K2373" s="6"/>
      <c r="L2373" s="6" t="s">
        <v>2580</v>
      </c>
      <c r="M2373" s="6"/>
      <c r="N2373" s="6" t="s">
        <v>2581</v>
      </c>
      <c r="O2373" s="6" t="str">
        <f>HYPERLINK("https://ceds.ed.gov/cedselementdetails.aspx?termid=5107")</f>
        <v>https://ceds.ed.gov/cedselementdetails.aspx?termid=5107</v>
      </c>
      <c r="P2373" s="6" t="str">
        <f>HYPERLINK("https://ceds.ed.gov/elementComment.aspx?elementName=Exit Date &amp;elementID=5107", "Click here to submit comment")</f>
        <v>Click here to submit comment</v>
      </c>
    </row>
    <row r="2374" spans="1:16" ht="255">
      <c r="A2374" s="6" t="s">
        <v>6889</v>
      </c>
      <c r="B2374" s="6" t="s">
        <v>6890</v>
      </c>
      <c r="C2374" s="6" t="s">
        <v>6886</v>
      </c>
      <c r="D2374" s="6" t="s">
        <v>272</v>
      </c>
      <c r="E2374" s="6" t="s">
        <v>273</v>
      </c>
      <c r="F2374" s="7" t="s">
        <v>6365</v>
      </c>
      <c r="G2374" s="6"/>
      <c r="H2374" s="6" t="s">
        <v>66</v>
      </c>
      <c r="I2374" s="6"/>
      <c r="J2374" s="6" t="s">
        <v>274</v>
      </c>
      <c r="K2374" s="6" t="s">
        <v>275</v>
      </c>
      <c r="L2374" s="6" t="s">
        <v>276</v>
      </c>
      <c r="M2374" s="6"/>
      <c r="N2374" s="6" t="s">
        <v>277</v>
      </c>
      <c r="O2374" s="6" t="str">
        <f>HYPERLINK("https://ceds.ed.gov/cedselementdetails.aspx?termid=5766")</f>
        <v>https://ceds.ed.gov/cedselementdetails.aspx?termid=5766</v>
      </c>
      <c r="P2374" s="6" t="str">
        <f>HYPERLINK("https://ceds.ed.gov/elementComment.aspx?elementName=Adult Education Special Program Type &amp;elementID=5766", "Click here to submit comment")</f>
        <v>Click here to submit comment</v>
      </c>
    </row>
    <row r="2375" spans="1:16" ht="390">
      <c r="A2375" s="6" t="s">
        <v>6889</v>
      </c>
      <c r="B2375" s="6" t="s">
        <v>6890</v>
      </c>
      <c r="C2375" s="6" t="s">
        <v>6886</v>
      </c>
      <c r="D2375" s="6" t="s">
        <v>288</v>
      </c>
      <c r="E2375" s="6" t="s">
        <v>289</v>
      </c>
      <c r="F2375" s="7" t="s">
        <v>6368</v>
      </c>
      <c r="G2375" s="6"/>
      <c r="H2375" s="6"/>
      <c r="I2375" s="6"/>
      <c r="J2375" s="6"/>
      <c r="K2375" s="6"/>
      <c r="L2375" s="6" t="s">
        <v>290</v>
      </c>
      <c r="M2375" s="6"/>
      <c r="N2375" s="6" t="s">
        <v>291</v>
      </c>
      <c r="O2375" s="6" t="str">
        <f>HYPERLINK("https://ceds.ed.gov/cedselementdetails.aspx?termid=5763")</f>
        <v>https://ceds.ed.gov/cedselementdetails.aspx?termid=5763</v>
      </c>
      <c r="P2375" s="6" t="str">
        <f>HYPERLINK("https://ceds.ed.gov/elementComment.aspx?elementName=Adult Educational Functioning Level at Intake &amp;elementID=5763", "Click here to submit comment")</f>
        <v>Click here to submit comment</v>
      </c>
    </row>
    <row r="2376" spans="1:16" ht="390">
      <c r="A2376" s="6" t="s">
        <v>6889</v>
      </c>
      <c r="B2376" s="6" t="s">
        <v>6890</v>
      </c>
      <c r="C2376" s="6" t="s">
        <v>6886</v>
      </c>
      <c r="D2376" s="6" t="s">
        <v>292</v>
      </c>
      <c r="E2376" s="6" t="s">
        <v>293</v>
      </c>
      <c r="F2376" s="7" t="s">
        <v>6368</v>
      </c>
      <c r="G2376" s="6"/>
      <c r="H2376" s="6"/>
      <c r="I2376" s="6"/>
      <c r="J2376" s="6"/>
      <c r="K2376" s="6"/>
      <c r="L2376" s="6" t="s">
        <v>294</v>
      </c>
      <c r="M2376" s="6"/>
      <c r="N2376" s="6" t="s">
        <v>295</v>
      </c>
      <c r="O2376" s="6" t="str">
        <f>HYPERLINK("https://ceds.ed.gov/cedselementdetails.aspx?termid=5764")</f>
        <v>https://ceds.ed.gov/cedselementdetails.aspx?termid=5764</v>
      </c>
      <c r="P2376" s="6" t="str">
        <f>HYPERLINK("https://ceds.ed.gov/elementComment.aspx?elementName=Adult Educational Functioning Level at Posttest &amp;elementID=5764", "Click here to submit comment")</f>
        <v>Click here to submit comment</v>
      </c>
    </row>
    <row r="2377" spans="1:16" ht="255">
      <c r="A2377" s="6" t="s">
        <v>6889</v>
      </c>
      <c r="B2377" s="6" t="s">
        <v>6890</v>
      </c>
      <c r="C2377" s="6" t="s">
        <v>6886</v>
      </c>
      <c r="D2377" s="6" t="s">
        <v>2838</v>
      </c>
      <c r="E2377" s="6" t="s">
        <v>2839</v>
      </c>
      <c r="F2377" s="7" t="s">
        <v>6519</v>
      </c>
      <c r="G2377" s="6"/>
      <c r="H2377" s="6"/>
      <c r="I2377" s="6"/>
      <c r="J2377" s="6"/>
      <c r="K2377" s="6"/>
      <c r="L2377" s="6" t="s">
        <v>2840</v>
      </c>
      <c r="M2377" s="6"/>
      <c r="N2377" s="6" t="s">
        <v>2841</v>
      </c>
      <c r="O2377" s="6" t="str">
        <f>HYPERLINK("https://ceds.ed.gov/cedselementdetails.aspx?termid=5767")</f>
        <v>https://ceds.ed.gov/cedselementdetails.aspx?termid=5767</v>
      </c>
      <c r="P2377" s="6" t="str">
        <f>HYPERLINK("https://ceds.ed.gov/elementComment.aspx?elementName=Goals for Attending Adult Education &amp;elementID=5767", "Click here to submit comment")</f>
        <v>Click here to submit comment</v>
      </c>
    </row>
    <row r="2378" spans="1:16" ht="120">
      <c r="A2378" s="6" t="s">
        <v>6889</v>
      </c>
      <c r="B2378" s="6" t="s">
        <v>6890</v>
      </c>
      <c r="C2378" s="6" t="s">
        <v>6886</v>
      </c>
      <c r="D2378" s="6" t="s">
        <v>251</v>
      </c>
      <c r="E2378" s="6" t="s">
        <v>252</v>
      </c>
      <c r="F2378" s="7" t="s">
        <v>6362</v>
      </c>
      <c r="G2378" s="6"/>
      <c r="H2378" s="6"/>
      <c r="I2378" s="6"/>
      <c r="J2378" s="6"/>
      <c r="K2378" s="6"/>
      <c r="L2378" s="6" t="s">
        <v>253</v>
      </c>
      <c r="M2378" s="6"/>
      <c r="N2378" s="6" t="s">
        <v>254</v>
      </c>
      <c r="O2378" s="6" t="str">
        <f>HYPERLINK("https://ceds.ed.gov/cedselementdetails.aspx?termid=5768")</f>
        <v>https://ceds.ed.gov/cedselementdetails.aspx?termid=5768</v>
      </c>
      <c r="P2378" s="6" t="str">
        <f>HYPERLINK("https://ceds.ed.gov/elementComment.aspx?elementName=Adult Education Postsecondary Transition Action &amp;elementID=5768", "Click here to submit comment")</f>
        <v>Click here to submit comment</v>
      </c>
    </row>
    <row r="2379" spans="1:16" ht="75">
      <c r="A2379" s="6" t="s">
        <v>6889</v>
      </c>
      <c r="B2379" s="6" t="s">
        <v>6890</v>
      </c>
      <c r="C2379" s="6" t="s">
        <v>6886</v>
      </c>
      <c r="D2379" s="6" t="s">
        <v>255</v>
      </c>
      <c r="E2379" s="6" t="s">
        <v>256</v>
      </c>
      <c r="F2379" s="6" t="s">
        <v>13</v>
      </c>
      <c r="G2379" s="6"/>
      <c r="H2379" s="6"/>
      <c r="I2379" s="6" t="s">
        <v>73</v>
      </c>
      <c r="J2379" s="6"/>
      <c r="K2379" s="6"/>
      <c r="L2379" s="6" t="s">
        <v>257</v>
      </c>
      <c r="M2379" s="6"/>
      <c r="N2379" s="6" t="s">
        <v>258</v>
      </c>
      <c r="O2379" s="6" t="str">
        <f>HYPERLINK("https://ceds.ed.gov/cedselementdetails.aspx?termid=5769")</f>
        <v>https://ceds.ed.gov/cedselementdetails.aspx?termid=5769</v>
      </c>
      <c r="P2379" s="6" t="str">
        <f>HYPERLINK("https://ceds.ed.gov/elementComment.aspx?elementName=Adult Education Postsecondary Transition Date &amp;elementID=5769", "Click here to submit comment")</f>
        <v>Click here to submit comment</v>
      </c>
    </row>
    <row r="2380" spans="1:16" ht="45">
      <c r="A2380" s="6" t="s">
        <v>6889</v>
      </c>
      <c r="B2380" s="6" t="s">
        <v>6890</v>
      </c>
      <c r="C2380" s="6" t="s">
        <v>6886</v>
      </c>
      <c r="D2380" s="6" t="s">
        <v>4878</v>
      </c>
      <c r="E2380" s="6" t="s">
        <v>4879</v>
      </c>
      <c r="F2380" s="6" t="s">
        <v>13</v>
      </c>
      <c r="G2380" s="6"/>
      <c r="H2380" s="6"/>
      <c r="I2380" s="6" t="s">
        <v>4880</v>
      </c>
      <c r="J2380" s="6"/>
      <c r="K2380" s="6"/>
      <c r="L2380" s="6" t="s">
        <v>4881</v>
      </c>
      <c r="M2380" s="6"/>
      <c r="N2380" s="6" t="s">
        <v>4882</v>
      </c>
      <c r="O2380" s="6" t="str">
        <f>HYPERLINK("https://ceds.ed.gov/cedselementdetails.aspx?termid=5776")</f>
        <v>https://ceds.ed.gov/cedselementdetails.aspx?termid=5776</v>
      </c>
      <c r="P2380" s="6" t="str">
        <f>HYPERLINK("https://ceds.ed.gov/elementComment.aspx?elementName=Proxy Contact Hours &amp;elementID=5776", "Click here to submit comment")</f>
        <v>Click here to submit comment</v>
      </c>
    </row>
    <row r="2381" spans="1:16" ht="409.5">
      <c r="A2381" s="6" t="s">
        <v>6889</v>
      </c>
      <c r="B2381" s="6" t="s">
        <v>6890</v>
      </c>
      <c r="C2381" s="6" t="s">
        <v>6886</v>
      </c>
      <c r="D2381" s="6" t="s">
        <v>1577</v>
      </c>
      <c r="E2381" s="6" t="s">
        <v>1578</v>
      </c>
      <c r="F2381" s="7" t="s">
        <v>6415</v>
      </c>
      <c r="G2381" s="6"/>
      <c r="H2381" s="6" t="s">
        <v>54</v>
      </c>
      <c r="I2381" s="6"/>
      <c r="J2381" s="6"/>
      <c r="K2381" s="6" t="s">
        <v>1579</v>
      </c>
      <c r="L2381" s="6" t="s">
        <v>1580</v>
      </c>
      <c r="M2381" s="6"/>
      <c r="N2381" s="6" t="s">
        <v>1581</v>
      </c>
      <c r="O2381" s="6" t="str">
        <f>HYPERLINK("https://ceds.ed.gov/cedselementdetails.aspx?termid=6254")</f>
        <v>https://ceds.ed.gov/cedselementdetails.aspx?termid=6254</v>
      </c>
      <c r="P2381" s="6" t="str">
        <f>HYPERLINK("https://ceds.ed.gov/elementComment.aspx?elementName=Career Cluster &amp;elementID=6254", "Click here to submit comment")</f>
        <v>Click here to submit comment</v>
      </c>
    </row>
    <row r="2382" spans="1:16" ht="75">
      <c r="A2382" s="6" t="s">
        <v>6889</v>
      </c>
      <c r="B2382" s="6" t="s">
        <v>6890</v>
      </c>
      <c r="C2382" s="6" t="s">
        <v>6886</v>
      </c>
      <c r="D2382" s="6" t="s">
        <v>1590</v>
      </c>
      <c r="E2382" s="6" t="s">
        <v>1591</v>
      </c>
      <c r="F2382" s="6" t="s">
        <v>5963</v>
      </c>
      <c r="G2382" s="6"/>
      <c r="H2382" s="6" t="s">
        <v>54</v>
      </c>
      <c r="I2382" s="6"/>
      <c r="J2382" s="6"/>
      <c r="K2382" s="6"/>
      <c r="L2382" s="6" t="s">
        <v>1592</v>
      </c>
      <c r="M2382" s="6"/>
      <c r="N2382" s="6" t="s">
        <v>1593</v>
      </c>
      <c r="O2382" s="6" t="str">
        <f>HYPERLINK("https://ceds.ed.gov/cedselementdetails.aspx?termid=6257")</f>
        <v>https://ceds.ed.gov/cedselementdetails.aspx?termid=6257</v>
      </c>
      <c r="P2382" s="6" t="str">
        <f>HYPERLINK("https://ceds.ed.gov/elementComment.aspx?elementName=Career Pathways Program Participation Indicator &amp;elementID=6257", "Click here to submit comment")</f>
        <v>Click here to submit comment</v>
      </c>
    </row>
    <row r="2383" spans="1:16" ht="150">
      <c r="A2383" s="6" t="s">
        <v>6889</v>
      </c>
      <c r="B2383" s="6" t="s">
        <v>6890</v>
      </c>
      <c r="C2383" s="6" t="s">
        <v>6886</v>
      </c>
      <c r="D2383" s="6" t="s">
        <v>1796</v>
      </c>
      <c r="E2383" s="6" t="s">
        <v>1797</v>
      </c>
      <c r="F2383" s="7" t="s">
        <v>6431</v>
      </c>
      <c r="G2383" s="6"/>
      <c r="H2383" s="6" t="s">
        <v>54</v>
      </c>
      <c r="I2383" s="6"/>
      <c r="J2383" s="6"/>
      <c r="K2383" s="6"/>
      <c r="L2383" s="6" t="s">
        <v>1798</v>
      </c>
      <c r="M2383" s="6"/>
      <c r="N2383" s="6" t="s">
        <v>1799</v>
      </c>
      <c r="O2383" s="6" t="str">
        <f>HYPERLINK("https://ceds.ed.gov/cedselementdetails.aspx?termid=6262")</f>
        <v>https://ceds.ed.gov/cedselementdetails.aspx?termid=6262</v>
      </c>
      <c r="P2383" s="6" t="str">
        <f>HYPERLINK("https://ceds.ed.gov/elementComment.aspx?elementName=Correctional Education Facility Type &amp;elementID=6262", "Click here to submit comment")</f>
        <v>Click here to submit comment</v>
      </c>
    </row>
    <row r="2384" spans="1:16" ht="75">
      <c r="A2384" s="6" t="s">
        <v>6889</v>
      </c>
      <c r="B2384" s="6" t="s">
        <v>6890</v>
      </c>
      <c r="C2384" s="6" t="s">
        <v>6886</v>
      </c>
      <c r="D2384" s="6" t="s">
        <v>1800</v>
      </c>
      <c r="E2384" s="6" t="s">
        <v>1801</v>
      </c>
      <c r="F2384" s="6" t="s">
        <v>5963</v>
      </c>
      <c r="G2384" s="6"/>
      <c r="H2384" s="6" t="s">
        <v>54</v>
      </c>
      <c r="I2384" s="6"/>
      <c r="J2384" s="6"/>
      <c r="K2384" s="6"/>
      <c r="L2384" s="6" t="s">
        <v>1802</v>
      </c>
      <c r="M2384" s="6"/>
      <c r="N2384" s="6" t="s">
        <v>1803</v>
      </c>
      <c r="O2384" s="6" t="str">
        <f>HYPERLINK("https://ceds.ed.gov/cedselementdetails.aspx?termid=6263")</f>
        <v>https://ceds.ed.gov/cedselementdetails.aspx?termid=6263</v>
      </c>
      <c r="P2384" s="6" t="str">
        <f>HYPERLINK("https://ceds.ed.gov/elementComment.aspx?elementName=Correctional Education Reentry Services Participation Indicator &amp;elementID=6263", "Click here to submit comment")</f>
        <v>Click here to submit comment</v>
      </c>
    </row>
    <row r="2385" spans="1:16" ht="345">
      <c r="A2385" s="6" t="s">
        <v>6889</v>
      </c>
      <c r="B2385" s="6" t="s">
        <v>6890</v>
      </c>
      <c r="C2385" s="6" t="s">
        <v>6886</v>
      </c>
      <c r="D2385" s="6" t="s">
        <v>2570</v>
      </c>
      <c r="E2385" s="6" t="s">
        <v>2571</v>
      </c>
      <c r="F2385" s="7" t="s">
        <v>6499</v>
      </c>
      <c r="G2385" s="6" t="s">
        <v>6084</v>
      </c>
      <c r="H2385" s="6" t="s">
        <v>3</v>
      </c>
      <c r="I2385" s="6"/>
      <c r="J2385" s="6"/>
      <c r="K2385" s="6"/>
      <c r="L2385" s="6" t="s">
        <v>2572</v>
      </c>
      <c r="M2385" s="6"/>
      <c r="N2385" s="6" t="s">
        <v>2573</v>
      </c>
      <c r="O2385" s="6" t="str">
        <f>HYPERLINK("https://ceds.ed.gov/cedselementdetails.aspx?termid=5100")</f>
        <v>https://ceds.ed.gov/cedselementdetails.aspx?termid=5100</v>
      </c>
      <c r="P2385" s="6" t="str">
        <f>HYPERLINK("https://ceds.ed.gov/elementComment.aspx?elementName=Entry Grade Level &amp;elementID=5100", "Click here to submit comment")</f>
        <v>Click here to submit comment</v>
      </c>
    </row>
    <row r="2386" spans="1:16" ht="345">
      <c r="A2386" s="6" t="s">
        <v>6889</v>
      </c>
      <c r="B2386" s="6" t="s">
        <v>6890</v>
      </c>
      <c r="C2386" s="6" t="s">
        <v>6886</v>
      </c>
      <c r="D2386" s="6" t="s">
        <v>2582</v>
      </c>
      <c r="E2386" s="6" t="s">
        <v>2583</v>
      </c>
      <c r="F2386" s="7" t="s">
        <v>6499</v>
      </c>
      <c r="G2386" s="6"/>
      <c r="H2386" s="6" t="s">
        <v>3</v>
      </c>
      <c r="I2386" s="6"/>
      <c r="J2386" s="6"/>
      <c r="K2386" s="6"/>
      <c r="L2386" s="6" t="s">
        <v>2584</v>
      </c>
      <c r="M2386" s="6"/>
      <c r="N2386" s="6" t="s">
        <v>2585</v>
      </c>
      <c r="O2386" s="6" t="str">
        <f>HYPERLINK("https://ceds.ed.gov/cedselementdetails.aspx?termid=6177")</f>
        <v>https://ceds.ed.gov/cedselementdetails.aspx?termid=6177</v>
      </c>
      <c r="P2386" s="6" t="str">
        <f>HYPERLINK("https://ceds.ed.gov/elementComment.aspx?elementName=Exit Grade Level &amp;elementID=6177", "Click here to submit comment")</f>
        <v>Click here to submit comment</v>
      </c>
    </row>
    <row r="2387" spans="1:16" ht="45">
      <c r="A2387" s="6" t="s">
        <v>6889</v>
      </c>
      <c r="B2387" s="6" t="s">
        <v>6890</v>
      </c>
      <c r="C2387" s="6" t="s">
        <v>6886</v>
      </c>
      <c r="D2387" s="6" t="s">
        <v>3310</v>
      </c>
      <c r="E2387" s="6" t="s">
        <v>3311</v>
      </c>
      <c r="F2387" s="6" t="s">
        <v>13</v>
      </c>
      <c r="G2387" s="6" t="s">
        <v>42</v>
      </c>
      <c r="H2387" s="6" t="s">
        <v>3</v>
      </c>
      <c r="I2387" s="6" t="s">
        <v>1461</v>
      </c>
      <c r="J2387" s="6"/>
      <c r="K2387" s="6"/>
      <c r="L2387" s="6" t="s">
        <v>3312</v>
      </c>
      <c r="M2387" s="6"/>
      <c r="N2387" s="6" t="s">
        <v>3313</v>
      </c>
      <c r="O2387" s="6" t="str">
        <f>HYPERLINK("https://ceds.ed.gov/cedselementdetails.aspx?termid=5361")</f>
        <v>https://ceds.ed.gov/cedselementdetails.aspx?termid=5361</v>
      </c>
      <c r="P2387" s="6" t="str">
        <f>HYPERLINK("https://ceds.ed.gov/elementComment.aspx?elementName=Instructional Activity Hours Completed &amp;elementID=5361", "Click here to submit comment")</f>
        <v>Click here to submit comment</v>
      </c>
    </row>
    <row r="2388" spans="1:16" ht="409.5">
      <c r="A2388" s="6" t="s">
        <v>6889</v>
      </c>
      <c r="B2388" s="6" t="s">
        <v>6890</v>
      </c>
      <c r="C2388" s="6" t="s">
        <v>6806</v>
      </c>
      <c r="D2388" s="6" t="s">
        <v>2970</v>
      </c>
      <c r="E2388" s="6" t="s">
        <v>2971</v>
      </c>
      <c r="F2388" s="7" t="s">
        <v>6531</v>
      </c>
      <c r="G2388" s="6" t="s">
        <v>6195</v>
      </c>
      <c r="H2388" s="6" t="s">
        <v>66</v>
      </c>
      <c r="I2388" s="6"/>
      <c r="J2388" s="6" t="s">
        <v>2972</v>
      </c>
      <c r="K2388" s="6"/>
      <c r="L2388" s="6" t="s">
        <v>2973</v>
      </c>
      <c r="M2388" s="6"/>
      <c r="N2388" s="6" t="s">
        <v>2974</v>
      </c>
      <c r="O2388" s="6" t="str">
        <f>HYPERLINK("https://ceds.ed.gov/cedselementdetails.aspx?termid=5141")</f>
        <v>https://ceds.ed.gov/cedselementdetails.aspx?termid=5141</v>
      </c>
      <c r="P2388" s="6" t="str">
        <f>HYPERLINK("https://ceds.ed.gov/elementComment.aspx?elementName=Highest Level of Education Completed &amp;elementID=5141", "Click here to submit comment")</f>
        <v>Click here to submit comment</v>
      </c>
    </row>
    <row r="2389" spans="1:16" ht="409.5">
      <c r="A2389" s="6" t="s">
        <v>6889</v>
      </c>
      <c r="B2389" s="6" t="s">
        <v>6890</v>
      </c>
      <c r="C2389" s="6" t="s">
        <v>6806</v>
      </c>
      <c r="D2389" s="6" t="s">
        <v>2949</v>
      </c>
      <c r="E2389" s="6" t="s">
        <v>2950</v>
      </c>
      <c r="F2389" s="7" t="s">
        <v>6528</v>
      </c>
      <c r="G2389" s="6" t="s">
        <v>6191</v>
      </c>
      <c r="H2389" s="6"/>
      <c r="I2389" s="6"/>
      <c r="J2389" s="6"/>
      <c r="K2389" s="6"/>
      <c r="L2389" s="6" t="s">
        <v>2951</v>
      </c>
      <c r="M2389" s="6"/>
      <c r="N2389" s="6" t="s">
        <v>2952</v>
      </c>
      <c r="O2389" s="6" t="str">
        <f>HYPERLINK("https://ceds.ed.gov/cedselementdetails.aspx?termid=5138")</f>
        <v>https://ceds.ed.gov/cedselementdetails.aspx?termid=5138</v>
      </c>
      <c r="P2389" s="6" t="str">
        <f>HYPERLINK("https://ceds.ed.gov/elementComment.aspx?elementName=High School Diploma Type &amp;elementID=5138", "Click here to submit comment")</f>
        <v>Click here to submit comment</v>
      </c>
    </row>
    <row r="2390" spans="1:16" ht="135">
      <c r="A2390" s="6" t="s">
        <v>6889</v>
      </c>
      <c r="B2390" s="6" t="s">
        <v>6890</v>
      </c>
      <c r="C2390" s="6" t="s">
        <v>6806</v>
      </c>
      <c r="D2390" s="6" t="s">
        <v>2189</v>
      </c>
      <c r="E2390" s="6" t="s">
        <v>2190</v>
      </c>
      <c r="F2390" s="6" t="s">
        <v>13</v>
      </c>
      <c r="G2390" s="6" t="s">
        <v>6135</v>
      </c>
      <c r="H2390" s="6"/>
      <c r="I2390" s="6" t="s">
        <v>2191</v>
      </c>
      <c r="J2390" s="6"/>
      <c r="K2390" s="6"/>
      <c r="L2390" s="6" t="s">
        <v>2192</v>
      </c>
      <c r="M2390" s="6"/>
      <c r="N2390" s="6" t="s">
        <v>2193</v>
      </c>
      <c r="O2390" s="6" t="str">
        <f>HYPERLINK("https://ceds.ed.gov/cedselementdetails.aspx?termid=5081")</f>
        <v>https://ceds.ed.gov/cedselementdetails.aspx?termid=5081</v>
      </c>
      <c r="P2390" s="6" t="str">
        <f>HYPERLINK("https://ceds.ed.gov/elementComment.aspx?elementName=Diploma or Credential Award Date &amp;elementID=5081", "Click here to submit comment")</f>
        <v>Click here to submit comment</v>
      </c>
    </row>
    <row r="2391" spans="1:16" ht="375">
      <c r="A2391" s="6" t="s">
        <v>6889</v>
      </c>
      <c r="B2391" s="6" t="s">
        <v>6890</v>
      </c>
      <c r="C2391" s="6" t="s">
        <v>6806</v>
      </c>
      <c r="D2391" s="6" t="s">
        <v>18</v>
      </c>
      <c r="E2391" s="6" t="s">
        <v>19</v>
      </c>
      <c r="F2391" s="7" t="s">
        <v>6346</v>
      </c>
      <c r="G2391" s="6" t="s">
        <v>5967</v>
      </c>
      <c r="H2391" s="6" t="s">
        <v>3</v>
      </c>
      <c r="I2391" s="6"/>
      <c r="J2391" s="6"/>
      <c r="K2391" s="6"/>
      <c r="L2391" s="6" t="s">
        <v>20</v>
      </c>
      <c r="M2391" s="6"/>
      <c r="N2391" s="6" t="s">
        <v>21</v>
      </c>
      <c r="O2391" s="6" t="str">
        <f>HYPERLINK("https://ceds.ed.gov/cedselementdetails.aspx?termid=5002")</f>
        <v>https://ceds.ed.gov/cedselementdetails.aspx?termid=5002</v>
      </c>
      <c r="P2391" s="6" t="str">
        <f>HYPERLINK("https://ceds.ed.gov/elementComment.aspx?elementName=Academic Award Level Conferred &amp;elementID=5002", "Click here to submit comment")</f>
        <v>Click here to submit comment</v>
      </c>
    </row>
    <row r="2392" spans="1:16" ht="270">
      <c r="A2392" s="6" t="s">
        <v>6889</v>
      </c>
      <c r="B2392" s="6" t="s">
        <v>6890</v>
      </c>
      <c r="C2392" s="6" t="s">
        <v>6806</v>
      </c>
      <c r="D2392" s="6" t="s">
        <v>4763</v>
      </c>
      <c r="E2392" s="6" t="s">
        <v>4764</v>
      </c>
      <c r="F2392" s="7" t="s">
        <v>6620</v>
      </c>
      <c r="G2392" s="6"/>
      <c r="H2392" s="6" t="s">
        <v>66</v>
      </c>
      <c r="I2392" s="6"/>
      <c r="J2392" s="6" t="s">
        <v>848</v>
      </c>
      <c r="K2392" s="6"/>
      <c r="L2392" s="6" t="s">
        <v>4765</v>
      </c>
      <c r="M2392" s="6"/>
      <c r="N2392" s="6" t="s">
        <v>4766</v>
      </c>
      <c r="O2392" s="6" t="str">
        <f>HYPERLINK("https://ceds.ed.gov/cedselementdetails.aspx?termid=5780")</f>
        <v>https://ceds.ed.gov/cedselementdetails.aspx?termid=5780</v>
      </c>
      <c r="P2392" s="6" t="str">
        <f>HYPERLINK("https://ceds.ed.gov/elementComment.aspx?elementName=Professional or Technical Credential Conferred &amp;elementID=5780", "Click here to submit comment")</f>
        <v>Click here to submit comment</v>
      </c>
    </row>
    <row r="2393" spans="1:16" ht="195">
      <c r="A2393" s="6" t="s">
        <v>6889</v>
      </c>
      <c r="B2393" s="6" t="s">
        <v>6891</v>
      </c>
      <c r="C2393" s="6" t="s">
        <v>6717</v>
      </c>
      <c r="D2393" s="6" t="s">
        <v>2776</v>
      </c>
      <c r="E2393" s="6" t="s">
        <v>2777</v>
      </c>
      <c r="F2393" s="6" t="s">
        <v>13</v>
      </c>
      <c r="G2393" s="6" t="s">
        <v>6176</v>
      </c>
      <c r="H2393" s="6" t="s">
        <v>3</v>
      </c>
      <c r="I2393" s="6" t="s">
        <v>1368</v>
      </c>
      <c r="J2393" s="6"/>
      <c r="K2393" s="6" t="s">
        <v>2778</v>
      </c>
      <c r="L2393" s="6" t="s">
        <v>2779</v>
      </c>
      <c r="M2393" s="6"/>
      <c r="N2393" s="6" t="s">
        <v>2780</v>
      </c>
      <c r="O2393" s="6" t="str">
        <f>HYPERLINK("https://ceds.ed.gov/cedselementdetails.aspx?termid=5115")</f>
        <v>https://ceds.ed.gov/cedselementdetails.aspx?termid=5115</v>
      </c>
      <c r="P2393" s="6" t="str">
        <f>HYPERLINK("https://ceds.ed.gov/elementComment.aspx?elementName=First Name &amp;elementID=5115", "Click here to submit comment")</f>
        <v>Click here to submit comment</v>
      </c>
    </row>
    <row r="2394" spans="1:16" ht="195">
      <c r="A2394" s="6" t="s">
        <v>6889</v>
      </c>
      <c r="B2394" s="6" t="s">
        <v>6891</v>
      </c>
      <c r="C2394" s="6" t="s">
        <v>6717</v>
      </c>
      <c r="D2394" s="6" t="s">
        <v>4088</v>
      </c>
      <c r="E2394" s="6" t="s">
        <v>4089</v>
      </c>
      <c r="F2394" s="6" t="s">
        <v>13</v>
      </c>
      <c r="G2394" s="6" t="s">
        <v>6176</v>
      </c>
      <c r="H2394" s="6" t="s">
        <v>3</v>
      </c>
      <c r="I2394" s="6" t="s">
        <v>1368</v>
      </c>
      <c r="J2394" s="6"/>
      <c r="K2394" s="6" t="s">
        <v>2778</v>
      </c>
      <c r="L2394" s="6" t="s">
        <v>4090</v>
      </c>
      <c r="M2394" s="6"/>
      <c r="N2394" s="6" t="s">
        <v>4091</v>
      </c>
      <c r="O2394" s="6" t="str">
        <f>HYPERLINK("https://ceds.ed.gov/cedselementdetails.aspx?termid=5184")</f>
        <v>https://ceds.ed.gov/cedselementdetails.aspx?termid=5184</v>
      </c>
      <c r="P2394" s="6" t="str">
        <f>HYPERLINK("https://ceds.ed.gov/elementComment.aspx?elementName=Middle Name &amp;elementID=5184", "Click here to submit comment")</f>
        <v>Click here to submit comment</v>
      </c>
    </row>
    <row r="2395" spans="1:16" ht="195">
      <c r="A2395" s="6" t="s">
        <v>6889</v>
      </c>
      <c r="B2395" s="6" t="s">
        <v>6891</v>
      </c>
      <c r="C2395" s="6" t="s">
        <v>6717</v>
      </c>
      <c r="D2395" s="6" t="s">
        <v>3427</v>
      </c>
      <c r="E2395" s="6" t="s">
        <v>3428</v>
      </c>
      <c r="F2395" s="6" t="s">
        <v>13</v>
      </c>
      <c r="G2395" s="6" t="s">
        <v>6176</v>
      </c>
      <c r="H2395" s="6" t="s">
        <v>3</v>
      </c>
      <c r="I2395" s="6" t="s">
        <v>1368</v>
      </c>
      <c r="J2395" s="6"/>
      <c r="K2395" s="6" t="s">
        <v>2778</v>
      </c>
      <c r="L2395" s="6" t="s">
        <v>3429</v>
      </c>
      <c r="M2395" s="6" t="s">
        <v>3430</v>
      </c>
      <c r="N2395" s="6" t="s">
        <v>3431</v>
      </c>
      <c r="O2395" s="6" t="str">
        <f>HYPERLINK("https://ceds.ed.gov/cedselementdetails.aspx?termid=5172")</f>
        <v>https://ceds.ed.gov/cedselementdetails.aspx?termid=5172</v>
      </c>
      <c r="P2395" s="6" t="str">
        <f>HYPERLINK("https://ceds.ed.gov/elementComment.aspx?elementName=Last or Surname &amp;elementID=5172", "Click here to submit comment")</f>
        <v>Click here to submit comment</v>
      </c>
    </row>
    <row r="2396" spans="1:16" ht="150">
      <c r="A2396" s="6" t="s">
        <v>6889</v>
      </c>
      <c r="B2396" s="6" t="s">
        <v>6891</v>
      </c>
      <c r="C2396" s="6" t="s">
        <v>6717</v>
      </c>
      <c r="D2396" s="6" t="s">
        <v>2829</v>
      </c>
      <c r="E2396" s="6" t="s">
        <v>2830</v>
      </c>
      <c r="F2396" s="6" t="s">
        <v>13</v>
      </c>
      <c r="G2396" s="6" t="s">
        <v>6179</v>
      </c>
      <c r="H2396" s="6" t="s">
        <v>3</v>
      </c>
      <c r="I2396" s="6" t="s">
        <v>2031</v>
      </c>
      <c r="J2396" s="6"/>
      <c r="K2396" s="6" t="s">
        <v>2778</v>
      </c>
      <c r="L2396" s="6" t="s">
        <v>2831</v>
      </c>
      <c r="M2396" s="6"/>
      <c r="N2396" s="6" t="s">
        <v>2832</v>
      </c>
      <c r="O2396" s="6" t="str">
        <f>HYPERLINK("https://ceds.ed.gov/cedselementdetails.aspx?termid=5121")</f>
        <v>https://ceds.ed.gov/cedselementdetails.aspx?termid=5121</v>
      </c>
      <c r="P2396" s="6" t="str">
        <f>HYPERLINK("https://ceds.ed.gov/elementComment.aspx?elementName=Generation Code or Suffix &amp;elementID=5121", "Click here to submit comment")</f>
        <v>Click here to submit comment</v>
      </c>
    </row>
    <row r="2397" spans="1:16" ht="105">
      <c r="A2397" s="6" t="s">
        <v>6889</v>
      </c>
      <c r="B2397" s="6" t="s">
        <v>6891</v>
      </c>
      <c r="C2397" s="6" t="s">
        <v>6717</v>
      </c>
      <c r="D2397" s="6" t="s">
        <v>4498</v>
      </c>
      <c r="E2397" s="6" t="s">
        <v>4499</v>
      </c>
      <c r="F2397" s="6" t="s">
        <v>13</v>
      </c>
      <c r="G2397" s="6" t="s">
        <v>6280</v>
      </c>
      <c r="H2397" s="6" t="s">
        <v>3</v>
      </c>
      <c r="I2397" s="6" t="s">
        <v>100</v>
      </c>
      <c r="J2397" s="6"/>
      <c r="K2397" s="6"/>
      <c r="L2397" s="6" t="s">
        <v>4500</v>
      </c>
      <c r="M2397" s="6" t="s">
        <v>4501</v>
      </c>
      <c r="N2397" s="6" t="s">
        <v>4502</v>
      </c>
      <c r="O2397" s="6" t="str">
        <f>HYPERLINK("https://ceds.ed.gov/cedselementdetails.aspx?termid=5212")</f>
        <v>https://ceds.ed.gov/cedselementdetails.aspx?termid=5212</v>
      </c>
      <c r="P2397" s="6" t="str">
        <f>HYPERLINK("https://ceds.ed.gov/elementComment.aspx?elementName=Personal Title or Prefix &amp;elementID=5212", "Click here to submit comment")</f>
        <v>Click here to submit comment</v>
      </c>
    </row>
    <row r="2398" spans="1:16" ht="30">
      <c r="A2398" s="6" t="s">
        <v>6889</v>
      </c>
      <c r="B2398" s="6" t="s">
        <v>6891</v>
      </c>
      <c r="C2398" s="6" t="s">
        <v>6718</v>
      </c>
      <c r="D2398" s="6" t="s">
        <v>4375</v>
      </c>
      <c r="E2398" s="6" t="s">
        <v>4376</v>
      </c>
      <c r="F2398" s="6" t="s">
        <v>13</v>
      </c>
      <c r="G2398" s="6"/>
      <c r="H2398" s="6" t="s">
        <v>54</v>
      </c>
      <c r="I2398" s="6" t="s">
        <v>1368</v>
      </c>
      <c r="J2398" s="6"/>
      <c r="K2398" s="6" t="s">
        <v>4377</v>
      </c>
      <c r="L2398" s="6" t="s">
        <v>4378</v>
      </c>
      <c r="M2398" s="6"/>
      <c r="N2398" s="6" t="s">
        <v>4379</v>
      </c>
      <c r="O2398" s="6" t="str">
        <f>HYPERLINK("https://ceds.ed.gov/cedselementdetails.aspx?termid=6486")</f>
        <v>https://ceds.ed.gov/cedselementdetails.aspx?termid=6486</v>
      </c>
      <c r="P2398" s="6" t="str">
        <f>HYPERLINK("https://ceds.ed.gov/elementComment.aspx?elementName=Other First Name &amp;elementID=6486", "Click here to submit comment")</f>
        <v>Click here to submit comment</v>
      </c>
    </row>
    <row r="2399" spans="1:16" ht="30">
      <c r="A2399" s="6" t="s">
        <v>6889</v>
      </c>
      <c r="B2399" s="6" t="s">
        <v>6891</v>
      </c>
      <c r="C2399" s="6" t="s">
        <v>6718</v>
      </c>
      <c r="D2399" s="6" t="s">
        <v>4380</v>
      </c>
      <c r="E2399" s="6" t="s">
        <v>4381</v>
      </c>
      <c r="F2399" s="6" t="s">
        <v>13</v>
      </c>
      <c r="G2399" s="6"/>
      <c r="H2399" s="6" t="s">
        <v>54</v>
      </c>
      <c r="I2399" s="6" t="s">
        <v>1368</v>
      </c>
      <c r="J2399" s="6"/>
      <c r="K2399" s="6" t="s">
        <v>4382</v>
      </c>
      <c r="L2399" s="6" t="s">
        <v>4383</v>
      </c>
      <c r="M2399" s="6"/>
      <c r="N2399" s="6" t="s">
        <v>4384</v>
      </c>
      <c r="O2399" s="6" t="str">
        <f>HYPERLINK("https://ceds.ed.gov/cedselementdetails.aspx?termid=6485")</f>
        <v>https://ceds.ed.gov/cedselementdetails.aspx?termid=6485</v>
      </c>
      <c r="P2399" s="6" t="str">
        <f>HYPERLINK("https://ceds.ed.gov/elementComment.aspx?elementName=Other Last Name &amp;elementID=6485", "Click here to submit comment")</f>
        <v>Click here to submit comment</v>
      </c>
    </row>
    <row r="2400" spans="1:16" ht="30">
      <c r="A2400" s="6" t="s">
        <v>6889</v>
      </c>
      <c r="B2400" s="6" t="s">
        <v>6891</v>
      </c>
      <c r="C2400" s="6" t="s">
        <v>6718</v>
      </c>
      <c r="D2400" s="6" t="s">
        <v>4385</v>
      </c>
      <c r="E2400" s="6" t="s">
        <v>4386</v>
      </c>
      <c r="F2400" s="6" t="s">
        <v>13</v>
      </c>
      <c r="G2400" s="6"/>
      <c r="H2400" s="6" t="s">
        <v>54</v>
      </c>
      <c r="I2400" s="6" t="s">
        <v>1368</v>
      </c>
      <c r="J2400" s="6"/>
      <c r="K2400" s="6" t="s">
        <v>4387</v>
      </c>
      <c r="L2400" s="6" t="s">
        <v>4388</v>
      </c>
      <c r="M2400" s="6"/>
      <c r="N2400" s="6" t="s">
        <v>4389</v>
      </c>
      <c r="O2400" s="6" t="str">
        <f>HYPERLINK("https://ceds.ed.gov/cedselementdetails.aspx?termid=6487")</f>
        <v>https://ceds.ed.gov/cedselementdetails.aspx?termid=6487</v>
      </c>
      <c r="P2400" s="6" t="str">
        <f>HYPERLINK("https://ceds.ed.gov/elementComment.aspx?elementName=Other Middle Name &amp;elementID=6487", "Click here to submit comment")</f>
        <v>Click here to submit comment</v>
      </c>
    </row>
    <row r="2401" spans="1:16" ht="150">
      <c r="A2401" s="6" t="s">
        <v>6889</v>
      </c>
      <c r="B2401" s="6" t="s">
        <v>6891</v>
      </c>
      <c r="C2401" s="6" t="s">
        <v>6718</v>
      </c>
      <c r="D2401" s="6" t="s">
        <v>4390</v>
      </c>
      <c r="E2401" s="6" t="s">
        <v>4391</v>
      </c>
      <c r="F2401" s="6" t="s">
        <v>13</v>
      </c>
      <c r="G2401" s="6" t="s">
        <v>6179</v>
      </c>
      <c r="H2401" s="6" t="s">
        <v>3</v>
      </c>
      <c r="I2401" s="6" t="s">
        <v>149</v>
      </c>
      <c r="J2401" s="6"/>
      <c r="K2401" s="6"/>
      <c r="L2401" s="6" t="s">
        <v>4392</v>
      </c>
      <c r="M2401" s="6"/>
      <c r="N2401" s="6" t="s">
        <v>4393</v>
      </c>
      <c r="O2401" s="6" t="str">
        <f>HYPERLINK("https://ceds.ed.gov/cedselementdetails.aspx?termid=5206")</f>
        <v>https://ceds.ed.gov/cedselementdetails.aspx?termid=5206</v>
      </c>
      <c r="P2401" s="6" t="str">
        <f>HYPERLINK("https://ceds.ed.gov/elementComment.aspx?elementName=Other Name &amp;elementID=5206", "Click here to submit comment")</f>
        <v>Click here to submit comment</v>
      </c>
    </row>
    <row r="2402" spans="1:16" ht="90">
      <c r="A2402" s="6" t="s">
        <v>6889</v>
      </c>
      <c r="B2402" s="6" t="s">
        <v>6891</v>
      </c>
      <c r="C2402" s="6" t="s">
        <v>6718</v>
      </c>
      <c r="D2402" s="6" t="s">
        <v>4394</v>
      </c>
      <c r="E2402" s="6" t="s">
        <v>4395</v>
      </c>
      <c r="F2402" s="7" t="s">
        <v>6593</v>
      </c>
      <c r="G2402" s="6" t="s">
        <v>6273</v>
      </c>
      <c r="H2402" s="6" t="s">
        <v>3</v>
      </c>
      <c r="I2402" s="6" t="s">
        <v>100</v>
      </c>
      <c r="J2402" s="6"/>
      <c r="K2402" s="6"/>
      <c r="L2402" s="6" t="s">
        <v>4396</v>
      </c>
      <c r="M2402" s="6"/>
      <c r="N2402" s="6" t="s">
        <v>4397</v>
      </c>
      <c r="O2402" s="6" t="str">
        <f>HYPERLINK("https://ceds.ed.gov/cedselementdetails.aspx?termid=5627")</f>
        <v>https://ceds.ed.gov/cedselementdetails.aspx?termid=5627</v>
      </c>
      <c r="P2402" s="6" t="str">
        <f>HYPERLINK("https://ceds.ed.gov/elementComment.aspx?elementName=Other Name Type &amp;elementID=5627", "Click here to submit comment")</f>
        <v>Click here to submit comment</v>
      </c>
    </row>
    <row r="2403" spans="1:16" ht="135">
      <c r="A2403" s="6" t="s">
        <v>6889</v>
      </c>
      <c r="B2403" s="6" t="s">
        <v>6891</v>
      </c>
      <c r="C2403" s="6" t="s">
        <v>6719</v>
      </c>
      <c r="D2403" s="6" t="s">
        <v>5506</v>
      </c>
      <c r="E2403" s="6" t="s">
        <v>5507</v>
      </c>
      <c r="F2403" s="6" t="s">
        <v>13</v>
      </c>
      <c r="G2403" s="6" t="s">
        <v>6322</v>
      </c>
      <c r="H2403" s="6" t="s">
        <v>3</v>
      </c>
      <c r="I2403" s="6" t="s">
        <v>100</v>
      </c>
      <c r="J2403" s="6"/>
      <c r="K2403" s="6"/>
      <c r="L2403" s="6" t="s">
        <v>5508</v>
      </c>
      <c r="M2403" s="6"/>
      <c r="N2403" s="6" t="s">
        <v>5509</v>
      </c>
      <c r="O2403" s="6" t="str">
        <f>HYPERLINK("https://ceds.ed.gov/cedselementdetails.aspx?termid=5156")</f>
        <v>https://ceds.ed.gov/cedselementdetails.aspx?termid=5156</v>
      </c>
      <c r="P2403" s="6" t="str">
        <f>HYPERLINK("https://ceds.ed.gov/elementComment.aspx?elementName=Staff Member Identifier &amp;elementID=5156", "Click here to submit comment")</f>
        <v>Click here to submit comment</v>
      </c>
    </row>
    <row r="2404" spans="1:16" ht="409.5">
      <c r="A2404" s="6" t="s">
        <v>6889</v>
      </c>
      <c r="B2404" s="6" t="s">
        <v>6891</v>
      </c>
      <c r="C2404" s="6" t="s">
        <v>6719</v>
      </c>
      <c r="D2404" s="6" t="s">
        <v>5502</v>
      </c>
      <c r="E2404" s="6" t="s">
        <v>5503</v>
      </c>
      <c r="F2404" s="7" t="s">
        <v>6662</v>
      </c>
      <c r="G2404" s="6" t="s">
        <v>6321</v>
      </c>
      <c r="H2404" s="6" t="s">
        <v>3</v>
      </c>
      <c r="I2404" s="6"/>
      <c r="J2404" s="6"/>
      <c r="K2404" s="6"/>
      <c r="L2404" s="6" t="s">
        <v>5504</v>
      </c>
      <c r="M2404" s="6"/>
      <c r="N2404" s="6" t="s">
        <v>5505</v>
      </c>
      <c r="O2404" s="6" t="str">
        <f>HYPERLINK("https://ceds.ed.gov/cedselementdetails.aspx?termid=5162")</f>
        <v>https://ceds.ed.gov/cedselementdetails.aspx?termid=5162</v>
      </c>
      <c r="P2404" s="6" t="str">
        <f>HYPERLINK("https://ceds.ed.gov/elementComment.aspx?elementName=Staff Member Identification System &amp;elementID=5162", "Click here to submit comment")</f>
        <v>Click here to submit comment</v>
      </c>
    </row>
    <row r="2405" spans="1:16" ht="390">
      <c r="A2405" s="6" t="s">
        <v>6889</v>
      </c>
      <c r="B2405" s="6" t="s">
        <v>6891</v>
      </c>
      <c r="C2405" s="6" t="s">
        <v>6719</v>
      </c>
      <c r="D2405" s="6" t="s">
        <v>5383</v>
      </c>
      <c r="E2405" s="6" t="s">
        <v>5384</v>
      </c>
      <c r="F2405" s="6" t="s">
        <v>13</v>
      </c>
      <c r="G2405" s="6" t="s">
        <v>6315</v>
      </c>
      <c r="H2405" s="6" t="s">
        <v>3</v>
      </c>
      <c r="I2405" s="6" t="s">
        <v>5385</v>
      </c>
      <c r="J2405" s="6"/>
      <c r="K2405" s="6" t="s">
        <v>5386</v>
      </c>
      <c r="L2405" s="6" t="s">
        <v>5387</v>
      </c>
      <c r="M2405" s="6" t="s">
        <v>5388</v>
      </c>
      <c r="N2405" s="6" t="s">
        <v>5389</v>
      </c>
      <c r="O2405" s="6" t="str">
        <f>HYPERLINK("https://ceds.ed.gov/cedselementdetails.aspx?termid=5259")</f>
        <v>https://ceds.ed.gov/cedselementdetails.aspx?termid=5259</v>
      </c>
      <c r="P2405" s="6" t="str">
        <f>HYPERLINK("https://ceds.ed.gov/elementComment.aspx?elementName=Social Security Number &amp;elementID=5259", "Click here to submit comment")</f>
        <v>Click here to submit comment</v>
      </c>
    </row>
    <row r="2406" spans="1:16" ht="375">
      <c r="A2406" s="6" t="s">
        <v>6889</v>
      </c>
      <c r="B2406" s="6" t="s">
        <v>6891</v>
      </c>
      <c r="C2406" s="6" t="s">
        <v>6719</v>
      </c>
      <c r="D2406" s="6" t="s">
        <v>4494</v>
      </c>
      <c r="E2406" s="6" t="s">
        <v>4495</v>
      </c>
      <c r="F2406" s="7" t="s">
        <v>6599</v>
      </c>
      <c r="G2406" s="6"/>
      <c r="H2406" s="6" t="s">
        <v>3</v>
      </c>
      <c r="I2406" s="6"/>
      <c r="J2406" s="6"/>
      <c r="K2406" s="6"/>
      <c r="L2406" s="6" t="s">
        <v>4496</v>
      </c>
      <c r="M2406" s="6"/>
      <c r="N2406" s="6" t="s">
        <v>4497</v>
      </c>
      <c r="O2406" s="6" t="str">
        <f>HYPERLINK("https://ceds.ed.gov/cedselementdetails.aspx?termid=5611")</f>
        <v>https://ceds.ed.gov/cedselementdetails.aspx?termid=5611</v>
      </c>
      <c r="P2406" s="6" t="str">
        <f>HYPERLINK("https://ceds.ed.gov/elementComment.aspx?elementName=Personal Information Verification &amp;elementID=5611", "Click here to submit comment")</f>
        <v>Click here to submit comment</v>
      </c>
    </row>
    <row r="2407" spans="1:16" ht="150">
      <c r="A2407" s="6" t="s">
        <v>6889</v>
      </c>
      <c r="B2407" s="6" t="s">
        <v>6891</v>
      </c>
      <c r="C2407" s="6" t="s">
        <v>6720</v>
      </c>
      <c r="D2407" s="6" t="s">
        <v>200</v>
      </c>
      <c r="E2407" s="6" t="s">
        <v>201</v>
      </c>
      <c r="F2407" s="7" t="s">
        <v>6355</v>
      </c>
      <c r="G2407" s="6" t="s">
        <v>202</v>
      </c>
      <c r="H2407" s="6" t="s">
        <v>3</v>
      </c>
      <c r="I2407" s="6" t="s">
        <v>100</v>
      </c>
      <c r="J2407" s="6"/>
      <c r="K2407" s="6"/>
      <c r="L2407" s="6" t="s">
        <v>203</v>
      </c>
      <c r="M2407" s="6"/>
      <c r="N2407" s="6" t="s">
        <v>204</v>
      </c>
      <c r="O2407" s="6" t="str">
        <f>HYPERLINK("https://ceds.ed.gov/cedselementdetails.aspx?termid=5698")</f>
        <v>https://ceds.ed.gov/cedselementdetails.aspx?termid=5698</v>
      </c>
      <c r="P2407" s="6" t="str">
        <f>HYPERLINK("https://ceds.ed.gov/elementComment.aspx?elementName=Address Type for Staff &amp;elementID=5698", "Click here to submit comment")</f>
        <v>Click here to submit comment</v>
      </c>
    </row>
    <row r="2408" spans="1:16" ht="225">
      <c r="A2408" s="6" t="s">
        <v>6889</v>
      </c>
      <c r="B2408" s="6" t="s">
        <v>6891</v>
      </c>
      <c r="C2408" s="6" t="s">
        <v>6720</v>
      </c>
      <c r="D2408" s="6" t="s">
        <v>187</v>
      </c>
      <c r="E2408" s="6" t="s">
        <v>188</v>
      </c>
      <c r="F2408" s="6" t="s">
        <v>13</v>
      </c>
      <c r="G2408" s="6" t="s">
        <v>5973</v>
      </c>
      <c r="H2408" s="6" t="s">
        <v>3</v>
      </c>
      <c r="I2408" s="6" t="s">
        <v>149</v>
      </c>
      <c r="J2408" s="6"/>
      <c r="K2408" s="6"/>
      <c r="L2408" s="6" t="s">
        <v>189</v>
      </c>
      <c r="M2408" s="6"/>
      <c r="N2408" s="6" t="s">
        <v>190</v>
      </c>
      <c r="O2408" s="6" t="str">
        <f>HYPERLINK("https://ceds.ed.gov/cedselementdetails.aspx?termid=5269")</f>
        <v>https://ceds.ed.gov/cedselementdetails.aspx?termid=5269</v>
      </c>
      <c r="P2408" s="6" t="str">
        <f>HYPERLINK("https://ceds.ed.gov/elementComment.aspx?elementName=Address Street Number and Name &amp;elementID=5269", "Click here to submit comment")</f>
        <v>Click here to submit comment</v>
      </c>
    </row>
    <row r="2409" spans="1:16" ht="225">
      <c r="A2409" s="6" t="s">
        <v>6889</v>
      </c>
      <c r="B2409" s="6" t="s">
        <v>6891</v>
      </c>
      <c r="C2409" s="6" t="s">
        <v>6720</v>
      </c>
      <c r="D2409" s="6" t="s">
        <v>170</v>
      </c>
      <c r="E2409" s="6" t="s">
        <v>171</v>
      </c>
      <c r="F2409" s="6" t="s">
        <v>13</v>
      </c>
      <c r="G2409" s="6" t="s">
        <v>5973</v>
      </c>
      <c r="H2409" s="6" t="s">
        <v>3</v>
      </c>
      <c r="I2409" s="6" t="s">
        <v>100</v>
      </c>
      <c r="J2409" s="6"/>
      <c r="K2409" s="6"/>
      <c r="L2409" s="6" t="s">
        <v>172</v>
      </c>
      <c r="M2409" s="6"/>
      <c r="N2409" s="6" t="s">
        <v>173</v>
      </c>
      <c r="O2409" s="6" t="str">
        <f>HYPERLINK("https://ceds.ed.gov/cedselementdetails.aspx?termid=5019")</f>
        <v>https://ceds.ed.gov/cedselementdetails.aspx?termid=5019</v>
      </c>
      <c r="P2409" s="6" t="str">
        <f>HYPERLINK("https://ceds.ed.gov/elementComment.aspx?elementName=Address Apartment Room or Suite Number &amp;elementID=5019", "Click here to submit comment")</f>
        <v>Click here to submit comment</v>
      </c>
    </row>
    <row r="2410" spans="1:16" ht="225">
      <c r="A2410" s="6" t="s">
        <v>6889</v>
      </c>
      <c r="B2410" s="6" t="s">
        <v>6891</v>
      </c>
      <c r="C2410" s="6" t="s">
        <v>6720</v>
      </c>
      <c r="D2410" s="6" t="s">
        <v>174</v>
      </c>
      <c r="E2410" s="6" t="s">
        <v>175</v>
      </c>
      <c r="F2410" s="6" t="s">
        <v>13</v>
      </c>
      <c r="G2410" s="6" t="s">
        <v>5973</v>
      </c>
      <c r="H2410" s="6" t="s">
        <v>3</v>
      </c>
      <c r="I2410" s="6" t="s">
        <v>100</v>
      </c>
      <c r="J2410" s="6"/>
      <c r="K2410" s="6"/>
      <c r="L2410" s="6" t="s">
        <v>176</v>
      </c>
      <c r="M2410" s="6"/>
      <c r="N2410" s="6" t="s">
        <v>177</v>
      </c>
      <c r="O2410" s="6" t="str">
        <f>HYPERLINK("https://ceds.ed.gov/cedselementdetails.aspx?termid=5040")</f>
        <v>https://ceds.ed.gov/cedselementdetails.aspx?termid=5040</v>
      </c>
      <c r="P2410" s="6" t="str">
        <f>HYPERLINK("https://ceds.ed.gov/elementComment.aspx?elementName=Address City &amp;elementID=5040", "Click here to submit comment")</f>
        <v>Click here to submit comment</v>
      </c>
    </row>
    <row r="2411" spans="1:16" ht="409.5">
      <c r="A2411" s="6" t="s">
        <v>6889</v>
      </c>
      <c r="B2411" s="6" t="s">
        <v>6891</v>
      </c>
      <c r="C2411" s="6" t="s">
        <v>6720</v>
      </c>
      <c r="D2411" s="6" t="s">
        <v>5533</v>
      </c>
      <c r="E2411" s="6" t="s">
        <v>5534</v>
      </c>
      <c r="F2411" s="7" t="s">
        <v>6633</v>
      </c>
      <c r="G2411" s="6" t="s">
        <v>6324</v>
      </c>
      <c r="H2411" s="6" t="s">
        <v>3</v>
      </c>
      <c r="I2411" s="6"/>
      <c r="J2411" s="6"/>
      <c r="K2411" s="6"/>
      <c r="L2411" s="6" t="s">
        <v>5535</v>
      </c>
      <c r="M2411" s="6"/>
      <c r="N2411" s="6" t="s">
        <v>5536</v>
      </c>
      <c r="O2411" s="6" t="str">
        <f>HYPERLINK("https://ceds.ed.gov/cedselementdetails.aspx?termid=5267")</f>
        <v>https://ceds.ed.gov/cedselementdetails.aspx?termid=5267</v>
      </c>
      <c r="P2411" s="6" t="str">
        <f>HYPERLINK("https://ceds.ed.gov/elementComment.aspx?elementName=State Abbreviation &amp;elementID=5267", "Click here to submit comment")</f>
        <v>Click here to submit comment</v>
      </c>
    </row>
    <row r="2412" spans="1:16" ht="225">
      <c r="A2412" s="6" t="s">
        <v>6889</v>
      </c>
      <c r="B2412" s="6" t="s">
        <v>6891</v>
      </c>
      <c r="C2412" s="6" t="s">
        <v>6720</v>
      </c>
      <c r="D2412" s="6" t="s">
        <v>182</v>
      </c>
      <c r="E2412" s="6" t="s">
        <v>183</v>
      </c>
      <c r="F2412" s="6" t="s">
        <v>13</v>
      </c>
      <c r="G2412" s="6" t="s">
        <v>5973</v>
      </c>
      <c r="H2412" s="6" t="s">
        <v>3</v>
      </c>
      <c r="I2412" s="6" t="s">
        <v>184</v>
      </c>
      <c r="J2412" s="6"/>
      <c r="K2412" s="6"/>
      <c r="L2412" s="6" t="s">
        <v>185</v>
      </c>
      <c r="M2412" s="6"/>
      <c r="N2412" s="6" t="s">
        <v>186</v>
      </c>
      <c r="O2412" s="6" t="str">
        <f>HYPERLINK("https://ceds.ed.gov/cedselementdetails.aspx?termid=5214")</f>
        <v>https://ceds.ed.gov/cedselementdetails.aspx?termid=5214</v>
      </c>
      <c r="P2412" s="6" t="str">
        <f>HYPERLINK("https://ceds.ed.gov/elementComment.aspx?elementName=Address Postal Code &amp;elementID=5214", "Click here to submit comment")</f>
        <v>Click here to submit comment</v>
      </c>
    </row>
    <row r="2413" spans="1:16" ht="225">
      <c r="A2413" s="6" t="s">
        <v>6889</v>
      </c>
      <c r="B2413" s="6" t="s">
        <v>6891</v>
      </c>
      <c r="C2413" s="6" t="s">
        <v>6720</v>
      </c>
      <c r="D2413" s="6" t="s">
        <v>178</v>
      </c>
      <c r="E2413" s="6" t="s">
        <v>179</v>
      </c>
      <c r="F2413" s="6" t="s">
        <v>13</v>
      </c>
      <c r="G2413" s="6" t="s">
        <v>5973</v>
      </c>
      <c r="H2413" s="6" t="s">
        <v>3</v>
      </c>
      <c r="I2413" s="6" t="s">
        <v>100</v>
      </c>
      <c r="J2413" s="6"/>
      <c r="K2413" s="6"/>
      <c r="L2413" s="6" t="s">
        <v>180</v>
      </c>
      <c r="M2413" s="6"/>
      <c r="N2413" s="6" t="s">
        <v>181</v>
      </c>
      <c r="O2413" s="6" t="str">
        <f>HYPERLINK("https://ceds.ed.gov/cedselementdetails.aspx?termid=5190")</f>
        <v>https://ceds.ed.gov/cedselementdetails.aspx?termid=5190</v>
      </c>
      <c r="P2413" s="6" t="str">
        <f>HYPERLINK("https://ceds.ed.gov/elementComment.aspx?elementName=Address County Name &amp;elementID=5190", "Click here to submit comment")</f>
        <v>Click here to submit comment</v>
      </c>
    </row>
    <row r="2414" spans="1:16" ht="409.5">
      <c r="A2414" s="6" t="s">
        <v>6889</v>
      </c>
      <c r="B2414" s="6" t="s">
        <v>6891</v>
      </c>
      <c r="C2414" s="6" t="s">
        <v>6720</v>
      </c>
      <c r="D2414" s="6" t="s">
        <v>1809</v>
      </c>
      <c r="E2414" s="6" t="s">
        <v>1810</v>
      </c>
      <c r="F2414" s="7" t="s">
        <v>6433</v>
      </c>
      <c r="G2414" s="6" t="s">
        <v>6107</v>
      </c>
      <c r="H2414" s="6" t="s">
        <v>3</v>
      </c>
      <c r="I2414" s="6"/>
      <c r="J2414" s="6"/>
      <c r="K2414" s="6"/>
      <c r="L2414" s="6" t="s">
        <v>1811</v>
      </c>
      <c r="M2414" s="6"/>
      <c r="N2414" s="6" t="s">
        <v>1812</v>
      </c>
      <c r="O2414" s="6" t="str">
        <f>HYPERLINK("https://ceds.ed.gov/cedselementdetails.aspx?termid=5050")</f>
        <v>https://ceds.ed.gov/cedselementdetails.aspx?termid=5050</v>
      </c>
      <c r="P2414" s="6" t="str">
        <f>HYPERLINK("https://ceds.ed.gov/elementComment.aspx?elementName=Country Code &amp;elementID=5050", "Click here to submit comment")</f>
        <v>Click here to submit comment</v>
      </c>
    </row>
    <row r="2415" spans="1:16" ht="135">
      <c r="A2415" s="6" t="s">
        <v>6889</v>
      </c>
      <c r="B2415" s="6" t="s">
        <v>6891</v>
      </c>
      <c r="C2415" s="6" t="s">
        <v>6721</v>
      </c>
      <c r="D2415" s="6" t="s">
        <v>5732</v>
      </c>
      <c r="E2415" s="6" t="s">
        <v>5733</v>
      </c>
      <c r="F2415" s="7" t="s">
        <v>6675</v>
      </c>
      <c r="G2415" s="6" t="s">
        <v>5968</v>
      </c>
      <c r="H2415" s="6" t="s">
        <v>3</v>
      </c>
      <c r="I2415" s="6" t="s">
        <v>2844</v>
      </c>
      <c r="J2415" s="6"/>
      <c r="K2415" s="6"/>
      <c r="L2415" s="6" t="s">
        <v>5734</v>
      </c>
      <c r="M2415" s="6"/>
      <c r="N2415" s="6" t="s">
        <v>5735</v>
      </c>
      <c r="O2415" s="6" t="str">
        <f>HYPERLINK("https://ceds.ed.gov/cedselementdetails.aspx?termid=5280")</f>
        <v>https://ceds.ed.gov/cedselementdetails.aspx?termid=5280</v>
      </c>
      <c r="P2415" s="6" t="str">
        <f>HYPERLINK("https://ceds.ed.gov/elementComment.aspx?elementName=Telephone Number Type &amp;elementID=5280", "Click here to submit comment")</f>
        <v>Click here to submit comment</v>
      </c>
    </row>
    <row r="2416" spans="1:16" ht="90">
      <c r="A2416" s="6" t="s">
        <v>6889</v>
      </c>
      <c r="B2416" s="6" t="s">
        <v>6891</v>
      </c>
      <c r="C2416" s="6" t="s">
        <v>6721</v>
      </c>
      <c r="D2416" s="6" t="s">
        <v>4591</v>
      </c>
      <c r="E2416" s="6" t="s">
        <v>4592</v>
      </c>
      <c r="F2416" s="6" t="s">
        <v>5963</v>
      </c>
      <c r="G2416" s="6" t="s">
        <v>5968</v>
      </c>
      <c r="H2416" s="6" t="s">
        <v>3</v>
      </c>
      <c r="I2416" s="6"/>
      <c r="J2416" s="6"/>
      <c r="K2416" s="6"/>
      <c r="L2416" s="6" t="s">
        <v>4593</v>
      </c>
      <c r="M2416" s="6"/>
      <c r="N2416" s="6" t="s">
        <v>4594</v>
      </c>
      <c r="O2416" s="6" t="str">
        <f>HYPERLINK("https://ceds.ed.gov/cedselementdetails.aspx?termid=5219")</f>
        <v>https://ceds.ed.gov/cedselementdetails.aspx?termid=5219</v>
      </c>
      <c r="P2416" s="6" t="str">
        <f>HYPERLINK("https://ceds.ed.gov/elementComment.aspx?elementName=Primary Telephone Number Indicator &amp;elementID=5219", "Click here to submit comment")</f>
        <v>Click here to submit comment</v>
      </c>
    </row>
    <row r="2417" spans="1:16" ht="90">
      <c r="A2417" s="6" t="s">
        <v>6889</v>
      </c>
      <c r="B2417" s="6" t="s">
        <v>6891</v>
      </c>
      <c r="C2417" s="6" t="s">
        <v>6721</v>
      </c>
      <c r="D2417" s="6" t="s">
        <v>5727</v>
      </c>
      <c r="E2417" s="6" t="s">
        <v>5728</v>
      </c>
      <c r="F2417" s="6" t="s">
        <v>13</v>
      </c>
      <c r="G2417" s="6" t="s">
        <v>5968</v>
      </c>
      <c r="H2417" s="6" t="s">
        <v>3</v>
      </c>
      <c r="I2417" s="6" t="s">
        <v>5729</v>
      </c>
      <c r="J2417" s="6"/>
      <c r="K2417" s="6"/>
      <c r="L2417" s="6" t="s">
        <v>5730</v>
      </c>
      <c r="M2417" s="6"/>
      <c r="N2417" s="6" t="s">
        <v>5731</v>
      </c>
      <c r="O2417" s="6" t="str">
        <f>HYPERLINK("https://ceds.ed.gov/cedselementdetails.aspx?termid=5279")</f>
        <v>https://ceds.ed.gov/cedselementdetails.aspx?termid=5279</v>
      </c>
      <c r="P2417" s="6" t="str">
        <f>HYPERLINK("https://ceds.ed.gov/elementComment.aspx?elementName=Telephone Number &amp;elementID=5279", "Click here to submit comment")</f>
        <v>Click here to submit comment</v>
      </c>
    </row>
    <row r="2418" spans="1:16" ht="105">
      <c r="A2418" s="6" t="s">
        <v>6889</v>
      </c>
      <c r="B2418" s="6" t="s">
        <v>6891</v>
      </c>
      <c r="C2418" s="6" t="s">
        <v>6742</v>
      </c>
      <c r="D2418" s="6" t="s">
        <v>2457</v>
      </c>
      <c r="E2418" s="6" t="s">
        <v>2458</v>
      </c>
      <c r="F2418" s="7" t="s">
        <v>6489</v>
      </c>
      <c r="G2418" s="6" t="s">
        <v>5968</v>
      </c>
      <c r="H2418" s="6" t="s">
        <v>3</v>
      </c>
      <c r="I2418" s="6"/>
      <c r="J2418" s="6"/>
      <c r="K2418" s="6"/>
      <c r="L2418" s="6" t="s">
        <v>2459</v>
      </c>
      <c r="M2418" s="6" t="s">
        <v>2460</v>
      </c>
      <c r="N2418" s="6" t="s">
        <v>2461</v>
      </c>
      <c r="O2418" s="6" t="str">
        <f>HYPERLINK("https://ceds.ed.gov/cedselementdetails.aspx?termid=5089")</f>
        <v>https://ceds.ed.gov/cedselementdetails.aspx?termid=5089</v>
      </c>
      <c r="P2418" s="6" t="str">
        <f>HYPERLINK("https://ceds.ed.gov/elementComment.aspx?elementName=Electronic Mail Address Type &amp;elementID=5089", "Click here to submit comment")</f>
        <v>Click here to submit comment</v>
      </c>
    </row>
    <row r="2419" spans="1:16" ht="90">
      <c r="A2419" s="6" t="s">
        <v>6889</v>
      </c>
      <c r="B2419" s="6" t="s">
        <v>6891</v>
      </c>
      <c r="C2419" s="6" t="s">
        <v>6742</v>
      </c>
      <c r="D2419" s="6" t="s">
        <v>2451</v>
      </c>
      <c r="E2419" s="6" t="s">
        <v>2452</v>
      </c>
      <c r="F2419" s="6" t="s">
        <v>13</v>
      </c>
      <c r="G2419" s="6" t="s">
        <v>5968</v>
      </c>
      <c r="H2419" s="6" t="s">
        <v>3</v>
      </c>
      <c r="I2419" s="6" t="s">
        <v>2453</v>
      </c>
      <c r="J2419" s="6"/>
      <c r="K2419" s="6"/>
      <c r="L2419" s="6" t="s">
        <v>2454</v>
      </c>
      <c r="M2419" s="6" t="s">
        <v>2455</v>
      </c>
      <c r="N2419" s="6" t="s">
        <v>2456</v>
      </c>
      <c r="O2419" s="6" t="str">
        <f>HYPERLINK("https://ceds.ed.gov/cedselementdetails.aspx?termid=5088")</f>
        <v>https://ceds.ed.gov/cedselementdetails.aspx?termid=5088</v>
      </c>
      <c r="P2419" s="6" t="str">
        <f>HYPERLINK("https://ceds.ed.gov/elementComment.aspx?elementName=Electronic Mail Address &amp;elementID=5088", "Click here to submit comment")</f>
        <v>Click here to submit comment</v>
      </c>
    </row>
    <row r="2420" spans="1:16" ht="225">
      <c r="A2420" s="6" t="s">
        <v>6889</v>
      </c>
      <c r="B2420" s="6" t="s">
        <v>6891</v>
      </c>
      <c r="C2420" s="6" t="s">
        <v>6892</v>
      </c>
      <c r="D2420" s="6" t="s">
        <v>241</v>
      </c>
      <c r="E2420" s="6" t="s">
        <v>242</v>
      </c>
      <c r="F2420" s="7" t="s">
        <v>6360</v>
      </c>
      <c r="G2420" s="6"/>
      <c r="H2420" s="6"/>
      <c r="I2420" s="6"/>
      <c r="J2420" s="6"/>
      <c r="K2420" s="6"/>
      <c r="L2420" s="6" t="s">
        <v>244</v>
      </c>
      <c r="M2420" s="6"/>
      <c r="N2420" s="6" t="s">
        <v>245</v>
      </c>
      <c r="O2420" s="6" t="str">
        <f>HYPERLINK("https://ceds.ed.gov/cedselementdetails.aspx?termid=5775")</f>
        <v>https://ceds.ed.gov/cedselementdetails.aspx?termid=5775</v>
      </c>
      <c r="P2420" s="6" t="str">
        <f>HYPERLINK("https://ceds.ed.gov/elementComment.aspx?elementName=Adult Education Certification Type &amp;elementID=5775", "Click here to submit comment")</f>
        <v>Click here to submit comment</v>
      </c>
    </row>
    <row r="2421" spans="1:16" ht="409.5">
      <c r="A2421" s="6" t="s">
        <v>6889</v>
      </c>
      <c r="B2421" s="6" t="s">
        <v>6891</v>
      </c>
      <c r="C2421" s="6" t="s">
        <v>6771</v>
      </c>
      <c r="D2421" s="6" t="s">
        <v>2970</v>
      </c>
      <c r="E2421" s="6" t="s">
        <v>2971</v>
      </c>
      <c r="F2421" s="7" t="s">
        <v>6531</v>
      </c>
      <c r="G2421" s="6" t="s">
        <v>6195</v>
      </c>
      <c r="H2421" s="6" t="s">
        <v>66</v>
      </c>
      <c r="I2421" s="6"/>
      <c r="J2421" s="6" t="s">
        <v>2972</v>
      </c>
      <c r="K2421" s="6"/>
      <c r="L2421" s="6" t="s">
        <v>2973</v>
      </c>
      <c r="M2421" s="6"/>
      <c r="N2421" s="6" t="s">
        <v>2974</v>
      </c>
      <c r="O2421" s="6" t="str">
        <f>HYPERLINK("https://ceds.ed.gov/cedselementdetails.aspx?termid=5141")</f>
        <v>https://ceds.ed.gov/cedselementdetails.aspx?termid=5141</v>
      </c>
      <c r="P2421" s="6" t="str">
        <f>HYPERLINK("https://ceds.ed.gov/elementComment.aspx?elementName=Highest Level of Education Completed &amp;elementID=5141", "Click here to submit comment")</f>
        <v>Click here to submit comment</v>
      </c>
    </row>
    <row r="2422" spans="1:16" ht="60">
      <c r="A2422" s="6" t="s">
        <v>6889</v>
      </c>
      <c r="B2422" s="6" t="s">
        <v>6891</v>
      </c>
      <c r="C2422" s="6" t="s">
        <v>6893</v>
      </c>
      <c r="D2422" s="6" t="s">
        <v>5954</v>
      </c>
      <c r="E2422" s="6" t="s">
        <v>5955</v>
      </c>
      <c r="F2422" s="6" t="s">
        <v>13</v>
      </c>
      <c r="G2422" s="6"/>
      <c r="H2422" s="6"/>
      <c r="I2422" s="6" t="s">
        <v>389</v>
      </c>
      <c r="J2422" s="6"/>
      <c r="K2422" s="6"/>
      <c r="L2422" s="6" t="s">
        <v>5957</v>
      </c>
      <c r="M2422" s="6"/>
      <c r="N2422" s="6" t="s">
        <v>5958</v>
      </c>
      <c r="O2422" s="6" t="str">
        <f>HYPERLINK("https://ceds.ed.gov/cedselementdetails.aspx?termid=5774")</f>
        <v>https://ceds.ed.gov/cedselementdetails.aspx?termid=5774</v>
      </c>
      <c r="P2422" s="6" t="str">
        <f>HYPERLINK("https://ceds.ed.gov/elementComment.aspx?elementName=Years of Prior Adult Education Teaching Experience &amp;elementID=5774", "Click here to submit comment")</f>
        <v>Click here to submit comment</v>
      </c>
    </row>
    <row r="2423" spans="1:16" ht="255">
      <c r="A2423" s="6" t="s">
        <v>6889</v>
      </c>
      <c r="B2423" s="6" t="s">
        <v>6891</v>
      </c>
      <c r="C2423" s="6" t="s">
        <v>6770</v>
      </c>
      <c r="D2423" s="6" t="s">
        <v>278</v>
      </c>
      <c r="E2423" s="6" t="s">
        <v>279</v>
      </c>
      <c r="F2423" s="7" t="s">
        <v>6366</v>
      </c>
      <c r="G2423" s="6"/>
      <c r="H2423" s="6" t="s">
        <v>66</v>
      </c>
      <c r="I2423" s="6"/>
      <c r="J2423" s="6" t="s">
        <v>281</v>
      </c>
      <c r="K2423" s="6"/>
      <c r="L2423" s="6" t="s">
        <v>282</v>
      </c>
      <c r="M2423" s="6"/>
      <c r="N2423" s="6" t="s">
        <v>283</v>
      </c>
      <c r="O2423" s="6" t="str">
        <f>HYPERLINK("https://ceds.ed.gov/cedselementdetails.aspx?termid=5770")</f>
        <v>https://ceds.ed.gov/cedselementdetails.aspx?termid=5770</v>
      </c>
      <c r="P2423" s="6" t="str">
        <f>HYPERLINK("https://ceds.ed.gov/elementComment.aspx?elementName=Adult Education Staff Classification &amp;elementID=5770", "Click here to submit comment")</f>
        <v>Click here to submit comment</v>
      </c>
    </row>
    <row r="2424" spans="1:16" ht="135">
      <c r="A2424" s="6" t="s">
        <v>6889</v>
      </c>
      <c r="B2424" s="6" t="s">
        <v>6891</v>
      </c>
      <c r="C2424" s="6" t="s">
        <v>6770</v>
      </c>
      <c r="D2424" s="6" t="s">
        <v>284</v>
      </c>
      <c r="E2424" s="6" t="s">
        <v>285</v>
      </c>
      <c r="F2424" s="7" t="s">
        <v>6367</v>
      </c>
      <c r="G2424" s="6"/>
      <c r="H2424" s="6"/>
      <c r="I2424" s="6"/>
      <c r="J2424" s="6"/>
      <c r="K2424" s="6"/>
      <c r="L2424" s="6" t="s">
        <v>286</v>
      </c>
      <c r="M2424" s="6"/>
      <c r="N2424" s="6" t="s">
        <v>287</v>
      </c>
      <c r="O2424" s="6" t="str">
        <f>HYPERLINK("https://ceds.ed.gov/cedselementdetails.aspx?termid=5771")</f>
        <v>https://ceds.ed.gov/cedselementdetails.aspx?termid=5771</v>
      </c>
      <c r="P2424" s="6" t="str">
        <f>HYPERLINK("https://ceds.ed.gov/elementComment.aspx?elementName=Adult Education Staff Employment Status &amp;elementID=5771", "Click here to submit comment")</f>
        <v>Click here to submit comment</v>
      </c>
    </row>
    <row r="2425" spans="1:16" ht="60">
      <c r="A2425" s="6" t="s">
        <v>6889</v>
      </c>
      <c r="B2425" s="6" t="s">
        <v>6891</v>
      </c>
      <c r="C2425" s="6" t="s">
        <v>6770</v>
      </c>
      <c r="D2425" s="6" t="s">
        <v>2492</v>
      </c>
      <c r="E2425" s="6" t="s">
        <v>2493</v>
      </c>
      <c r="F2425" s="6" t="s">
        <v>13</v>
      </c>
      <c r="G2425" s="6" t="s">
        <v>202</v>
      </c>
      <c r="H2425" s="6" t="s">
        <v>3</v>
      </c>
      <c r="I2425" s="6" t="s">
        <v>73</v>
      </c>
      <c r="J2425" s="6"/>
      <c r="K2425" s="6"/>
      <c r="L2425" s="6" t="s">
        <v>2494</v>
      </c>
      <c r="M2425" s="6"/>
      <c r="N2425" s="6" t="s">
        <v>2495</v>
      </c>
      <c r="O2425" s="6" t="str">
        <f>HYPERLINK("https://ceds.ed.gov/cedselementdetails.aspx?termid=5794")</f>
        <v>https://ceds.ed.gov/cedselementdetails.aspx?termid=5794</v>
      </c>
      <c r="P2425" s="6" t="str">
        <f>HYPERLINK("https://ceds.ed.gov/elementComment.aspx?elementName=Employment End Date &amp;elementID=5794", "Click here to submit comment")</f>
        <v>Click here to submit comment</v>
      </c>
    </row>
    <row r="2426" spans="1:16" ht="60">
      <c r="A2426" s="6" t="s">
        <v>6889</v>
      </c>
      <c r="B2426" s="6" t="s">
        <v>6891</v>
      </c>
      <c r="C2426" s="6" t="s">
        <v>6770</v>
      </c>
      <c r="D2426" s="6" t="s">
        <v>2534</v>
      </c>
      <c r="E2426" s="6" t="s">
        <v>2535</v>
      </c>
      <c r="F2426" s="6" t="s">
        <v>13</v>
      </c>
      <c r="G2426" s="6" t="s">
        <v>6154</v>
      </c>
      <c r="H2426" s="6" t="s">
        <v>3</v>
      </c>
      <c r="I2426" s="6" t="s">
        <v>73</v>
      </c>
      <c r="J2426" s="6"/>
      <c r="K2426" s="6"/>
      <c r="L2426" s="6" t="s">
        <v>2536</v>
      </c>
      <c r="M2426" s="6"/>
      <c r="N2426" s="6" t="s">
        <v>2537</v>
      </c>
      <c r="O2426" s="6" t="str">
        <f>HYPERLINK("https://ceds.ed.gov/cedselementdetails.aspx?termid=5345")</f>
        <v>https://ceds.ed.gov/cedselementdetails.aspx?termid=5345</v>
      </c>
      <c r="P2426" s="6" t="str">
        <f>HYPERLINK("https://ceds.ed.gov/elementComment.aspx?elementName=Employment Start Date &amp;elementID=5345", "Click here to submit comment")</f>
        <v>Click here to submit comment</v>
      </c>
    </row>
    <row r="2427" spans="1:16" ht="210">
      <c r="A2427" s="6" t="s">
        <v>6889</v>
      </c>
      <c r="B2427" s="6" t="s">
        <v>6891</v>
      </c>
      <c r="C2427" s="6" t="s">
        <v>6770</v>
      </c>
      <c r="D2427" s="6" t="s">
        <v>2980</v>
      </c>
      <c r="E2427" s="6" t="s">
        <v>2981</v>
      </c>
      <c r="F2427" s="6" t="s">
        <v>13</v>
      </c>
      <c r="G2427" s="6" t="s">
        <v>6197</v>
      </c>
      <c r="H2427" s="6" t="s">
        <v>3</v>
      </c>
      <c r="I2427" s="6" t="s">
        <v>73</v>
      </c>
      <c r="J2427" s="6"/>
      <c r="K2427" s="6" t="s">
        <v>2982</v>
      </c>
      <c r="L2427" s="6" t="s">
        <v>2983</v>
      </c>
      <c r="M2427" s="6"/>
      <c r="N2427" s="6" t="s">
        <v>2984</v>
      </c>
      <c r="O2427" s="6" t="str">
        <f>HYPERLINK("https://ceds.ed.gov/cedselementdetails.aspx?termid=5143")</f>
        <v>https://ceds.ed.gov/cedselementdetails.aspx?termid=5143</v>
      </c>
      <c r="P2427" s="6" t="str">
        <f>HYPERLINK("https://ceds.ed.gov/elementComment.aspx?elementName=Hire Date &amp;elementID=5143", "Click here to submit comment")</f>
        <v>Click here to submit comment</v>
      </c>
    </row>
    <row r="2428" spans="1:16" ht="60">
      <c r="A2428" s="6" t="s">
        <v>6889</v>
      </c>
      <c r="B2428" s="6" t="s">
        <v>6891</v>
      </c>
      <c r="C2428" s="6" t="s">
        <v>6822</v>
      </c>
      <c r="D2428" s="6" t="s">
        <v>268</v>
      </c>
      <c r="E2428" s="6" t="s">
        <v>269</v>
      </c>
      <c r="F2428" s="6" t="s">
        <v>13</v>
      </c>
      <c r="G2428" s="6"/>
      <c r="H2428" s="6" t="s">
        <v>3</v>
      </c>
      <c r="I2428" s="6" t="s">
        <v>100</v>
      </c>
      <c r="J2428" s="6"/>
      <c r="K2428" s="6"/>
      <c r="L2428" s="6" t="s">
        <v>270</v>
      </c>
      <c r="M2428" s="6"/>
      <c r="N2428" s="6" t="s">
        <v>271</v>
      </c>
      <c r="O2428" s="6" t="str">
        <f>HYPERLINK("https://ceds.ed.gov/cedselementdetails.aspx?termid=5777")</f>
        <v>https://ceds.ed.gov/cedselementdetails.aspx?termid=5777</v>
      </c>
      <c r="P2428" s="6" t="str">
        <f>HYPERLINK("https://ceds.ed.gov/elementComment.aspx?elementName=Adult Education Service Provider Identifier &amp;elementID=5777", "Click here to submit comment")</f>
        <v>Click here to submit comment</v>
      </c>
    </row>
    <row r="2429" spans="1:16" ht="315">
      <c r="A2429" s="6" t="s">
        <v>6889</v>
      </c>
      <c r="B2429" s="6" t="s">
        <v>6891</v>
      </c>
      <c r="C2429" s="6" t="s">
        <v>6822</v>
      </c>
      <c r="D2429" s="6" t="s">
        <v>264</v>
      </c>
      <c r="E2429" s="6" t="s">
        <v>265</v>
      </c>
      <c r="F2429" s="7" t="s">
        <v>6364</v>
      </c>
      <c r="G2429" s="6"/>
      <c r="H2429" s="6" t="s">
        <v>3</v>
      </c>
      <c r="I2429" s="6"/>
      <c r="J2429" s="6"/>
      <c r="K2429" s="6"/>
      <c r="L2429" s="6" t="s">
        <v>266</v>
      </c>
      <c r="M2429" s="6"/>
      <c r="N2429" s="6" t="s">
        <v>267</v>
      </c>
      <c r="O2429" s="6" t="str">
        <f>HYPERLINK("https://ceds.ed.gov/cedselementdetails.aspx?termid=5778")</f>
        <v>https://ceds.ed.gov/cedselementdetails.aspx?termid=5778</v>
      </c>
      <c r="P2429" s="6" t="str">
        <f>HYPERLINK("https://ceds.ed.gov/elementComment.aspx?elementName=Adult Education Service Provider Identification System &amp;elementID=5778", "Click here to submit comment")</f>
        <v>Click here to submit comment</v>
      </c>
    </row>
    <row r="2430" spans="1:16" ht="255">
      <c r="A2430" s="6" t="s">
        <v>6889</v>
      </c>
      <c r="B2430" s="6" t="s">
        <v>6894</v>
      </c>
      <c r="C2430" s="6"/>
      <c r="D2430" s="6" t="s">
        <v>259</v>
      </c>
      <c r="E2430" s="6" t="s">
        <v>260</v>
      </c>
      <c r="F2430" s="7" t="s">
        <v>6363</v>
      </c>
      <c r="G2430" s="6"/>
      <c r="H2430" s="6" t="s">
        <v>66</v>
      </c>
      <c r="I2430" s="6"/>
      <c r="J2430" s="6" t="s">
        <v>193</v>
      </c>
      <c r="K2430" s="6"/>
      <c r="L2430" s="6" t="s">
        <v>262</v>
      </c>
      <c r="M2430" s="6"/>
      <c r="N2430" s="6" t="s">
        <v>263</v>
      </c>
      <c r="O2430" s="6" t="str">
        <f>HYPERLINK("https://ceds.ed.gov/cedselementdetails.aspx?termid=5779")</f>
        <v>https://ceds.ed.gov/cedselementdetails.aspx?termid=5779</v>
      </c>
      <c r="P2430" s="6" t="str">
        <f>HYPERLINK("https://ceds.ed.gov/elementComment.aspx?elementName=Adult Education Provider Type &amp;elementID=5779", "Click here to submit comment")</f>
        <v>Click here to submit comment</v>
      </c>
    </row>
    <row r="2431" spans="1:16" ht="315">
      <c r="A2431" s="6" t="s">
        <v>6889</v>
      </c>
      <c r="B2431" s="6" t="s">
        <v>6894</v>
      </c>
      <c r="C2431" s="6"/>
      <c r="D2431" s="6" t="s">
        <v>264</v>
      </c>
      <c r="E2431" s="6" t="s">
        <v>265</v>
      </c>
      <c r="F2431" s="7" t="s">
        <v>6364</v>
      </c>
      <c r="G2431" s="6"/>
      <c r="H2431" s="6" t="s">
        <v>3</v>
      </c>
      <c r="I2431" s="6"/>
      <c r="J2431" s="6"/>
      <c r="K2431" s="6"/>
      <c r="L2431" s="6" t="s">
        <v>266</v>
      </c>
      <c r="M2431" s="6"/>
      <c r="N2431" s="6" t="s">
        <v>267</v>
      </c>
      <c r="O2431" s="6" t="str">
        <f>HYPERLINK("https://ceds.ed.gov/cedselementdetails.aspx?termid=5778")</f>
        <v>https://ceds.ed.gov/cedselementdetails.aspx?termid=5778</v>
      </c>
      <c r="P2431" s="6" t="str">
        <f>HYPERLINK("https://ceds.ed.gov/elementComment.aspx?elementName=Adult Education Service Provider Identification System &amp;elementID=5778", "Click here to submit comment")</f>
        <v>Click here to submit comment</v>
      </c>
    </row>
    <row r="2432" spans="1:16" ht="60">
      <c r="A2432" s="6" t="s">
        <v>6889</v>
      </c>
      <c r="B2432" s="6" t="s">
        <v>6894</v>
      </c>
      <c r="C2432" s="6"/>
      <c r="D2432" s="6" t="s">
        <v>268</v>
      </c>
      <c r="E2432" s="6" t="s">
        <v>269</v>
      </c>
      <c r="F2432" s="6" t="s">
        <v>13</v>
      </c>
      <c r="G2432" s="6"/>
      <c r="H2432" s="6" t="s">
        <v>3</v>
      </c>
      <c r="I2432" s="6" t="s">
        <v>100</v>
      </c>
      <c r="J2432" s="6"/>
      <c r="K2432" s="6"/>
      <c r="L2432" s="6" t="s">
        <v>270</v>
      </c>
      <c r="M2432" s="6"/>
      <c r="N2432" s="6" t="s">
        <v>271</v>
      </c>
      <c r="O2432" s="6" t="str">
        <f>HYPERLINK("https://ceds.ed.gov/cedselementdetails.aspx?termid=5777")</f>
        <v>https://ceds.ed.gov/cedselementdetails.aspx?termid=5777</v>
      </c>
      <c r="P2432" s="6" t="str">
        <f>HYPERLINK("https://ceds.ed.gov/elementComment.aspx?elementName=Adult Education Service Provider Identifier &amp;elementID=5777", "Click here to submit comment")</f>
        <v>Click here to submit comment</v>
      </c>
    </row>
    <row r="2433" spans="1:16" ht="409.5">
      <c r="A2433" s="6" t="s">
        <v>6889</v>
      </c>
      <c r="B2433" s="6" t="s">
        <v>6817</v>
      </c>
      <c r="C2433" s="6"/>
      <c r="D2433" s="6" t="s">
        <v>1577</v>
      </c>
      <c r="E2433" s="6" t="s">
        <v>1578</v>
      </c>
      <c r="F2433" s="7" t="s">
        <v>6415</v>
      </c>
      <c r="G2433" s="6"/>
      <c r="H2433" s="6" t="s">
        <v>54</v>
      </c>
      <c r="I2433" s="6"/>
      <c r="J2433" s="6"/>
      <c r="K2433" s="6" t="s">
        <v>1579</v>
      </c>
      <c r="L2433" s="6" t="s">
        <v>1580</v>
      </c>
      <c r="M2433" s="6"/>
      <c r="N2433" s="6" t="s">
        <v>1581</v>
      </c>
      <c r="O2433" s="6" t="str">
        <f>HYPERLINK("https://ceds.ed.gov/cedselementdetails.aspx?termid=6254")</f>
        <v>https://ceds.ed.gov/cedselementdetails.aspx?termid=6254</v>
      </c>
      <c r="P2433" s="6" t="str">
        <f>HYPERLINK("https://ceds.ed.gov/elementComment.aspx?elementName=Career Cluster &amp;elementID=6254", "Click here to submit comment")</f>
        <v>Click here to submit comment</v>
      </c>
    </row>
    <row r="2434" spans="1:16" ht="75">
      <c r="A2434" s="6" t="s">
        <v>6889</v>
      </c>
      <c r="B2434" s="6" t="s">
        <v>6817</v>
      </c>
      <c r="C2434" s="6"/>
      <c r="D2434" s="6" t="s">
        <v>1590</v>
      </c>
      <c r="E2434" s="6" t="s">
        <v>1591</v>
      </c>
      <c r="F2434" s="6" t="s">
        <v>5963</v>
      </c>
      <c r="G2434" s="6"/>
      <c r="H2434" s="6" t="s">
        <v>54</v>
      </c>
      <c r="I2434" s="6"/>
      <c r="J2434" s="6"/>
      <c r="K2434" s="6"/>
      <c r="L2434" s="6" t="s">
        <v>1592</v>
      </c>
      <c r="M2434" s="6"/>
      <c r="N2434" s="6" t="s">
        <v>1593</v>
      </c>
      <c r="O2434" s="6" t="str">
        <f>HYPERLINK("https://ceds.ed.gov/cedselementdetails.aspx?termid=6257")</f>
        <v>https://ceds.ed.gov/cedselementdetails.aspx?termid=6257</v>
      </c>
      <c r="P2434" s="6" t="str">
        <f>HYPERLINK("https://ceds.ed.gov/elementComment.aspx?elementName=Career Pathways Program Participation Indicator &amp;elementID=6257", "Click here to submit comment")</f>
        <v>Click here to submit comment</v>
      </c>
    </row>
    <row r="2435" spans="1:16" ht="105">
      <c r="A2435" s="6" t="s">
        <v>6889</v>
      </c>
      <c r="B2435" s="6" t="s">
        <v>6894</v>
      </c>
      <c r="C2435" s="6"/>
      <c r="D2435" s="6" t="s">
        <v>3963</v>
      </c>
      <c r="E2435" s="6" t="s">
        <v>3964</v>
      </c>
      <c r="F2435" s="7" t="s">
        <v>6572</v>
      </c>
      <c r="G2435" s="6" t="s">
        <v>6093</v>
      </c>
      <c r="H2435" s="6"/>
      <c r="I2435" s="6"/>
      <c r="J2435" s="6"/>
      <c r="K2435" s="6"/>
      <c r="L2435" s="6" t="s">
        <v>3965</v>
      </c>
      <c r="M2435" s="6"/>
      <c r="N2435" s="6" t="s">
        <v>3966</v>
      </c>
      <c r="O2435" s="6" t="str">
        <f>HYPERLINK("https://ceds.ed.gov/cedselementdetails.aspx?termid=5178")</f>
        <v>https://ceds.ed.gov/cedselementdetails.aspx?termid=5178</v>
      </c>
      <c r="P2435" s="6" t="str">
        <f>HYPERLINK("https://ceds.ed.gov/elementComment.aspx?elementName=Level of Institution &amp;elementID=5178", "Click here to submit comment")</f>
        <v>Click here to submit comment</v>
      </c>
    </row>
    <row r="2436" spans="1:16" ht="225">
      <c r="A2436" s="6" t="s">
        <v>6889</v>
      </c>
      <c r="B2436" s="6" t="s">
        <v>6894</v>
      </c>
      <c r="C2436" s="6"/>
      <c r="D2436" s="6" t="s">
        <v>4189</v>
      </c>
      <c r="E2436" s="6" t="s">
        <v>4190</v>
      </c>
      <c r="F2436" s="6" t="s">
        <v>13</v>
      </c>
      <c r="G2436" s="6" t="s">
        <v>6257</v>
      </c>
      <c r="H2436" s="6"/>
      <c r="I2436" s="6" t="s">
        <v>106</v>
      </c>
      <c r="J2436" s="6"/>
      <c r="K2436" s="6"/>
      <c r="L2436" s="6" t="s">
        <v>4191</v>
      </c>
      <c r="M2436" s="6"/>
      <c r="N2436" s="6" t="s">
        <v>4192</v>
      </c>
      <c r="O2436" s="6" t="str">
        <f>HYPERLINK("https://ceds.ed.gov/cedselementdetails.aspx?termid=5191")</f>
        <v>https://ceds.ed.gov/cedselementdetails.aspx?termid=5191</v>
      </c>
      <c r="P2436" s="6" t="str">
        <f>HYPERLINK("https://ceds.ed.gov/elementComment.aspx?elementName=Name of Institution &amp;elementID=5191", "Click here to submit comment")</f>
        <v>Click here to submit comment</v>
      </c>
    </row>
    <row r="2437" spans="1:16" ht="90">
      <c r="A2437" s="6" t="s">
        <v>6889</v>
      </c>
      <c r="B2437" s="6" t="s">
        <v>6894</v>
      </c>
      <c r="C2437" s="6"/>
      <c r="D2437" s="6" t="s">
        <v>5361</v>
      </c>
      <c r="E2437" s="6" t="s">
        <v>5362</v>
      </c>
      <c r="F2437" s="6" t="s">
        <v>13</v>
      </c>
      <c r="G2437" s="6"/>
      <c r="H2437" s="6" t="s">
        <v>54</v>
      </c>
      <c r="I2437" s="6" t="s">
        <v>100</v>
      </c>
      <c r="J2437" s="6"/>
      <c r="K2437" s="6" t="s">
        <v>5363</v>
      </c>
      <c r="L2437" s="6" t="s">
        <v>5364</v>
      </c>
      <c r="M2437" s="6"/>
      <c r="N2437" s="6" t="s">
        <v>5365</v>
      </c>
      <c r="O2437" s="6" t="str">
        <f>HYPERLINK("https://ceds.ed.gov/cedselementdetails.aspx?termid=6459")</f>
        <v>https://ceds.ed.gov/cedselementdetails.aspx?termid=6459</v>
      </c>
      <c r="P2437" s="6" t="str">
        <f>HYPERLINK("https://ceds.ed.gov/elementComment.aspx?elementName=Short Name of Institution &amp;elementID=6459", "Click here to submit comment")</f>
        <v>Click here to submit comment</v>
      </c>
    </row>
    <row r="2438" spans="1:16" ht="195">
      <c r="A2438" s="6" t="s">
        <v>6895</v>
      </c>
      <c r="B2438" s="6" t="s">
        <v>6896</v>
      </c>
      <c r="C2438" s="6" t="s">
        <v>6717</v>
      </c>
      <c r="D2438" s="6" t="s">
        <v>2776</v>
      </c>
      <c r="E2438" s="6" t="s">
        <v>2777</v>
      </c>
      <c r="F2438" s="6" t="s">
        <v>13</v>
      </c>
      <c r="G2438" s="6" t="s">
        <v>6176</v>
      </c>
      <c r="H2438" s="6" t="s">
        <v>3</v>
      </c>
      <c r="I2438" s="6" t="s">
        <v>1368</v>
      </c>
      <c r="J2438" s="6"/>
      <c r="K2438" s="6" t="s">
        <v>2778</v>
      </c>
      <c r="L2438" s="6" t="s">
        <v>2779</v>
      </c>
      <c r="M2438" s="6"/>
      <c r="N2438" s="6" t="s">
        <v>2780</v>
      </c>
      <c r="O2438" s="6" t="str">
        <f>HYPERLINK("https://ceds.ed.gov/cedselementdetails.aspx?termid=5115")</f>
        <v>https://ceds.ed.gov/cedselementdetails.aspx?termid=5115</v>
      </c>
      <c r="P2438" s="6" t="str">
        <f>HYPERLINK("https://ceds.ed.gov/elementComment.aspx?elementName=First Name &amp;elementID=5115", "Click here to submit comment")</f>
        <v>Click here to submit comment</v>
      </c>
    </row>
    <row r="2439" spans="1:16" ht="195">
      <c r="A2439" s="6" t="s">
        <v>6895</v>
      </c>
      <c r="B2439" s="6" t="s">
        <v>6896</v>
      </c>
      <c r="C2439" s="6" t="s">
        <v>6717</v>
      </c>
      <c r="D2439" s="6" t="s">
        <v>4088</v>
      </c>
      <c r="E2439" s="6" t="s">
        <v>4089</v>
      </c>
      <c r="F2439" s="6" t="s">
        <v>13</v>
      </c>
      <c r="G2439" s="6" t="s">
        <v>6176</v>
      </c>
      <c r="H2439" s="6" t="s">
        <v>3</v>
      </c>
      <c r="I2439" s="6" t="s">
        <v>1368</v>
      </c>
      <c r="J2439" s="6"/>
      <c r="K2439" s="6" t="s">
        <v>2778</v>
      </c>
      <c r="L2439" s="6" t="s">
        <v>4090</v>
      </c>
      <c r="M2439" s="6"/>
      <c r="N2439" s="6" t="s">
        <v>4091</v>
      </c>
      <c r="O2439" s="6" t="str">
        <f>HYPERLINK("https://ceds.ed.gov/cedselementdetails.aspx?termid=5184")</f>
        <v>https://ceds.ed.gov/cedselementdetails.aspx?termid=5184</v>
      </c>
      <c r="P2439" s="6" t="str">
        <f>HYPERLINK("https://ceds.ed.gov/elementComment.aspx?elementName=Middle Name &amp;elementID=5184", "Click here to submit comment")</f>
        <v>Click here to submit comment</v>
      </c>
    </row>
    <row r="2440" spans="1:16" ht="195">
      <c r="A2440" s="6" t="s">
        <v>6895</v>
      </c>
      <c r="B2440" s="6" t="s">
        <v>6896</v>
      </c>
      <c r="C2440" s="6" t="s">
        <v>6717</v>
      </c>
      <c r="D2440" s="6" t="s">
        <v>3427</v>
      </c>
      <c r="E2440" s="6" t="s">
        <v>3428</v>
      </c>
      <c r="F2440" s="6" t="s">
        <v>13</v>
      </c>
      <c r="G2440" s="6" t="s">
        <v>6176</v>
      </c>
      <c r="H2440" s="6" t="s">
        <v>3</v>
      </c>
      <c r="I2440" s="6" t="s">
        <v>1368</v>
      </c>
      <c r="J2440" s="6"/>
      <c r="K2440" s="6" t="s">
        <v>2778</v>
      </c>
      <c r="L2440" s="6" t="s">
        <v>3429</v>
      </c>
      <c r="M2440" s="6" t="s">
        <v>3430</v>
      </c>
      <c r="N2440" s="6" t="s">
        <v>3431</v>
      </c>
      <c r="O2440" s="6" t="str">
        <f>HYPERLINK("https://ceds.ed.gov/cedselementdetails.aspx?termid=5172")</f>
        <v>https://ceds.ed.gov/cedselementdetails.aspx?termid=5172</v>
      </c>
      <c r="P2440" s="6" t="str">
        <f>HYPERLINK("https://ceds.ed.gov/elementComment.aspx?elementName=Last or Surname &amp;elementID=5172", "Click here to submit comment")</f>
        <v>Click here to submit comment</v>
      </c>
    </row>
    <row r="2441" spans="1:16" ht="150">
      <c r="A2441" s="6" t="s">
        <v>6895</v>
      </c>
      <c r="B2441" s="6" t="s">
        <v>6896</v>
      </c>
      <c r="C2441" s="6" t="s">
        <v>6717</v>
      </c>
      <c r="D2441" s="6" t="s">
        <v>2829</v>
      </c>
      <c r="E2441" s="6" t="s">
        <v>2830</v>
      </c>
      <c r="F2441" s="6" t="s">
        <v>13</v>
      </c>
      <c r="G2441" s="6" t="s">
        <v>6179</v>
      </c>
      <c r="H2441" s="6" t="s">
        <v>3</v>
      </c>
      <c r="I2441" s="6" t="s">
        <v>2031</v>
      </c>
      <c r="J2441" s="6"/>
      <c r="K2441" s="6" t="s">
        <v>2778</v>
      </c>
      <c r="L2441" s="6" t="s">
        <v>2831</v>
      </c>
      <c r="M2441" s="6"/>
      <c r="N2441" s="6" t="s">
        <v>2832</v>
      </c>
      <c r="O2441" s="6" t="str">
        <f>HYPERLINK("https://ceds.ed.gov/cedselementdetails.aspx?termid=5121")</f>
        <v>https://ceds.ed.gov/cedselementdetails.aspx?termid=5121</v>
      </c>
      <c r="P2441" s="6" t="str">
        <f>HYPERLINK("https://ceds.ed.gov/elementComment.aspx?elementName=Generation Code or Suffix &amp;elementID=5121", "Click here to submit comment")</f>
        <v>Click here to submit comment</v>
      </c>
    </row>
    <row r="2442" spans="1:16" ht="105">
      <c r="A2442" s="6" t="s">
        <v>6895</v>
      </c>
      <c r="B2442" s="6" t="s">
        <v>6896</v>
      </c>
      <c r="C2442" s="6" t="s">
        <v>6717</v>
      </c>
      <c r="D2442" s="6" t="s">
        <v>4498</v>
      </c>
      <c r="E2442" s="6" t="s">
        <v>4499</v>
      </c>
      <c r="F2442" s="6" t="s">
        <v>13</v>
      </c>
      <c r="G2442" s="6" t="s">
        <v>6280</v>
      </c>
      <c r="H2442" s="6" t="s">
        <v>3</v>
      </c>
      <c r="I2442" s="6" t="s">
        <v>100</v>
      </c>
      <c r="J2442" s="6"/>
      <c r="K2442" s="6"/>
      <c r="L2442" s="6" t="s">
        <v>4500</v>
      </c>
      <c r="M2442" s="6" t="s">
        <v>4501</v>
      </c>
      <c r="N2442" s="6" t="s">
        <v>4502</v>
      </c>
      <c r="O2442" s="6" t="str">
        <f>HYPERLINK("https://ceds.ed.gov/cedselementdetails.aspx?termid=5212")</f>
        <v>https://ceds.ed.gov/cedselementdetails.aspx?termid=5212</v>
      </c>
      <c r="P2442" s="6" t="str">
        <f>HYPERLINK("https://ceds.ed.gov/elementComment.aspx?elementName=Personal Title or Prefix &amp;elementID=5212", "Click here to submit comment")</f>
        <v>Click here to submit comment</v>
      </c>
    </row>
    <row r="2443" spans="1:16" ht="30">
      <c r="A2443" s="6" t="s">
        <v>6895</v>
      </c>
      <c r="B2443" s="6" t="s">
        <v>6896</v>
      </c>
      <c r="C2443" s="6" t="s">
        <v>6718</v>
      </c>
      <c r="D2443" s="6" t="s">
        <v>4375</v>
      </c>
      <c r="E2443" s="6" t="s">
        <v>4376</v>
      </c>
      <c r="F2443" s="6" t="s">
        <v>13</v>
      </c>
      <c r="G2443" s="6"/>
      <c r="H2443" s="6" t="s">
        <v>54</v>
      </c>
      <c r="I2443" s="6" t="s">
        <v>1368</v>
      </c>
      <c r="J2443" s="6"/>
      <c r="K2443" s="6" t="s">
        <v>4377</v>
      </c>
      <c r="L2443" s="6" t="s">
        <v>4378</v>
      </c>
      <c r="M2443" s="6"/>
      <c r="N2443" s="6" t="s">
        <v>4379</v>
      </c>
      <c r="O2443" s="6" t="str">
        <f>HYPERLINK("https://ceds.ed.gov/cedselementdetails.aspx?termid=6486")</f>
        <v>https://ceds.ed.gov/cedselementdetails.aspx?termid=6486</v>
      </c>
      <c r="P2443" s="6" t="str">
        <f>HYPERLINK("https://ceds.ed.gov/elementComment.aspx?elementName=Other First Name &amp;elementID=6486", "Click here to submit comment")</f>
        <v>Click here to submit comment</v>
      </c>
    </row>
    <row r="2444" spans="1:16" ht="30">
      <c r="A2444" s="6" t="s">
        <v>6895</v>
      </c>
      <c r="B2444" s="6" t="s">
        <v>6896</v>
      </c>
      <c r="C2444" s="6" t="s">
        <v>6718</v>
      </c>
      <c r="D2444" s="6" t="s">
        <v>4380</v>
      </c>
      <c r="E2444" s="6" t="s">
        <v>4381</v>
      </c>
      <c r="F2444" s="6" t="s">
        <v>13</v>
      </c>
      <c r="G2444" s="6"/>
      <c r="H2444" s="6" t="s">
        <v>54</v>
      </c>
      <c r="I2444" s="6" t="s">
        <v>1368</v>
      </c>
      <c r="J2444" s="6"/>
      <c r="K2444" s="6" t="s">
        <v>4382</v>
      </c>
      <c r="L2444" s="6" t="s">
        <v>4383</v>
      </c>
      <c r="M2444" s="6"/>
      <c r="N2444" s="6" t="s">
        <v>4384</v>
      </c>
      <c r="O2444" s="6" t="str">
        <f>HYPERLINK("https://ceds.ed.gov/cedselementdetails.aspx?termid=6485")</f>
        <v>https://ceds.ed.gov/cedselementdetails.aspx?termid=6485</v>
      </c>
      <c r="P2444" s="6" t="str">
        <f>HYPERLINK("https://ceds.ed.gov/elementComment.aspx?elementName=Other Last Name &amp;elementID=6485", "Click here to submit comment")</f>
        <v>Click here to submit comment</v>
      </c>
    </row>
    <row r="2445" spans="1:16" ht="30">
      <c r="A2445" s="6" t="s">
        <v>6895</v>
      </c>
      <c r="B2445" s="6" t="s">
        <v>6896</v>
      </c>
      <c r="C2445" s="6" t="s">
        <v>6718</v>
      </c>
      <c r="D2445" s="6" t="s">
        <v>4385</v>
      </c>
      <c r="E2445" s="6" t="s">
        <v>4386</v>
      </c>
      <c r="F2445" s="6" t="s">
        <v>13</v>
      </c>
      <c r="G2445" s="6"/>
      <c r="H2445" s="6" t="s">
        <v>54</v>
      </c>
      <c r="I2445" s="6" t="s">
        <v>1368</v>
      </c>
      <c r="J2445" s="6"/>
      <c r="K2445" s="6" t="s">
        <v>4387</v>
      </c>
      <c r="L2445" s="6" t="s">
        <v>4388</v>
      </c>
      <c r="M2445" s="6"/>
      <c r="N2445" s="6" t="s">
        <v>4389</v>
      </c>
      <c r="O2445" s="6" t="str">
        <f>HYPERLINK("https://ceds.ed.gov/cedselementdetails.aspx?termid=6487")</f>
        <v>https://ceds.ed.gov/cedselementdetails.aspx?termid=6487</v>
      </c>
      <c r="P2445" s="6" t="str">
        <f>HYPERLINK("https://ceds.ed.gov/elementComment.aspx?elementName=Other Middle Name &amp;elementID=6487", "Click here to submit comment")</f>
        <v>Click here to submit comment</v>
      </c>
    </row>
    <row r="2446" spans="1:16" ht="150">
      <c r="A2446" s="6" t="s">
        <v>6895</v>
      </c>
      <c r="B2446" s="6" t="s">
        <v>6896</v>
      </c>
      <c r="C2446" s="6" t="s">
        <v>6718</v>
      </c>
      <c r="D2446" s="6" t="s">
        <v>4390</v>
      </c>
      <c r="E2446" s="6" t="s">
        <v>4391</v>
      </c>
      <c r="F2446" s="6" t="s">
        <v>13</v>
      </c>
      <c r="G2446" s="6" t="s">
        <v>6179</v>
      </c>
      <c r="H2446" s="6" t="s">
        <v>3</v>
      </c>
      <c r="I2446" s="6" t="s">
        <v>149</v>
      </c>
      <c r="J2446" s="6"/>
      <c r="K2446" s="6"/>
      <c r="L2446" s="6" t="s">
        <v>4392</v>
      </c>
      <c r="M2446" s="6"/>
      <c r="N2446" s="6" t="s">
        <v>4393</v>
      </c>
      <c r="O2446" s="6" t="str">
        <f>HYPERLINK("https://ceds.ed.gov/cedselementdetails.aspx?termid=5206")</f>
        <v>https://ceds.ed.gov/cedselementdetails.aspx?termid=5206</v>
      </c>
      <c r="P2446" s="6" t="str">
        <f>HYPERLINK("https://ceds.ed.gov/elementComment.aspx?elementName=Other Name &amp;elementID=5206", "Click here to submit comment")</f>
        <v>Click here to submit comment</v>
      </c>
    </row>
    <row r="2447" spans="1:16" ht="90">
      <c r="A2447" s="6" t="s">
        <v>6895</v>
      </c>
      <c r="B2447" s="6" t="s">
        <v>6896</v>
      </c>
      <c r="C2447" s="6" t="s">
        <v>6718</v>
      </c>
      <c r="D2447" s="6" t="s">
        <v>4394</v>
      </c>
      <c r="E2447" s="6" t="s">
        <v>4395</v>
      </c>
      <c r="F2447" s="7" t="s">
        <v>6593</v>
      </c>
      <c r="G2447" s="6" t="s">
        <v>6273</v>
      </c>
      <c r="H2447" s="6" t="s">
        <v>3</v>
      </c>
      <c r="I2447" s="6" t="s">
        <v>100</v>
      </c>
      <c r="J2447" s="6"/>
      <c r="K2447" s="6"/>
      <c r="L2447" s="6" t="s">
        <v>4396</v>
      </c>
      <c r="M2447" s="6"/>
      <c r="N2447" s="6" t="s">
        <v>4397</v>
      </c>
      <c r="O2447" s="6" t="str">
        <f>HYPERLINK("https://ceds.ed.gov/cedselementdetails.aspx?termid=5627")</f>
        <v>https://ceds.ed.gov/cedselementdetails.aspx?termid=5627</v>
      </c>
      <c r="P2447" s="6" t="str">
        <f>HYPERLINK("https://ceds.ed.gov/elementComment.aspx?elementName=Other Name Type &amp;elementID=5627", "Click here to submit comment")</f>
        <v>Click here to submit comment</v>
      </c>
    </row>
    <row r="2448" spans="1:16" ht="390">
      <c r="A2448" s="6" t="s">
        <v>6895</v>
      </c>
      <c r="B2448" s="6" t="s">
        <v>6896</v>
      </c>
      <c r="C2448" s="6" t="s">
        <v>6719</v>
      </c>
      <c r="D2448" s="6" t="s">
        <v>5383</v>
      </c>
      <c r="E2448" s="6" t="s">
        <v>5384</v>
      </c>
      <c r="F2448" s="6" t="s">
        <v>13</v>
      </c>
      <c r="G2448" s="6" t="s">
        <v>6315</v>
      </c>
      <c r="H2448" s="6" t="s">
        <v>3</v>
      </c>
      <c r="I2448" s="6" t="s">
        <v>5385</v>
      </c>
      <c r="J2448" s="6"/>
      <c r="K2448" s="6" t="s">
        <v>5386</v>
      </c>
      <c r="L2448" s="6" t="s">
        <v>5387</v>
      </c>
      <c r="M2448" s="6" t="s">
        <v>5388</v>
      </c>
      <c r="N2448" s="6" t="s">
        <v>5389</v>
      </c>
      <c r="O2448" s="6" t="str">
        <f>HYPERLINK("https://ceds.ed.gov/cedselementdetails.aspx?termid=5259")</f>
        <v>https://ceds.ed.gov/cedselementdetails.aspx?termid=5259</v>
      </c>
      <c r="P2448" s="6" t="str">
        <f>HYPERLINK("https://ceds.ed.gov/elementComment.aspx?elementName=Social Security Number &amp;elementID=5259", "Click here to submit comment")</f>
        <v>Click here to submit comment</v>
      </c>
    </row>
    <row r="2449" spans="1:16" ht="375">
      <c r="A2449" s="6" t="s">
        <v>6895</v>
      </c>
      <c r="B2449" s="6" t="s">
        <v>6896</v>
      </c>
      <c r="C2449" s="6" t="s">
        <v>6719</v>
      </c>
      <c r="D2449" s="6" t="s">
        <v>4494</v>
      </c>
      <c r="E2449" s="6" t="s">
        <v>4495</v>
      </c>
      <c r="F2449" s="7" t="s">
        <v>6599</v>
      </c>
      <c r="G2449" s="6"/>
      <c r="H2449" s="6" t="s">
        <v>3</v>
      </c>
      <c r="I2449" s="6"/>
      <c r="J2449" s="6"/>
      <c r="K2449" s="6"/>
      <c r="L2449" s="6" t="s">
        <v>4496</v>
      </c>
      <c r="M2449" s="6"/>
      <c r="N2449" s="6" t="s">
        <v>4497</v>
      </c>
      <c r="O2449" s="6" t="str">
        <f>HYPERLINK("https://ceds.ed.gov/cedselementdetails.aspx?termid=5611")</f>
        <v>https://ceds.ed.gov/cedselementdetails.aspx?termid=5611</v>
      </c>
      <c r="P2449" s="6" t="str">
        <f>HYPERLINK("https://ceds.ed.gov/elementComment.aspx?elementName=Personal Information Verification &amp;elementID=5611", "Click here to submit comment")</f>
        <v>Click here to submit comment</v>
      </c>
    </row>
    <row r="2450" spans="1:16" ht="180">
      <c r="A2450" s="6" t="s">
        <v>6895</v>
      </c>
      <c r="B2450" s="6" t="s">
        <v>6896</v>
      </c>
      <c r="C2450" s="6" t="s">
        <v>6886</v>
      </c>
      <c r="D2450" s="6" t="s">
        <v>5945</v>
      </c>
      <c r="E2450" s="6" t="s">
        <v>5946</v>
      </c>
      <c r="F2450" s="6" t="s">
        <v>13</v>
      </c>
      <c r="G2450" s="6"/>
      <c r="H2450" s="6" t="s">
        <v>66</v>
      </c>
      <c r="I2450" s="6" t="s">
        <v>73</v>
      </c>
      <c r="J2450" s="6" t="s">
        <v>5947</v>
      </c>
      <c r="K2450" s="6" t="s">
        <v>5942</v>
      </c>
      <c r="L2450" s="6" t="s">
        <v>5948</v>
      </c>
      <c r="M2450" s="6"/>
      <c r="N2450" s="6" t="s">
        <v>5949</v>
      </c>
      <c r="O2450" s="6" t="str">
        <f>HYPERLINK("https://ceds.ed.gov/cedselementdetails.aspx?termid=6001")</f>
        <v>https://ceds.ed.gov/cedselementdetails.aspx?termid=6001</v>
      </c>
      <c r="P2450" s="6" t="str">
        <f>HYPERLINK("https://ceds.ed.gov/elementComment.aspx?elementName=Workforce Program Participation Start Date &amp;elementID=6001", "Click here to submit comment")</f>
        <v>Click here to submit comment</v>
      </c>
    </row>
    <row r="2451" spans="1:16" ht="180">
      <c r="A2451" s="6" t="s">
        <v>6895</v>
      </c>
      <c r="B2451" s="6" t="s">
        <v>6896</v>
      </c>
      <c r="C2451" s="6" t="s">
        <v>6886</v>
      </c>
      <c r="D2451" s="6" t="s">
        <v>5939</v>
      </c>
      <c r="E2451" s="6" t="s">
        <v>5940</v>
      </c>
      <c r="F2451" s="6" t="s">
        <v>13</v>
      </c>
      <c r="G2451" s="6"/>
      <c r="H2451" s="6" t="s">
        <v>66</v>
      </c>
      <c r="I2451" s="6" t="s">
        <v>73</v>
      </c>
      <c r="J2451" s="6" t="s">
        <v>5941</v>
      </c>
      <c r="K2451" s="6" t="s">
        <v>5942</v>
      </c>
      <c r="L2451" s="6" t="s">
        <v>5943</v>
      </c>
      <c r="M2451" s="6"/>
      <c r="N2451" s="6" t="s">
        <v>5944</v>
      </c>
      <c r="O2451" s="6" t="str">
        <f>HYPERLINK("https://ceds.ed.gov/cedselementdetails.aspx?termid=6002")</f>
        <v>https://ceds.ed.gov/cedselementdetails.aspx?termid=6002</v>
      </c>
      <c r="P2451" s="6" t="str">
        <f>HYPERLINK("https://ceds.ed.gov/elementComment.aspx?elementName=Workforce Program Participation End Date &amp;elementID=6002", "Click here to submit comment")</f>
        <v>Click here to submit comment</v>
      </c>
    </row>
    <row r="2452" spans="1:16" ht="409.5">
      <c r="A2452" s="6" t="s">
        <v>6895</v>
      </c>
      <c r="B2452" s="6" t="s">
        <v>6896</v>
      </c>
      <c r="C2452" s="6" t="s">
        <v>6886</v>
      </c>
      <c r="D2452" s="6" t="s">
        <v>5932</v>
      </c>
      <c r="E2452" s="6" t="s">
        <v>5933</v>
      </c>
      <c r="F2452" s="7" t="s">
        <v>6696</v>
      </c>
      <c r="G2452" s="6"/>
      <c r="H2452" s="6" t="s">
        <v>66</v>
      </c>
      <c r="I2452" s="6"/>
      <c r="J2452" s="6" t="s">
        <v>5935</v>
      </c>
      <c r="K2452" s="6" t="s">
        <v>5936</v>
      </c>
      <c r="L2452" s="6" t="s">
        <v>5937</v>
      </c>
      <c r="M2452" s="6"/>
      <c r="N2452" s="6" t="s">
        <v>5938</v>
      </c>
      <c r="O2452" s="6" t="str">
        <f>HYPERLINK("https://ceds.ed.gov/cedselementdetails.aspx?termid=6000")</f>
        <v>https://ceds.ed.gov/cedselementdetails.aspx?termid=6000</v>
      </c>
      <c r="P2452" s="6" t="str">
        <f>HYPERLINK("https://ceds.ed.gov/elementComment.aspx?elementName=Workforce Program Participation &amp;elementID=6000", "Click here to submit comment")</f>
        <v>Click here to submit comment</v>
      </c>
    </row>
    <row r="2453" spans="1:16" ht="270">
      <c r="A2453" s="6" t="s">
        <v>6895</v>
      </c>
      <c r="B2453" s="6" t="s">
        <v>6896</v>
      </c>
      <c r="C2453" s="6" t="s">
        <v>6806</v>
      </c>
      <c r="D2453" s="6" t="s">
        <v>4763</v>
      </c>
      <c r="E2453" s="6" t="s">
        <v>4764</v>
      </c>
      <c r="F2453" s="7" t="s">
        <v>6620</v>
      </c>
      <c r="G2453" s="6"/>
      <c r="H2453" s="6" t="s">
        <v>66</v>
      </c>
      <c r="I2453" s="6"/>
      <c r="J2453" s="6" t="s">
        <v>848</v>
      </c>
      <c r="K2453" s="6"/>
      <c r="L2453" s="6" t="s">
        <v>4765</v>
      </c>
      <c r="M2453" s="6"/>
      <c r="N2453" s="6" t="s">
        <v>4766</v>
      </c>
      <c r="O2453" s="6" t="str">
        <f>HYPERLINK("https://ceds.ed.gov/cedselementdetails.aspx?termid=5780")</f>
        <v>https://ceds.ed.gov/cedselementdetails.aspx?termid=5780</v>
      </c>
      <c r="P2453" s="6" t="str">
        <f>HYPERLINK("https://ceds.ed.gov/elementComment.aspx?elementName=Professional or Technical Credential Conferred &amp;elementID=5780", "Click here to submit comment")</f>
        <v>Click here to submit comment</v>
      </c>
    </row>
    <row r="2454" spans="1:16" ht="270">
      <c r="A2454" s="6" t="s">
        <v>6895</v>
      </c>
      <c r="B2454" s="6" t="s">
        <v>6897</v>
      </c>
      <c r="C2454" s="6"/>
      <c r="D2454" s="6" t="s">
        <v>2474</v>
      </c>
      <c r="E2454" s="6" t="s">
        <v>2475</v>
      </c>
      <c r="F2454" s="6" t="s">
        <v>6150</v>
      </c>
      <c r="G2454" s="6" t="s">
        <v>2476</v>
      </c>
      <c r="H2454" s="6" t="s">
        <v>66</v>
      </c>
      <c r="I2454" s="6"/>
      <c r="J2454" s="6" t="s">
        <v>2477</v>
      </c>
      <c r="K2454" s="6" t="s">
        <v>2478</v>
      </c>
      <c r="L2454" s="6" t="s">
        <v>2479</v>
      </c>
      <c r="M2454" s="6"/>
      <c r="N2454" s="6" t="s">
        <v>2480</v>
      </c>
      <c r="O2454" s="6" t="str">
        <f>HYPERLINK("https://ceds.ed.gov/cedselementdetails.aspx?termid=5990")</f>
        <v>https://ceds.ed.gov/cedselementdetails.aspx?termid=5990</v>
      </c>
      <c r="P2454" s="6" t="str">
        <f>HYPERLINK("https://ceds.ed.gov/elementComment.aspx?elementName=Employed After Exit &amp;elementID=5990", "Click here to submit comment")</f>
        <v>Click here to submit comment</v>
      </c>
    </row>
    <row r="2455" spans="1:16" ht="225">
      <c r="A2455" s="6" t="s">
        <v>6895</v>
      </c>
      <c r="B2455" s="6" t="s">
        <v>6897</v>
      </c>
      <c r="C2455" s="6"/>
      <c r="D2455" s="6" t="s">
        <v>2481</v>
      </c>
      <c r="E2455" s="6" t="s">
        <v>2482</v>
      </c>
      <c r="F2455" s="6" t="s">
        <v>6150</v>
      </c>
      <c r="G2455" s="6"/>
      <c r="H2455" s="6" t="s">
        <v>54</v>
      </c>
      <c r="I2455" s="6"/>
      <c r="J2455" s="6"/>
      <c r="K2455" s="6" t="s">
        <v>2484</v>
      </c>
      <c r="L2455" s="6" t="s">
        <v>2485</v>
      </c>
      <c r="M2455" s="6"/>
      <c r="N2455" s="6" t="s">
        <v>2486</v>
      </c>
      <c r="O2455" s="6" t="str">
        <f>HYPERLINK("https://ceds.ed.gov/cedselementdetails.aspx?termid=6309")</f>
        <v>https://ceds.ed.gov/cedselementdetails.aspx?termid=6309</v>
      </c>
      <c r="P2455" s="6" t="str">
        <f>HYPERLINK("https://ceds.ed.gov/elementComment.aspx?elementName=Employed Prior to Enrollment &amp;elementID=6309", "Click here to submit comment")</f>
        <v>Click here to submit comment</v>
      </c>
    </row>
    <row r="2456" spans="1:16" ht="225">
      <c r="A2456" s="6" t="s">
        <v>6895</v>
      </c>
      <c r="B2456" s="6" t="s">
        <v>6897</v>
      </c>
      <c r="C2456" s="6"/>
      <c r="D2456" s="6" t="s">
        <v>2487</v>
      </c>
      <c r="E2456" s="6" t="s">
        <v>2488</v>
      </c>
      <c r="F2456" s="6" t="s">
        <v>6150</v>
      </c>
      <c r="G2456" s="6" t="s">
        <v>2476</v>
      </c>
      <c r="H2456" s="6" t="s">
        <v>66</v>
      </c>
      <c r="I2456" s="6"/>
      <c r="J2456" s="6" t="s">
        <v>2477</v>
      </c>
      <c r="K2456" s="6" t="s">
        <v>2489</v>
      </c>
      <c r="L2456" s="6" t="s">
        <v>2490</v>
      </c>
      <c r="M2456" s="6"/>
      <c r="N2456" s="6" t="s">
        <v>2491</v>
      </c>
      <c r="O2456" s="6" t="str">
        <f>HYPERLINK("https://ceds.ed.gov/cedselementdetails.aspx?termid=5989")</f>
        <v>https://ceds.ed.gov/cedselementdetails.aspx?termid=5989</v>
      </c>
      <c r="P2456" s="6" t="str">
        <f>HYPERLINK("https://ceds.ed.gov/elementComment.aspx?elementName=Employed While Enrolled &amp;elementID=5989", "Click here to submit comment")</f>
        <v>Click here to submit comment</v>
      </c>
    </row>
    <row r="2457" spans="1:16" ht="409.5">
      <c r="A2457" s="6" t="s">
        <v>6895</v>
      </c>
      <c r="B2457" s="6" t="s">
        <v>6897</v>
      </c>
      <c r="C2457" s="6"/>
      <c r="D2457" s="6" t="s">
        <v>2496</v>
      </c>
      <c r="E2457" s="6" t="s">
        <v>2497</v>
      </c>
      <c r="F2457" s="7" t="s">
        <v>6492</v>
      </c>
      <c r="G2457" s="6"/>
      <c r="H2457" s="6" t="s">
        <v>66</v>
      </c>
      <c r="I2457" s="6"/>
      <c r="J2457" s="6" t="s">
        <v>2498</v>
      </c>
      <c r="K2457" s="6" t="s">
        <v>2499</v>
      </c>
      <c r="L2457" s="6" t="s">
        <v>2500</v>
      </c>
      <c r="M2457" s="6"/>
      <c r="N2457" s="6" t="s">
        <v>2501</v>
      </c>
      <c r="O2457" s="6" t="str">
        <f>HYPERLINK("https://ceds.ed.gov/cedselementdetails.aspx?termid=5992")</f>
        <v>https://ceds.ed.gov/cedselementdetails.aspx?termid=5992</v>
      </c>
      <c r="P2457" s="6" t="str">
        <f>HYPERLINK("https://ceds.ed.gov/elementComment.aspx?elementName=Employment Location &amp;elementID=5992", "Click here to submit comment")</f>
        <v>Click here to submit comment</v>
      </c>
    </row>
    <row r="2458" spans="1:16" ht="60">
      <c r="A2458" s="6" t="s">
        <v>6895</v>
      </c>
      <c r="B2458" s="6" t="s">
        <v>6897</v>
      </c>
      <c r="C2458" s="6"/>
      <c r="D2458" s="6" t="s">
        <v>2502</v>
      </c>
      <c r="E2458" s="6" t="s">
        <v>2503</v>
      </c>
      <c r="F2458" s="6" t="s">
        <v>2504</v>
      </c>
      <c r="G2458" s="6"/>
      <c r="H2458" s="6"/>
      <c r="I2458" s="6" t="s">
        <v>2505</v>
      </c>
      <c r="J2458" s="6"/>
      <c r="K2458" s="6"/>
      <c r="L2458" s="6" t="s">
        <v>2506</v>
      </c>
      <c r="M2458" s="6"/>
      <c r="N2458" s="6" t="s">
        <v>2507</v>
      </c>
      <c r="O2458" s="6" t="str">
        <f>HYPERLINK("https://ceds.ed.gov/cedselementdetails.aspx?termid=6070")</f>
        <v>https://ceds.ed.gov/cedselementdetails.aspx?termid=6070</v>
      </c>
      <c r="P2458" s="6" t="str">
        <f>HYPERLINK("https://ceds.ed.gov/elementComment.aspx?elementName=Employment NAICS Code &amp;elementID=6070", "Click here to submit comment")</f>
        <v>Click here to submit comment</v>
      </c>
    </row>
    <row r="2459" spans="1:16" ht="300">
      <c r="A2459" s="6" t="s">
        <v>6895</v>
      </c>
      <c r="B2459" s="6" t="s">
        <v>6897</v>
      </c>
      <c r="C2459" s="6"/>
      <c r="D2459" s="6" t="s">
        <v>2508</v>
      </c>
      <c r="E2459" s="6" t="s">
        <v>2509</v>
      </c>
      <c r="F2459" s="7" t="s">
        <v>6493</v>
      </c>
      <c r="G2459" s="6"/>
      <c r="H2459" s="6" t="s">
        <v>66</v>
      </c>
      <c r="I2459" s="6"/>
      <c r="J2459" s="6" t="s">
        <v>2510</v>
      </c>
      <c r="K2459" s="6" t="s">
        <v>2511</v>
      </c>
      <c r="L2459" s="6" t="s">
        <v>2512</v>
      </c>
      <c r="M2459" s="6"/>
      <c r="N2459" s="6" t="s">
        <v>2513</v>
      </c>
      <c r="O2459" s="6" t="str">
        <f>HYPERLINK("https://ceds.ed.gov/cedselementdetails.aspx?termid=5996")</f>
        <v>https://ceds.ed.gov/cedselementdetails.aspx?termid=5996</v>
      </c>
      <c r="P2459" s="6" t="str">
        <f>HYPERLINK("https://ceds.ed.gov/elementComment.aspx?elementName=Employment Record Administrative Data Source &amp;elementID=5996", "Click here to submit comment")</f>
        <v>Click here to submit comment</v>
      </c>
    </row>
    <row r="2460" spans="1:16" ht="360">
      <c r="A2460" s="6" t="s">
        <v>6895</v>
      </c>
      <c r="B2460" s="6" t="s">
        <v>6897</v>
      </c>
      <c r="C2460" s="6"/>
      <c r="D2460" s="6" t="s">
        <v>2514</v>
      </c>
      <c r="E2460" s="6" t="s">
        <v>2515</v>
      </c>
      <c r="F2460" s="6" t="s">
        <v>13</v>
      </c>
      <c r="G2460" s="6"/>
      <c r="H2460" s="6" t="s">
        <v>66</v>
      </c>
      <c r="I2460" s="6" t="s">
        <v>73</v>
      </c>
      <c r="J2460" s="6" t="s">
        <v>2516</v>
      </c>
      <c r="K2460" s="6" t="s">
        <v>2517</v>
      </c>
      <c r="L2460" s="6" t="s">
        <v>2518</v>
      </c>
      <c r="M2460" s="6"/>
      <c r="N2460" s="6" t="s">
        <v>2519</v>
      </c>
      <c r="O2460" s="6" t="str">
        <f>HYPERLINK("https://ceds.ed.gov/cedselementdetails.aspx?termid=5995")</f>
        <v>https://ceds.ed.gov/cedselementdetails.aspx?termid=5995</v>
      </c>
      <c r="P2460" s="6" t="str">
        <f>HYPERLINK("https://ceds.ed.gov/elementComment.aspx?elementName=Employment Record Reference Period End Date &amp;elementID=5995", "Click here to submit comment")</f>
        <v>Click here to submit comment</v>
      </c>
    </row>
    <row r="2461" spans="1:16" ht="360">
      <c r="A2461" s="6" t="s">
        <v>6895</v>
      </c>
      <c r="B2461" s="6" t="s">
        <v>6897</v>
      </c>
      <c r="C2461" s="6"/>
      <c r="D2461" s="6" t="s">
        <v>2520</v>
      </c>
      <c r="E2461" s="6" t="s">
        <v>2521</v>
      </c>
      <c r="F2461" s="6" t="s">
        <v>13</v>
      </c>
      <c r="G2461" s="6"/>
      <c r="H2461" s="6" t="s">
        <v>66</v>
      </c>
      <c r="I2461" s="6" t="s">
        <v>73</v>
      </c>
      <c r="J2461" s="6" t="s">
        <v>2522</v>
      </c>
      <c r="K2461" s="6" t="s">
        <v>2517</v>
      </c>
      <c r="L2461" s="6" t="s">
        <v>2523</v>
      </c>
      <c r="M2461" s="6"/>
      <c r="N2461" s="6" t="s">
        <v>2524</v>
      </c>
      <c r="O2461" s="6" t="str">
        <f>HYPERLINK("https://ceds.ed.gov/cedselementdetails.aspx?termid=5994")</f>
        <v>https://ceds.ed.gov/cedselementdetails.aspx?termid=5994</v>
      </c>
      <c r="P2461" s="6" t="str">
        <f>HYPERLINK("https://ceds.ed.gov/elementComment.aspx?elementName=Employment Record Reference Period Start Date &amp;elementID=5994", "Click here to submit comment")</f>
        <v>Click here to submit comment</v>
      </c>
    </row>
    <row r="2462" spans="1:16" ht="210">
      <c r="A2462" s="6" t="s">
        <v>6895</v>
      </c>
      <c r="B2462" s="6" t="s">
        <v>6897</v>
      </c>
      <c r="C2462" s="6"/>
      <c r="D2462" s="6" t="s">
        <v>4155</v>
      </c>
      <c r="E2462" s="6" t="s">
        <v>4156</v>
      </c>
      <c r="F2462" s="6" t="s">
        <v>5963</v>
      </c>
      <c r="G2462" s="6"/>
      <c r="H2462" s="6" t="s">
        <v>54</v>
      </c>
      <c r="I2462" s="6"/>
      <c r="J2462" s="6"/>
      <c r="K2462" s="6" t="s">
        <v>4157</v>
      </c>
      <c r="L2462" s="6" t="s">
        <v>4158</v>
      </c>
      <c r="M2462" s="6"/>
      <c r="N2462" s="6" t="s">
        <v>4159</v>
      </c>
      <c r="O2462" s="6" t="str">
        <f>HYPERLINK("https://ceds.ed.gov/cedselementdetails.aspx?termid=6381")</f>
        <v>https://ceds.ed.gov/cedselementdetails.aspx?termid=6381</v>
      </c>
      <c r="P2462" s="6" t="str">
        <f>HYPERLINK("https://ceds.ed.gov/elementComment.aspx?elementName=Military Enlistment After Exit &amp;elementID=6381", "Click here to submit comment")</f>
        <v>Click here to submit comment</v>
      </c>
    </row>
    <row r="2463" spans="1:16" ht="225">
      <c r="A2463" s="6" t="s">
        <v>6895</v>
      </c>
      <c r="B2463" s="6" t="s">
        <v>6897</v>
      </c>
      <c r="C2463" s="6"/>
      <c r="D2463" s="6" t="s">
        <v>4472</v>
      </c>
      <c r="E2463" s="6" t="s">
        <v>4473</v>
      </c>
      <c r="F2463" s="6" t="s">
        <v>13</v>
      </c>
      <c r="G2463" s="6"/>
      <c r="H2463" s="6" t="s">
        <v>66</v>
      </c>
      <c r="I2463" s="6" t="s">
        <v>575</v>
      </c>
      <c r="J2463" s="6" t="s">
        <v>4474</v>
      </c>
      <c r="K2463" s="6" t="s">
        <v>4475</v>
      </c>
      <c r="L2463" s="6" t="s">
        <v>4476</v>
      </c>
      <c r="M2463" s="6"/>
      <c r="N2463" s="6" t="s">
        <v>4477</v>
      </c>
      <c r="O2463" s="6" t="str">
        <f>HYPERLINK("https://ceds.ed.gov/cedselementdetails.aspx?termid=5993")</f>
        <v>https://ceds.ed.gov/cedselementdetails.aspx?termid=5993</v>
      </c>
      <c r="P2463" s="6" t="str">
        <f>HYPERLINK("https://ceds.ed.gov/elementComment.aspx?elementName=Person Employed in Multiple Jobs Count &amp;elementID=5993", "Click here to submit comment")</f>
        <v>Click here to submit comment</v>
      </c>
    </row>
    <row r="2464" spans="1:16" ht="210">
      <c r="A2464" s="6" t="s">
        <v>6895</v>
      </c>
      <c r="B2464" s="6" t="s">
        <v>6897</v>
      </c>
      <c r="C2464" s="6"/>
      <c r="D2464" s="6" t="s">
        <v>4961</v>
      </c>
      <c r="E2464" s="6" t="s">
        <v>4962</v>
      </c>
      <c r="F2464" s="6" t="s">
        <v>13</v>
      </c>
      <c r="G2464" s="6"/>
      <c r="H2464" s="6" t="s">
        <v>66</v>
      </c>
      <c r="I2464" s="6" t="s">
        <v>3496</v>
      </c>
      <c r="J2464" s="6" t="s">
        <v>4963</v>
      </c>
      <c r="K2464" s="6" t="s">
        <v>4964</v>
      </c>
      <c r="L2464" s="6" t="s">
        <v>4965</v>
      </c>
      <c r="M2464" s="6"/>
      <c r="N2464" s="6" t="s">
        <v>4966</v>
      </c>
      <c r="O2464" s="6" t="str">
        <f>HYPERLINK("https://ceds.ed.gov/cedselementdetails.aspx?termid=5991")</f>
        <v>https://ceds.ed.gov/cedselementdetails.aspx?termid=5991</v>
      </c>
      <c r="P2464" s="6" t="str">
        <f>HYPERLINK("https://ceds.ed.gov/elementComment.aspx?elementName=Quarterly Earnings &amp;elementID=5991", "Click here to submit comment")</f>
        <v>Click here to submit comment</v>
      </c>
    </row>
    <row r="2465" spans="1:16" ht="390">
      <c r="A2465" s="6" t="s">
        <v>6895</v>
      </c>
      <c r="B2465" s="6" t="s">
        <v>6897</v>
      </c>
      <c r="C2465" s="6"/>
      <c r="D2465" s="6" t="s">
        <v>5383</v>
      </c>
      <c r="E2465" s="6" t="s">
        <v>5384</v>
      </c>
      <c r="F2465" s="6" t="s">
        <v>13</v>
      </c>
      <c r="G2465" s="6" t="s">
        <v>6315</v>
      </c>
      <c r="H2465" s="6" t="s">
        <v>3</v>
      </c>
      <c r="I2465" s="6" t="s">
        <v>5385</v>
      </c>
      <c r="J2465" s="6"/>
      <c r="K2465" s="6" t="s">
        <v>5386</v>
      </c>
      <c r="L2465" s="6" t="s">
        <v>5387</v>
      </c>
      <c r="M2465" s="6" t="s">
        <v>5388</v>
      </c>
      <c r="N2465" s="6" t="s">
        <v>5389</v>
      </c>
      <c r="O2465" s="6" t="str">
        <f>HYPERLINK("https://ceds.ed.gov/cedselementdetails.aspx?termid=5259")</f>
        <v>https://ceds.ed.gov/cedselementdetails.aspx?termid=5259</v>
      </c>
      <c r="P2465" s="6" t="str">
        <f>HYPERLINK("https://ceds.ed.gov/elementComment.aspx?elementName=Social Security Number &amp;elementID=5259", "Click here to submit comment")</f>
        <v>Click here to submit comment</v>
      </c>
    </row>
    <row r="2466" spans="1:16" ht="60">
      <c r="A2466" s="6" t="s">
        <v>6784</v>
      </c>
      <c r="B2466" s="6" t="s">
        <v>6831</v>
      </c>
      <c r="C2466" s="6"/>
      <c r="D2466" s="6" t="s">
        <v>496</v>
      </c>
      <c r="E2466" s="6" t="s">
        <v>497</v>
      </c>
      <c r="F2466" s="6" t="s">
        <v>13</v>
      </c>
      <c r="G2466" s="6"/>
      <c r="H2466" s="6"/>
      <c r="I2466" s="6" t="s">
        <v>100</v>
      </c>
      <c r="J2466" s="6"/>
      <c r="K2466" s="6" t="s">
        <v>498</v>
      </c>
      <c r="L2466" s="6" t="s">
        <v>499</v>
      </c>
      <c r="M2466" s="6"/>
      <c r="N2466" s="6" t="s">
        <v>500</v>
      </c>
      <c r="O2466" s="6" t="str">
        <f>HYPERLINK("https://ceds.ed.gov/cedselementdetails.aspx?termid=5934")</f>
        <v>https://ceds.ed.gov/cedselementdetails.aspx?termid=5934</v>
      </c>
      <c r="P2466" s="6" t="str">
        <f>HYPERLINK("https://ceds.ed.gov/elementComment.aspx?elementName=Assessment Family Short Name &amp;elementID=5934", "Click here to submit comment")</f>
        <v>Click here to submit comment</v>
      </c>
    </row>
    <row r="2467" spans="1:16" ht="90">
      <c r="A2467" s="6" t="s">
        <v>6784</v>
      </c>
      <c r="B2467" s="6" t="s">
        <v>6831</v>
      </c>
      <c r="C2467" s="6"/>
      <c r="D2467" s="6" t="s">
        <v>501</v>
      </c>
      <c r="E2467" s="6" t="s">
        <v>502</v>
      </c>
      <c r="F2467" s="6" t="s">
        <v>13</v>
      </c>
      <c r="G2467" s="6"/>
      <c r="H2467" s="6"/>
      <c r="I2467" s="6" t="s">
        <v>106</v>
      </c>
      <c r="J2467" s="6"/>
      <c r="K2467" s="6"/>
      <c r="L2467" s="6" t="s">
        <v>503</v>
      </c>
      <c r="M2467" s="6"/>
      <c r="N2467" s="6" t="s">
        <v>504</v>
      </c>
      <c r="O2467" s="6" t="str">
        <f>HYPERLINK("https://ceds.ed.gov/cedselementdetails.aspx?termid=5933")</f>
        <v>https://ceds.ed.gov/cedselementdetails.aspx?termid=5933</v>
      </c>
      <c r="P2467" s="6" t="str">
        <f>HYPERLINK("https://ceds.ed.gov/elementComment.aspx?elementName=Assessment Family Title &amp;elementID=5933", "Click here to submit comment")</f>
        <v>Click here to submit comment</v>
      </c>
    </row>
    <row r="2468" spans="1:16" ht="240">
      <c r="A2468" s="6" t="s">
        <v>6784</v>
      </c>
      <c r="B2468" s="6" t="s">
        <v>6830</v>
      </c>
      <c r="C2468" s="6"/>
      <c r="D2468" s="6" t="s">
        <v>586</v>
      </c>
      <c r="E2468" s="6" t="s">
        <v>587</v>
      </c>
      <c r="F2468" s="7" t="s">
        <v>6382</v>
      </c>
      <c r="G2468" s="6" t="s">
        <v>6013</v>
      </c>
      <c r="H2468" s="6"/>
      <c r="I2468" s="6"/>
      <c r="J2468" s="6"/>
      <c r="K2468" s="6"/>
      <c r="L2468" s="6" t="s">
        <v>588</v>
      </c>
      <c r="M2468" s="6"/>
      <c r="N2468" s="6" t="s">
        <v>589</v>
      </c>
      <c r="O2468" s="6" t="str">
        <f>HYPERLINK("https://ceds.ed.gov/cedselementdetails.aspx?termid=5158")</f>
        <v>https://ceds.ed.gov/cedselementdetails.aspx?termid=5158</v>
      </c>
      <c r="P2468" s="6" t="str">
        <f>HYPERLINK("https://ceds.ed.gov/elementComment.aspx?elementName=Assessment Identification System &amp;elementID=5158", "Click here to submit comment")</f>
        <v>Click here to submit comment</v>
      </c>
    </row>
    <row r="2469" spans="1:16" ht="165">
      <c r="A2469" s="6" t="s">
        <v>6784</v>
      </c>
      <c r="B2469" s="6" t="s">
        <v>6830</v>
      </c>
      <c r="C2469" s="6"/>
      <c r="D2469" s="6" t="s">
        <v>590</v>
      </c>
      <c r="E2469" s="6" t="s">
        <v>591</v>
      </c>
      <c r="F2469" s="6" t="s">
        <v>13</v>
      </c>
      <c r="G2469" s="6" t="s">
        <v>6015</v>
      </c>
      <c r="H2469" s="6"/>
      <c r="I2469" s="6" t="s">
        <v>100</v>
      </c>
      <c r="J2469" s="6"/>
      <c r="K2469" s="6"/>
      <c r="L2469" s="6" t="s">
        <v>592</v>
      </c>
      <c r="M2469" s="6"/>
      <c r="N2469" s="6" t="s">
        <v>593</v>
      </c>
      <c r="O2469" s="6" t="str">
        <f>HYPERLINK("https://ceds.ed.gov/cedselementdetails.aspx?termid=5152")</f>
        <v>https://ceds.ed.gov/cedselementdetails.aspx?termid=5152</v>
      </c>
      <c r="P2469" s="6" t="str">
        <f>HYPERLINK("https://ceds.ed.gov/elementComment.aspx?elementName=Assessment Identifier &amp;elementID=5152", "Click here to submit comment")</f>
        <v>Click here to submit comment</v>
      </c>
    </row>
    <row r="2470" spans="1:16" ht="75">
      <c r="A2470" s="6" t="s">
        <v>6784</v>
      </c>
      <c r="B2470" s="6" t="s">
        <v>6830</v>
      </c>
      <c r="C2470" s="6"/>
      <c r="D2470" s="6" t="s">
        <v>582</v>
      </c>
      <c r="E2470" s="6" t="s">
        <v>583</v>
      </c>
      <c r="F2470" s="6" t="s">
        <v>13</v>
      </c>
      <c r="G2470" s="6"/>
      <c r="H2470" s="6"/>
      <c r="I2470" s="6" t="s">
        <v>528</v>
      </c>
      <c r="J2470" s="6"/>
      <c r="K2470" s="6"/>
      <c r="L2470" s="6" t="s">
        <v>584</v>
      </c>
      <c r="M2470" s="6"/>
      <c r="N2470" s="6" t="s">
        <v>585</v>
      </c>
      <c r="O2470" s="6" t="str">
        <f>HYPERLINK("https://ceds.ed.gov/cedselementdetails.aspx?termid=5982")</f>
        <v>https://ceds.ed.gov/cedselementdetails.aspx?termid=5982</v>
      </c>
      <c r="P2470" s="6" t="str">
        <f>HYPERLINK("https://ceds.ed.gov/elementComment.aspx?elementName=Assessment GUID &amp;elementID=5982", "Click here to submit comment")</f>
        <v>Click here to submit comment</v>
      </c>
    </row>
    <row r="2471" spans="1:16" ht="165">
      <c r="A2471" s="6" t="s">
        <v>6784</v>
      </c>
      <c r="B2471" s="6" t="s">
        <v>6830</v>
      </c>
      <c r="C2471" s="6"/>
      <c r="D2471" s="6" t="s">
        <v>1387</v>
      </c>
      <c r="E2471" s="6" t="s">
        <v>1388</v>
      </c>
      <c r="F2471" s="6" t="s">
        <v>13</v>
      </c>
      <c r="G2471" s="6" t="s">
        <v>6073</v>
      </c>
      <c r="H2471" s="6"/>
      <c r="I2471" s="6" t="s">
        <v>106</v>
      </c>
      <c r="J2471" s="6"/>
      <c r="K2471" s="6"/>
      <c r="L2471" s="6" t="s">
        <v>1389</v>
      </c>
      <c r="M2471" s="6"/>
      <c r="N2471" s="6" t="s">
        <v>1390</v>
      </c>
      <c r="O2471" s="6" t="str">
        <f>HYPERLINK("https://ceds.ed.gov/cedselementdetails.aspx?termid=5028")</f>
        <v>https://ceds.ed.gov/cedselementdetails.aspx?termid=5028</v>
      </c>
      <c r="P2471" s="6" t="str">
        <f>HYPERLINK("https://ceds.ed.gov/elementComment.aspx?elementName=Assessment Title &amp;elementID=5028", "Click here to submit comment")</f>
        <v>Click here to submit comment</v>
      </c>
    </row>
    <row r="2472" spans="1:16" ht="409.5">
      <c r="A2472" s="6" t="s">
        <v>6784</v>
      </c>
      <c r="B2472" s="6" t="s">
        <v>6830</v>
      </c>
      <c r="C2472" s="6"/>
      <c r="D2472" s="6" t="s">
        <v>1391</v>
      </c>
      <c r="E2472" s="6" t="s">
        <v>1392</v>
      </c>
      <c r="F2472" s="7" t="s">
        <v>6405</v>
      </c>
      <c r="G2472" s="6" t="s">
        <v>6000</v>
      </c>
      <c r="H2472" s="6"/>
      <c r="I2472" s="6"/>
      <c r="J2472" s="6"/>
      <c r="K2472" s="6"/>
      <c r="L2472" s="6" t="s">
        <v>1393</v>
      </c>
      <c r="M2472" s="6"/>
      <c r="N2472" s="6" t="s">
        <v>1394</v>
      </c>
      <c r="O2472" s="6" t="str">
        <f>HYPERLINK("https://ceds.ed.gov/cedselementdetails.aspx?termid=5029")</f>
        <v>https://ceds.ed.gov/cedselementdetails.aspx?termid=5029</v>
      </c>
      <c r="P2472" s="6" t="str">
        <f>HYPERLINK("https://ceds.ed.gov/elementComment.aspx?elementName=Assessment Type &amp;elementID=5029", "Click here to submit comment")</f>
        <v>Click here to submit comment</v>
      </c>
    </row>
    <row r="2473" spans="1:16" ht="30">
      <c r="A2473" s="6" t="s">
        <v>6784</v>
      </c>
      <c r="B2473" s="6" t="s">
        <v>6830</v>
      </c>
      <c r="C2473" s="6"/>
      <c r="D2473" s="6" t="s">
        <v>1290</v>
      </c>
      <c r="E2473" s="6" t="s">
        <v>1291</v>
      </c>
      <c r="F2473" s="6" t="s">
        <v>13</v>
      </c>
      <c r="G2473" s="6"/>
      <c r="H2473" s="6"/>
      <c r="I2473" s="6" t="s">
        <v>100</v>
      </c>
      <c r="J2473" s="6"/>
      <c r="K2473" s="6"/>
      <c r="L2473" s="6" t="s">
        <v>1292</v>
      </c>
      <c r="M2473" s="6"/>
      <c r="N2473" s="6" t="s">
        <v>1293</v>
      </c>
      <c r="O2473" s="6" t="str">
        <f>HYPERLINK("https://ceds.ed.gov/cedselementdetails.aspx?termid=5932")</f>
        <v>https://ceds.ed.gov/cedselementdetails.aspx?termid=5932</v>
      </c>
      <c r="P2473" s="6" t="str">
        <f>HYPERLINK("https://ceds.ed.gov/elementComment.aspx?elementName=Assessment Short Name &amp;elementID=5932", "Click here to submit comment")</f>
        <v>Click here to submit comment</v>
      </c>
    </row>
    <row r="2474" spans="1:16" ht="405">
      <c r="A2474" s="6" t="s">
        <v>6784</v>
      </c>
      <c r="B2474" s="6" t="s">
        <v>6830</v>
      </c>
      <c r="C2474" s="6"/>
      <c r="D2474" s="6" t="s">
        <v>395</v>
      </c>
      <c r="E2474" s="6" t="s">
        <v>396</v>
      </c>
      <c r="F2474" s="7" t="s">
        <v>6375</v>
      </c>
      <c r="G2474" s="6" t="s">
        <v>5990</v>
      </c>
      <c r="H2474" s="6"/>
      <c r="I2474" s="6"/>
      <c r="J2474" s="6"/>
      <c r="K2474" s="6"/>
      <c r="L2474" s="6" t="s">
        <v>397</v>
      </c>
      <c r="M2474" s="6"/>
      <c r="N2474" s="6" t="s">
        <v>398</v>
      </c>
      <c r="O2474" s="6" t="str">
        <f>HYPERLINK("https://ceds.ed.gov/cedselementdetails.aspx?termid=5021")</f>
        <v>https://ceds.ed.gov/cedselementdetails.aspx?termid=5021</v>
      </c>
      <c r="P2474" s="6" t="str">
        <f>HYPERLINK("https://ceds.ed.gov/elementComment.aspx?elementName=Assessment Academic Subject &amp;elementID=5021", "Click here to submit comment")</f>
        <v>Click here to submit comment</v>
      </c>
    </row>
    <row r="2475" spans="1:16" ht="375">
      <c r="A2475" s="6" t="s">
        <v>6784</v>
      </c>
      <c r="B2475" s="6" t="s">
        <v>6830</v>
      </c>
      <c r="C2475" s="6"/>
      <c r="D2475" s="6" t="s">
        <v>942</v>
      </c>
      <c r="E2475" s="6" t="s">
        <v>943</v>
      </c>
      <c r="F2475" s="7" t="s">
        <v>6390</v>
      </c>
      <c r="G2475" s="6" t="s">
        <v>6030</v>
      </c>
      <c r="H2475" s="6"/>
      <c r="I2475" s="6"/>
      <c r="J2475" s="6"/>
      <c r="K2475" s="6"/>
      <c r="L2475" s="6" t="s">
        <v>944</v>
      </c>
      <c r="M2475" s="6"/>
      <c r="N2475" s="6" t="s">
        <v>945</v>
      </c>
      <c r="O2475" s="6" t="str">
        <f>HYPERLINK("https://ceds.ed.gov/cedselementdetails.aspx?termid=5177")</f>
        <v>https://ceds.ed.gov/cedselementdetails.aspx?termid=5177</v>
      </c>
      <c r="P2475" s="6" t="str">
        <f>HYPERLINK("https://ceds.ed.gov/elementComment.aspx?elementName=Assessment Level for Which Designed &amp;elementID=5177", "Click here to submit comment")</f>
        <v>Click here to submit comment</v>
      </c>
    </row>
    <row r="2476" spans="1:16" ht="30">
      <c r="A2476" s="6" t="s">
        <v>6784</v>
      </c>
      <c r="B2476" s="6" t="s">
        <v>6830</v>
      </c>
      <c r="C2476" s="6"/>
      <c r="D2476" s="6" t="s">
        <v>1086</v>
      </c>
      <c r="E2476" s="6" t="s">
        <v>1087</v>
      </c>
      <c r="F2476" s="6" t="s">
        <v>13</v>
      </c>
      <c r="G2476" s="6" t="s">
        <v>6018</v>
      </c>
      <c r="H2476" s="6"/>
      <c r="I2476" s="6" t="s">
        <v>745</v>
      </c>
      <c r="J2476" s="6"/>
      <c r="K2476" s="6"/>
      <c r="L2476" s="6" t="s">
        <v>1088</v>
      </c>
      <c r="M2476" s="6"/>
      <c r="N2476" s="6" t="s">
        <v>1089</v>
      </c>
      <c r="O2476" s="6" t="str">
        <f>HYPERLINK("https://ceds.ed.gov/cedselementdetails.aspx?termid=5373")</f>
        <v>https://ceds.ed.gov/cedselementdetails.aspx?termid=5373</v>
      </c>
      <c r="P2476" s="6" t="str">
        <f>HYPERLINK("https://ceds.ed.gov/elementComment.aspx?elementName=Assessment Objective &amp;elementID=5373", "Click here to submit comment")</f>
        <v>Click here to submit comment</v>
      </c>
    </row>
    <row r="2477" spans="1:16" ht="409.5">
      <c r="A2477" s="6" t="s">
        <v>6784</v>
      </c>
      <c r="B2477" s="6" t="s">
        <v>6830</v>
      </c>
      <c r="C2477" s="6"/>
      <c r="D2477" s="6" t="s">
        <v>1156</v>
      </c>
      <c r="E2477" s="6" t="s">
        <v>1157</v>
      </c>
      <c r="F2477" s="7" t="s">
        <v>6399</v>
      </c>
      <c r="G2477" s="6" t="s">
        <v>6000</v>
      </c>
      <c r="H2477" s="6"/>
      <c r="I2477" s="6"/>
      <c r="J2477" s="6"/>
      <c r="K2477" s="6" t="s">
        <v>1158</v>
      </c>
      <c r="L2477" s="6" t="s">
        <v>1159</v>
      </c>
      <c r="M2477" s="6"/>
      <c r="N2477" s="6" t="s">
        <v>1160</v>
      </c>
      <c r="O2477" s="6" t="str">
        <f>HYPERLINK("https://ceds.ed.gov/cedselementdetails.aspx?termid=5026")</f>
        <v>https://ceds.ed.gov/cedselementdetails.aspx?termid=5026</v>
      </c>
      <c r="P2477" s="6" t="str">
        <f>HYPERLINK("https://ceds.ed.gov/elementComment.aspx?elementName=Assessment Purpose &amp;elementID=5026", "Click here to submit comment")</f>
        <v>Click here to submit comment</v>
      </c>
    </row>
    <row r="2478" spans="1:16" ht="409.5">
      <c r="A2478" s="6" t="s">
        <v>6784</v>
      </c>
      <c r="B2478" s="6" t="s">
        <v>6830</v>
      </c>
      <c r="C2478" s="6"/>
      <c r="D2478" s="6" t="s">
        <v>1395</v>
      </c>
      <c r="E2478" s="6" t="s">
        <v>1396</v>
      </c>
      <c r="F2478" s="7" t="s">
        <v>6406</v>
      </c>
      <c r="G2478" s="6" t="s">
        <v>6052</v>
      </c>
      <c r="H2478" s="6"/>
      <c r="I2478" s="6"/>
      <c r="J2478" s="6"/>
      <c r="K2478" s="6"/>
      <c r="L2478" s="6" t="s">
        <v>1397</v>
      </c>
      <c r="M2478" s="6"/>
      <c r="N2478" s="6" t="s">
        <v>1398</v>
      </c>
      <c r="O2478" s="6" t="str">
        <f>HYPERLINK("https://ceds.ed.gov/cedselementdetails.aspx?termid=5405")</f>
        <v>https://ceds.ed.gov/cedselementdetails.aspx?termid=5405</v>
      </c>
      <c r="P2478" s="6" t="str">
        <f>HYPERLINK("https://ceds.ed.gov/elementComment.aspx?elementName=Assessment Type Administered to Children With Disabilities &amp;elementID=5405", "Click here to submit comment")</f>
        <v>Click here to submit comment</v>
      </c>
    </row>
    <row r="2479" spans="1:16" ht="225">
      <c r="A2479" s="6" t="s">
        <v>6784</v>
      </c>
      <c r="B2479" s="6" t="s">
        <v>6830</v>
      </c>
      <c r="C2479" s="6"/>
      <c r="D2479" s="6" t="s">
        <v>491</v>
      </c>
      <c r="E2479" s="6" t="s">
        <v>492</v>
      </c>
      <c r="F2479" s="7" t="s">
        <v>6381</v>
      </c>
      <c r="G2479" s="6" t="s">
        <v>493</v>
      </c>
      <c r="H2479" s="6"/>
      <c r="I2479" s="6"/>
      <c r="J2479" s="6"/>
      <c r="K2479" s="6"/>
      <c r="L2479" s="6" t="s">
        <v>494</v>
      </c>
      <c r="M2479" s="6"/>
      <c r="N2479" s="6" t="s">
        <v>495</v>
      </c>
      <c r="O2479" s="6" t="str">
        <f>HYPERLINK("https://ceds.ed.gov/cedselementdetails.aspx?termid=6003")</f>
        <v>https://ceds.ed.gov/cedselementdetails.aspx?termid=6003</v>
      </c>
      <c r="P2479" s="6" t="str">
        <f>HYPERLINK("https://ceds.ed.gov/elementComment.aspx?elementName=Assessment Early Learning Developmental Domain &amp;elementID=6003", "Click here to submit comment")</f>
        <v>Click here to submit comment</v>
      </c>
    </row>
    <row r="2480" spans="1:16" ht="30">
      <c r="A2480" s="6" t="s">
        <v>6784</v>
      </c>
      <c r="B2480" s="6" t="s">
        <v>6830</v>
      </c>
      <c r="C2480" s="6"/>
      <c r="D2480" s="6" t="s">
        <v>1151</v>
      </c>
      <c r="E2480" s="6" t="s">
        <v>1152</v>
      </c>
      <c r="F2480" s="6" t="s">
        <v>13</v>
      </c>
      <c r="G2480" s="6"/>
      <c r="H2480" s="6"/>
      <c r="I2480" s="6" t="s">
        <v>100</v>
      </c>
      <c r="J2480" s="6"/>
      <c r="K2480" s="6" t="s">
        <v>1153</v>
      </c>
      <c r="L2480" s="6" t="s">
        <v>1154</v>
      </c>
      <c r="M2480" s="6"/>
      <c r="N2480" s="6" t="s">
        <v>1155</v>
      </c>
      <c r="O2480" s="6" t="str">
        <f>HYPERLINK("https://ceds.ed.gov/cedselementdetails.aspx?termid=6009")</f>
        <v>https://ceds.ed.gov/cedselementdetails.aspx?termid=6009</v>
      </c>
      <c r="P2480" s="6" t="str">
        <f>HYPERLINK("https://ceds.ed.gov/elementComment.aspx?elementName=Assessment Provider &amp;elementID=6009", "Click here to submit comment")</f>
        <v>Click here to submit comment</v>
      </c>
    </row>
    <row r="2481" spans="1:16" ht="409.5">
      <c r="A2481" s="6" t="s">
        <v>6784</v>
      </c>
      <c r="B2481" s="6" t="s">
        <v>6830</v>
      </c>
      <c r="C2481" s="6"/>
      <c r="D2481" s="6" t="s">
        <v>1375</v>
      </c>
      <c r="E2481" s="6" t="s">
        <v>1376</v>
      </c>
      <c r="F2481" s="7" t="s">
        <v>6398</v>
      </c>
      <c r="G2481" s="6" t="s">
        <v>6064</v>
      </c>
      <c r="H2481" s="6"/>
      <c r="I2481" s="6"/>
      <c r="J2481" s="6"/>
      <c r="K2481" s="6"/>
      <c r="L2481" s="6" t="s">
        <v>1377</v>
      </c>
      <c r="M2481" s="6"/>
      <c r="N2481" s="6" t="s">
        <v>1378</v>
      </c>
      <c r="O2481" s="6" t="str">
        <f>HYPERLINK("https://ceds.ed.gov/cedselementdetails.aspx?termid=5368")</f>
        <v>https://ceds.ed.gov/cedselementdetails.aspx?termid=5368</v>
      </c>
      <c r="P2481" s="6" t="str">
        <f>HYPERLINK("https://ceds.ed.gov/elementComment.aspx?elementName=Assessment Subtest Score Metric Type &amp;elementID=5368", "Click here to submit comment")</f>
        <v>Click here to submit comment</v>
      </c>
    </row>
    <row r="2482" spans="1:16" ht="90">
      <c r="A2482" s="6" t="s">
        <v>6784</v>
      </c>
      <c r="B2482" s="6" t="s">
        <v>6830</v>
      </c>
      <c r="C2482" s="6"/>
      <c r="D2482" s="6" t="s">
        <v>3406</v>
      </c>
      <c r="E2482" s="6" t="s">
        <v>3407</v>
      </c>
      <c r="F2482" s="5" t="s">
        <v>939</v>
      </c>
      <c r="G2482" s="6" t="s">
        <v>6214</v>
      </c>
      <c r="H2482" s="6" t="s">
        <v>66</v>
      </c>
      <c r="I2482" s="6"/>
      <c r="J2482" s="6" t="s">
        <v>2645</v>
      </c>
      <c r="K2482" s="6" t="s">
        <v>3408</v>
      </c>
      <c r="L2482" s="6" t="s">
        <v>3409</v>
      </c>
      <c r="M2482" s="6"/>
      <c r="N2482" s="6" t="s">
        <v>3410</v>
      </c>
      <c r="O2482" s="6" t="str">
        <f>HYPERLINK("https://ceds.ed.gov/cedselementdetails.aspx?termid=5317")</f>
        <v>https://ceds.ed.gov/cedselementdetails.aspx?termid=5317</v>
      </c>
      <c r="P2482" s="6" t="str">
        <f>HYPERLINK("https://ceds.ed.gov/elementComment.aspx?elementName=Language Code &amp;elementID=5317", "Click here to submit comment")</f>
        <v>Click here to submit comment</v>
      </c>
    </row>
    <row r="2483" spans="1:16" ht="150">
      <c r="A2483" s="6" t="s">
        <v>6784</v>
      </c>
      <c r="B2483" s="6" t="s">
        <v>6832</v>
      </c>
      <c r="C2483" s="6"/>
      <c r="D2483" s="6" t="s">
        <v>514</v>
      </c>
      <c r="E2483" s="6" t="s">
        <v>515</v>
      </c>
      <c r="F2483" s="6" t="s">
        <v>13</v>
      </c>
      <c r="G2483" s="6" t="s">
        <v>6006</v>
      </c>
      <c r="H2483" s="6"/>
      <c r="I2483" s="6" t="s">
        <v>149</v>
      </c>
      <c r="J2483" s="6"/>
      <c r="K2483" s="6"/>
      <c r="L2483" s="6" t="s">
        <v>516</v>
      </c>
      <c r="M2483" s="6"/>
      <c r="N2483" s="6" t="s">
        <v>517</v>
      </c>
      <c r="O2483" s="6" t="str">
        <f>HYPERLINK("https://ceds.ed.gov/cedselementdetails.aspx?termid=5024")</f>
        <v>https://ceds.ed.gov/cedselementdetails.aspx?termid=5024</v>
      </c>
      <c r="P2483" s="6" t="str">
        <f>HYPERLINK("https://ceds.ed.gov/elementComment.aspx?elementName=Assessment Form Name &amp;elementID=5024", "Click here to submit comment")</f>
        <v>Click here to submit comment</v>
      </c>
    </row>
    <row r="2484" spans="1:16" ht="45">
      <c r="A2484" s="6" t="s">
        <v>6784</v>
      </c>
      <c r="B2484" s="6" t="s">
        <v>6832</v>
      </c>
      <c r="C2484" s="6"/>
      <c r="D2484" s="6" t="s">
        <v>518</v>
      </c>
      <c r="E2484" s="6" t="s">
        <v>519</v>
      </c>
      <c r="F2484" s="6" t="s">
        <v>13</v>
      </c>
      <c r="G2484" s="6" t="s">
        <v>5992</v>
      </c>
      <c r="H2484" s="6"/>
      <c r="I2484" s="6" t="s">
        <v>100</v>
      </c>
      <c r="J2484" s="6"/>
      <c r="K2484" s="6"/>
      <c r="L2484" s="6" t="s">
        <v>520</v>
      </c>
      <c r="M2484" s="6"/>
      <c r="N2484" s="6" t="s">
        <v>521</v>
      </c>
      <c r="O2484" s="6" t="str">
        <f>HYPERLINK("https://ceds.ed.gov/cedselementdetails.aspx?termid=5365")</f>
        <v>https://ceds.ed.gov/cedselementdetails.aspx?termid=5365</v>
      </c>
      <c r="P2484" s="6" t="str">
        <f>HYPERLINK("https://ceds.ed.gov/elementComment.aspx?elementName=Assessment Form Number &amp;elementID=5365", "Click here to submit comment")</f>
        <v>Click here to submit comment</v>
      </c>
    </row>
    <row r="2485" spans="1:16" ht="405">
      <c r="A2485" s="6" t="s">
        <v>6784</v>
      </c>
      <c r="B2485" s="6" t="s">
        <v>6832</v>
      </c>
      <c r="C2485" s="6"/>
      <c r="D2485" s="6" t="s">
        <v>395</v>
      </c>
      <c r="E2485" s="6" t="s">
        <v>396</v>
      </c>
      <c r="F2485" s="7" t="s">
        <v>6375</v>
      </c>
      <c r="G2485" s="6" t="s">
        <v>5990</v>
      </c>
      <c r="H2485" s="6"/>
      <c r="I2485" s="6"/>
      <c r="J2485" s="6"/>
      <c r="K2485" s="6"/>
      <c r="L2485" s="6" t="s">
        <v>397</v>
      </c>
      <c r="M2485" s="6"/>
      <c r="N2485" s="6" t="s">
        <v>398</v>
      </c>
      <c r="O2485" s="6" t="str">
        <f>HYPERLINK("https://ceds.ed.gov/cedselementdetails.aspx?termid=5021")</f>
        <v>https://ceds.ed.gov/cedselementdetails.aspx?termid=5021</v>
      </c>
      <c r="P2485" s="6" t="str">
        <f>HYPERLINK("https://ceds.ed.gov/elementComment.aspx?elementName=Assessment Academic Subject &amp;elementID=5021", "Click here to submit comment")</f>
        <v>Click here to submit comment</v>
      </c>
    </row>
    <row r="2486" spans="1:16" ht="75">
      <c r="A2486" s="6" t="s">
        <v>6784</v>
      </c>
      <c r="B2486" s="6" t="s">
        <v>6832</v>
      </c>
      <c r="C2486" s="6"/>
      <c r="D2486" s="6" t="s">
        <v>505</v>
      </c>
      <c r="E2486" s="6" t="s">
        <v>506</v>
      </c>
      <c r="F2486" s="6" t="s">
        <v>13</v>
      </c>
      <c r="G2486" s="6"/>
      <c r="H2486" s="6"/>
      <c r="I2486" s="6" t="s">
        <v>319</v>
      </c>
      <c r="J2486" s="6"/>
      <c r="K2486" s="6"/>
      <c r="L2486" s="6" t="s">
        <v>507</v>
      </c>
      <c r="M2486" s="6"/>
      <c r="N2486" s="6" t="s">
        <v>508</v>
      </c>
      <c r="O2486" s="6" t="str">
        <f>HYPERLINK("https://ceds.ed.gov/cedselementdetails.aspx?termid=6136")</f>
        <v>https://ceds.ed.gov/cedselementdetails.aspx?termid=6136</v>
      </c>
      <c r="P2486" s="6" t="str">
        <f>HYPERLINK("https://ceds.ed.gov/elementComment.aspx?elementName=Assessment Form Accommodation List &amp;elementID=6136", "Click here to submit comment")</f>
        <v>Click here to submit comment</v>
      </c>
    </row>
    <row r="2487" spans="1:16" ht="75">
      <c r="A2487" s="6" t="s">
        <v>6784</v>
      </c>
      <c r="B2487" s="6" t="s">
        <v>6832</v>
      </c>
      <c r="C2487" s="6"/>
      <c r="D2487" s="6" t="s">
        <v>509</v>
      </c>
      <c r="E2487" s="6" t="s">
        <v>510</v>
      </c>
      <c r="F2487" s="6" t="s">
        <v>13</v>
      </c>
      <c r="G2487" s="6"/>
      <c r="H2487" s="6" t="s">
        <v>66</v>
      </c>
      <c r="I2487" s="6" t="s">
        <v>73</v>
      </c>
      <c r="J2487" s="6" t="s">
        <v>511</v>
      </c>
      <c r="K2487" s="6"/>
      <c r="L2487" s="6" t="s">
        <v>512</v>
      </c>
      <c r="M2487" s="6"/>
      <c r="N2487" s="6" t="s">
        <v>513</v>
      </c>
      <c r="O2487" s="6" t="str">
        <f>HYPERLINK("https://ceds.ed.gov/cedselementdetails.aspx?termid=6138")</f>
        <v>https://ceds.ed.gov/cedselementdetails.aspx?termid=6138</v>
      </c>
      <c r="P2487" s="6" t="str">
        <f>HYPERLINK("https://ceds.ed.gov/elementComment.aspx?elementName=Assessment Form Intended Administration End Date &amp;elementID=6138", "Click here to submit comment")</f>
        <v>Click here to submit comment</v>
      </c>
    </row>
    <row r="2488" spans="1:16" ht="45">
      <c r="A2488" s="6" t="s">
        <v>6784</v>
      </c>
      <c r="B2488" s="6" t="s">
        <v>6832</v>
      </c>
      <c r="C2488" s="6"/>
      <c r="D2488" s="6" t="s">
        <v>522</v>
      </c>
      <c r="E2488" s="6" t="s">
        <v>523</v>
      </c>
      <c r="F2488" s="6" t="s">
        <v>13</v>
      </c>
      <c r="G2488" s="6"/>
      <c r="H2488" s="6"/>
      <c r="I2488" s="6" t="s">
        <v>319</v>
      </c>
      <c r="J2488" s="6"/>
      <c r="K2488" s="6"/>
      <c r="L2488" s="6" t="s">
        <v>524</v>
      </c>
      <c r="M2488" s="6"/>
      <c r="N2488" s="6" t="s">
        <v>525</v>
      </c>
      <c r="O2488" s="6" t="str">
        <f>HYPERLINK("https://ceds.ed.gov/cedselementdetails.aspx?termid=6139")</f>
        <v>https://ceds.ed.gov/cedselementdetails.aspx?termid=6139</v>
      </c>
      <c r="P2488" s="6" t="str">
        <f>HYPERLINK("https://ceds.ed.gov/elementComment.aspx?elementName=Assessment Form Platforms Supported &amp;elementID=6139", "Click here to submit comment")</f>
        <v>Click here to submit comment</v>
      </c>
    </row>
    <row r="2489" spans="1:16" ht="30">
      <c r="A2489" s="6" t="s">
        <v>6784</v>
      </c>
      <c r="B2489" s="6" t="s">
        <v>6832</v>
      </c>
      <c r="C2489" s="6"/>
      <c r="D2489" s="6" t="s">
        <v>578</v>
      </c>
      <c r="E2489" s="6" t="s">
        <v>579</v>
      </c>
      <c r="F2489" s="6" t="s">
        <v>13</v>
      </c>
      <c r="G2489" s="6"/>
      <c r="H2489" s="6"/>
      <c r="I2489" s="6" t="s">
        <v>100</v>
      </c>
      <c r="J2489" s="6"/>
      <c r="K2489" s="6"/>
      <c r="L2489" s="6" t="s">
        <v>580</v>
      </c>
      <c r="M2489" s="6"/>
      <c r="N2489" s="6" t="s">
        <v>581</v>
      </c>
      <c r="O2489" s="6" t="str">
        <f>HYPERLINK("https://ceds.ed.gov/cedselementdetails.aspx?termid=6134")</f>
        <v>https://ceds.ed.gov/cedselementdetails.aspx?termid=6134</v>
      </c>
      <c r="P2489" s="6" t="str">
        <f>HYPERLINK("https://ceds.ed.gov/elementComment.aspx?elementName=Assessment Form Version &amp;elementID=6134", "Click here to submit comment")</f>
        <v>Click here to submit comment</v>
      </c>
    </row>
    <row r="2490" spans="1:16" ht="45">
      <c r="A2490" s="6" t="s">
        <v>6784</v>
      </c>
      <c r="B2490" s="6" t="s">
        <v>6832</v>
      </c>
      <c r="C2490" s="6"/>
      <c r="D2490" s="6" t="s">
        <v>937</v>
      </c>
      <c r="E2490" s="6" t="s">
        <v>938</v>
      </c>
      <c r="F2490" s="5" t="s">
        <v>939</v>
      </c>
      <c r="G2490" s="6"/>
      <c r="H2490" s="6"/>
      <c r="I2490" s="6"/>
      <c r="J2490" s="6"/>
      <c r="K2490" s="6"/>
      <c r="L2490" s="6" t="s">
        <v>940</v>
      </c>
      <c r="M2490" s="6"/>
      <c r="N2490" s="6" t="s">
        <v>941</v>
      </c>
      <c r="O2490" s="6" t="str">
        <f>HYPERLINK("https://ceds.ed.gov/cedselementdetails.aspx?termid=6073")</f>
        <v>https://ceds.ed.gov/cedselementdetails.aspx?termid=6073</v>
      </c>
      <c r="P2490" s="6" t="str">
        <f>HYPERLINK("https://ceds.ed.gov/elementComment.aspx?elementName=Assessment Language &amp;elementID=6073", "Click here to submit comment")</f>
        <v>Click here to submit comment</v>
      </c>
    </row>
    <row r="2491" spans="1:16" ht="45">
      <c r="A2491" s="6" t="s">
        <v>6784</v>
      </c>
      <c r="B2491" s="6" t="s">
        <v>6832</v>
      </c>
      <c r="C2491" s="6"/>
      <c r="D2491" s="6" t="s">
        <v>1224</v>
      </c>
      <c r="E2491" s="6" t="s">
        <v>1225</v>
      </c>
      <c r="F2491" s="6" t="s">
        <v>5963</v>
      </c>
      <c r="G2491" s="6" t="s">
        <v>5992</v>
      </c>
      <c r="H2491" s="6" t="s">
        <v>3</v>
      </c>
      <c r="I2491" s="6"/>
      <c r="J2491" s="6"/>
      <c r="K2491" s="6"/>
      <c r="L2491" s="6" t="s">
        <v>1226</v>
      </c>
      <c r="M2491" s="6"/>
      <c r="N2491" s="6" t="s">
        <v>1227</v>
      </c>
      <c r="O2491" s="6" t="str">
        <f>HYPERLINK("https://ceds.ed.gov/cedselementdetails.aspx?termid=5375")</f>
        <v>https://ceds.ed.gov/cedselementdetails.aspx?termid=5375</v>
      </c>
      <c r="P2491" s="6" t="str">
        <f>HYPERLINK("https://ceds.ed.gov/elementComment.aspx?elementName=Assessment Secure Indicator &amp;elementID=5375", "Click here to submit comment")</f>
        <v>Click here to submit comment</v>
      </c>
    </row>
    <row r="2492" spans="1:16" ht="45">
      <c r="A2492" s="6" t="s">
        <v>6784</v>
      </c>
      <c r="B2492" s="6" t="s">
        <v>6832</v>
      </c>
      <c r="C2492" s="6"/>
      <c r="D2492" s="6" t="s">
        <v>3347</v>
      </c>
      <c r="E2492" s="6" t="s">
        <v>3348</v>
      </c>
      <c r="F2492" s="6" t="s">
        <v>13</v>
      </c>
      <c r="G2492" s="6"/>
      <c r="H2492" s="6"/>
      <c r="I2492" s="6" t="s">
        <v>73</v>
      </c>
      <c r="J2492" s="6"/>
      <c r="K2492" s="6"/>
      <c r="L2492" s="6" t="s">
        <v>3349</v>
      </c>
      <c r="M2492" s="6"/>
      <c r="N2492" s="6" t="s">
        <v>3350</v>
      </c>
      <c r="O2492" s="6" t="str">
        <f>HYPERLINK("https://ceds.ed.gov/cedselementdetails.aspx?termid=6137")</f>
        <v>https://ceds.ed.gov/cedselementdetails.aspx?termid=6137</v>
      </c>
      <c r="P2492" s="6" t="str">
        <f>HYPERLINK("https://ceds.ed.gov/elementComment.aspx?elementName=Intended Administration Start Date &amp;elementID=6137", "Click here to submit comment")</f>
        <v>Click here to submit comment</v>
      </c>
    </row>
    <row r="2493" spans="1:16" ht="60">
      <c r="A2493" s="6" t="s">
        <v>6784</v>
      </c>
      <c r="B2493" s="6" t="s">
        <v>6832</v>
      </c>
      <c r="C2493" s="6"/>
      <c r="D2493" s="6" t="s">
        <v>3665</v>
      </c>
      <c r="E2493" s="6" t="s">
        <v>3666</v>
      </c>
      <c r="F2493" s="6" t="s">
        <v>13</v>
      </c>
      <c r="G2493" s="6"/>
      <c r="H2493" s="6"/>
      <c r="I2493" s="6" t="s">
        <v>73</v>
      </c>
      <c r="J2493" s="6"/>
      <c r="K2493" s="6"/>
      <c r="L2493" s="6" t="s">
        <v>3667</v>
      </c>
      <c r="M2493" s="6"/>
      <c r="N2493" s="6" t="s">
        <v>3668</v>
      </c>
      <c r="O2493" s="6" t="str">
        <f>HYPERLINK("https://ceds.ed.gov/cedselementdetails.aspx?termid=6135")</f>
        <v>https://ceds.ed.gov/cedselementdetails.aspx?termid=6135</v>
      </c>
      <c r="P2493" s="6" t="str">
        <f>HYPERLINK("https://ceds.ed.gov/elementComment.aspx?elementName=Learning Resource Published Date &amp;elementID=6135", "Click here to submit comment")</f>
        <v>Click here to submit comment</v>
      </c>
    </row>
    <row r="2494" spans="1:16" ht="75">
      <c r="A2494" s="6" t="s">
        <v>6784</v>
      </c>
      <c r="B2494" s="6" t="s">
        <v>6832</v>
      </c>
      <c r="C2494" s="6" t="s">
        <v>6898</v>
      </c>
      <c r="D2494" s="6" t="s">
        <v>526</v>
      </c>
      <c r="E2494" s="6" t="s">
        <v>527</v>
      </c>
      <c r="F2494" s="6" t="s">
        <v>13</v>
      </c>
      <c r="G2494" s="6"/>
      <c r="H2494" s="6"/>
      <c r="I2494" s="6" t="s">
        <v>528</v>
      </c>
      <c r="J2494" s="6"/>
      <c r="K2494" s="6"/>
      <c r="L2494" s="6" t="s">
        <v>529</v>
      </c>
      <c r="M2494" s="6"/>
      <c r="N2494" s="6" t="s">
        <v>530</v>
      </c>
      <c r="O2494" s="6" t="str">
        <f>HYPERLINK("https://ceds.ed.gov/cedselementdetails.aspx?termid=5981")</f>
        <v>https://ceds.ed.gov/cedselementdetails.aspx?termid=5981</v>
      </c>
      <c r="P2494" s="6" t="str">
        <f>HYPERLINK("https://ceds.ed.gov/elementComment.aspx?elementName=Assessment Form Section GUID &amp;elementID=5981", "Click here to submit comment")</f>
        <v>Click here to submit comment</v>
      </c>
    </row>
    <row r="2495" spans="1:16" ht="75">
      <c r="A2495" s="6" t="s">
        <v>6784</v>
      </c>
      <c r="B2495" s="6" t="s">
        <v>6832</v>
      </c>
      <c r="C2495" s="6" t="s">
        <v>6898</v>
      </c>
      <c r="D2495" s="6" t="s">
        <v>531</v>
      </c>
      <c r="E2495" s="6" t="s">
        <v>532</v>
      </c>
      <c r="F2495" s="6" t="s">
        <v>13</v>
      </c>
      <c r="G2495" s="6"/>
      <c r="H2495" s="6"/>
      <c r="I2495" s="6" t="s">
        <v>100</v>
      </c>
      <c r="J2495" s="6"/>
      <c r="K2495" s="6"/>
      <c r="L2495" s="6" t="s">
        <v>533</v>
      </c>
      <c r="M2495" s="6"/>
      <c r="N2495" s="6" t="s">
        <v>534</v>
      </c>
      <c r="O2495" s="6" t="str">
        <f>HYPERLINK("https://ceds.ed.gov/cedselementdetails.aspx?termid=6142")</f>
        <v>https://ceds.ed.gov/cedselementdetails.aspx?termid=6142</v>
      </c>
      <c r="P2495" s="6" t="str">
        <f>HYPERLINK("https://ceds.ed.gov/elementComment.aspx?elementName=Assessment Form Section Identifier &amp;elementID=6142", "Click here to submit comment")</f>
        <v>Click here to submit comment</v>
      </c>
    </row>
    <row r="2496" spans="1:16" ht="405">
      <c r="A2496" s="6" t="s">
        <v>6784</v>
      </c>
      <c r="B2496" s="6" t="s">
        <v>6832</v>
      </c>
      <c r="C2496" s="6" t="s">
        <v>6898</v>
      </c>
      <c r="D2496" s="6" t="s">
        <v>395</v>
      </c>
      <c r="E2496" s="6" t="s">
        <v>396</v>
      </c>
      <c r="F2496" s="7" t="s">
        <v>6375</v>
      </c>
      <c r="G2496" s="6" t="s">
        <v>5990</v>
      </c>
      <c r="H2496" s="6"/>
      <c r="I2496" s="6"/>
      <c r="J2496" s="6"/>
      <c r="K2496" s="6"/>
      <c r="L2496" s="6" t="s">
        <v>397</v>
      </c>
      <c r="M2496" s="6"/>
      <c r="N2496" s="6" t="s">
        <v>398</v>
      </c>
      <c r="O2496" s="6" t="str">
        <f>HYPERLINK("https://ceds.ed.gov/cedselementdetails.aspx?termid=5021")</f>
        <v>https://ceds.ed.gov/cedselementdetails.aspx?termid=5021</v>
      </c>
      <c r="P2496" s="6" t="str">
        <f>HYPERLINK("https://ceds.ed.gov/elementComment.aspx?elementName=Assessment Academic Subject &amp;elementID=5021", "Click here to submit comment")</f>
        <v>Click here to submit comment</v>
      </c>
    </row>
    <row r="2497" spans="1:16" ht="45">
      <c r="A2497" s="6" t="s">
        <v>6784</v>
      </c>
      <c r="B2497" s="6" t="s">
        <v>6832</v>
      </c>
      <c r="C2497" s="6" t="s">
        <v>6898</v>
      </c>
      <c r="D2497" s="6" t="s">
        <v>543</v>
      </c>
      <c r="E2497" s="6" t="s">
        <v>544</v>
      </c>
      <c r="F2497" s="6" t="s">
        <v>13</v>
      </c>
      <c r="G2497" s="6"/>
      <c r="H2497" s="6"/>
      <c r="I2497" s="6" t="s">
        <v>545</v>
      </c>
      <c r="J2497" s="6"/>
      <c r="K2497" s="6"/>
      <c r="L2497" s="6" t="s">
        <v>546</v>
      </c>
      <c r="M2497" s="6"/>
      <c r="N2497" s="6" t="s">
        <v>547</v>
      </c>
      <c r="O2497" s="6" t="str">
        <f>HYPERLINK("https://ceds.ed.gov/cedselementdetails.aspx?termid=5980")</f>
        <v>https://ceds.ed.gov/cedselementdetails.aspx?termid=5980</v>
      </c>
      <c r="P2497" s="6" t="str">
        <f>HYPERLINK("https://ceds.ed.gov/elementComment.aspx?elementName=Assessment Form Section Sequence Number &amp;elementID=5980", "Click here to submit comment")</f>
        <v>Click here to submit comment</v>
      </c>
    </row>
    <row r="2498" spans="1:16" ht="30">
      <c r="A2498" s="6" t="s">
        <v>6784</v>
      </c>
      <c r="B2498" s="6" t="s">
        <v>6832</v>
      </c>
      <c r="C2498" s="6" t="s">
        <v>6898</v>
      </c>
      <c r="D2498" s="6" t="s">
        <v>552</v>
      </c>
      <c r="E2498" s="6" t="s">
        <v>553</v>
      </c>
      <c r="F2498" s="6" t="s">
        <v>13</v>
      </c>
      <c r="G2498" s="6"/>
      <c r="H2498" s="6"/>
      <c r="I2498" s="6" t="s">
        <v>100</v>
      </c>
      <c r="J2498" s="6"/>
      <c r="K2498" s="6"/>
      <c r="L2498" s="6" t="s">
        <v>554</v>
      </c>
      <c r="M2498" s="6"/>
      <c r="N2498" s="6" t="s">
        <v>555</v>
      </c>
      <c r="O2498" s="6" t="str">
        <f>HYPERLINK("https://ceds.ed.gov/cedselementdetails.aspx?termid=6140")</f>
        <v>https://ceds.ed.gov/cedselementdetails.aspx?termid=6140</v>
      </c>
      <c r="P2498" s="6" t="str">
        <f>HYPERLINK("https://ceds.ed.gov/elementComment.aspx?elementName=Assessment Form Section Version &amp;elementID=6140", "Click here to submit comment")</f>
        <v>Click here to submit comment</v>
      </c>
    </row>
    <row r="2499" spans="1:16" ht="75">
      <c r="A2499" s="6" t="s">
        <v>6784</v>
      </c>
      <c r="B2499" s="6" t="s">
        <v>6832</v>
      </c>
      <c r="C2499" s="6" t="s">
        <v>6898</v>
      </c>
      <c r="D2499" s="6" t="s">
        <v>3080</v>
      </c>
      <c r="E2499" s="6" t="s">
        <v>3081</v>
      </c>
      <c r="F2499" s="6" t="s">
        <v>6065</v>
      </c>
      <c r="G2499" s="6"/>
      <c r="H2499" s="6"/>
      <c r="I2499" s="6"/>
      <c r="J2499" s="6"/>
      <c r="K2499" s="6"/>
      <c r="L2499" s="6" t="s">
        <v>3082</v>
      </c>
      <c r="M2499" s="6"/>
      <c r="N2499" s="6" t="s">
        <v>3083</v>
      </c>
      <c r="O2499" s="6" t="str">
        <f>HYPERLINK("https://ceds.ed.gov/cedselementdetails.aspx?termid=6141")</f>
        <v>https://ceds.ed.gov/cedselementdetails.aspx?termid=6141</v>
      </c>
      <c r="P2499" s="6" t="str">
        <f>HYPERLINK("https://ceds.ed.gov/elementComment.aspx?elementName=Identification System for Assessment Form Section &amp;elementID=6141", "Click here to submit comment")</f>
        <v>Click here to submit comment</v>
      </c>
    </row>
    <row r="2500" spans="1:16" ht="60">
      <c r="A2500" s="6" t="s">
        <v>6784</v>
      </c>
      <c r="B2500" s="6" t="s">
        <v>6832</v>
      </c>
      <c r="C2500" s="6" t="s">
        <v>6898</v>
      </c>
      <c r="D2500" s="6" t="s">
        <v>548</v>
      </c>
      <c r="E2500" s="6" t="s">
        <v>549</v>
      </c>
      <c r="F2500" s="6" t="s">
        <v>13</v>
      </c>
      <c r="G2500" s="6"/>
      <c r="H2500" s="6"/>
      <c r="I2500" s="6" t="s">
        <v>426</v>
      </c>
      <c r="J2500" s="6"/>
      <c r="K2500" s="6"/>
      <c r="L2500" s="6" t="s">
        <v>550</v>
      </c>
      <c r="M2500" s="6"/>
      <c r="N2500" s="6" t="s">
        <v>551</v>
      </c>
      <c r="O2500" s="6" t="str">
        <f>HYPERLINK("https://ceds.ed.gov/cedselementdetails.aspx?termid=6143")</f>
        <v>https://ceds.ed.gov/cedselementdetails.aspx?termid=6143</v>
      </c>
      <c r="P2500" s="6" t="str">
        <f>HYPERLINK("https://ceds.ed.gov/elementComment.aspx?elementName=Assessment Form Section Time Limit &amp;elementID=6143", "Click here to submit comment")</f>
        <v>Click here to submit comment</v>
      </c>
    </row>
    <row r="2501" spans="1:16" ht="60">
      <c r="A2501" s="6" t="s">
        <v>6784</v>
      </c>
      <c r="B2501" s="6" t="s">
        <v>6832</v>
      </c>
      <c r="C2501" s="6" t="s">
        <v>6898</v>
      </c>
      <c r="D2501" s="6" t="s">
        <v>539</v>
      </c>
      <c r="E2501" s="6" t="s">
        <v>540</v>
      </c>
      <c r="F2501" s="6" t="s">
        <v>5963</v>
      </c>
      <c r="G2501" s="6"/>
      <c r="H2501" s="6"/>
      <c r="I2501" s="6"/>
      <c r="J2501" s="6"/>
      <c r="K2501" s="6"/>
      <c r="L2501" s="6" t="s">
        <v>541</v>
      </c>
      <c r="M2501" s="6"/>
      <c r="N2501" s="6" t="s">
        <v>542</v>
      </c>
      <c r="O2501" s="6" t="str">
        <f>HYPERLINK("https://ceds.ed.gov/cedselementdetails.aspx?termid=6144")</f>
        <v>https://ceds.ed.gov/cedselementdetails.aspx?termid=6144</v>
      </c>
      <c r="P2501" s="6" t="str">
        <f>HYPERLINK("https://ceds.ed.gov/elementComment.aspx?elementName=Assessment Form Section Sealed &amp;elementID=6144", "Click here to submit comment")</f>
        <v>Click here to submit comment</v>
      </c>
    </row>
    <row r="2502" spans="1:16" ht="150">
      <c r="A2502" s="6" t="s">
        <v>6784</v>
      </c>
      <c r="B2502" s="6" t="s">
        <v>6832</v>
      </c>
      <c r="C2502" s="6" t="s">
        <v>6898</v>
      </c>
      <c r="D2502" s="6" t="s">
        <v>535</v>
      </c>
      <c r="E2502" s="6" t="s">
        <v>536</v>
      </c>
      <c r="F2502" s="6" t="s">
        <v>5963</v>
      </c>
      <c r="G2502" s="6"/>
      <c r="H2502" s="6"/>
      <c r="I2502" s="6"/>
      <c r="J2502" s="6"/>
      <c r="K2502" s="6"/>
      <c r="L2502" s="6" t="s">
        <v>537</v>
      </c>
      <c r="M2502" s="6"/>
      <c r="N2502" s="6" t="s">
        <v>538</v>
      </c>
      <c r="O2502" s="6" t="str">
        <f>HYPERLINK("https://ceds.ed.gov/cedselementdetails.aspx?termid=6145")</f>
        <v>https://ceds.ed.gov/cedselementdetails.aspx?termid=6145</v>
      </c>
      <c r="P2502" s="6" t="str">
        <f>HYPERLINK("https://ceds.ed.gov/elementComment.aspx?elementName=Assessment Form Section Reentry &amp;elementID=6145", "Click here to submit comment")</f>
        <v>Click here to submit comment</v>
      </c>
    </row>
    <row r="2503" spans="1:16" ht="60">
      <c r="A2503" s="6" t="s">
        <v>6784</v>
      </c>
      <c r="B2503" s="6" t="s">
        <v>6832</v>
      </c>
      <c r="C2503" s="6" t="s">
        <v>6898</v>
      </c>
      <c r="D2503" s="6" t="s">
        <v>3665</v>
      </c>
      <c r="E2503" s="6" t="s">
        <v>3666</v>
      </c>
      <c r="F2503" s="6" t="s">
        <v>13</v>
      </c>
      <c r="G2503" s="6"/>
      <c r="H2503" s="6"/>
      <c r="I2503" s="6" t="s">
        <v>73</v>
      </c>
      <c r="J2503" s="6"/>
      <c r="K2503" s="6"/>
      <c r="L2503" s="6" t="s">
        <v>3667</v>
      </c>
      <c r="M2503" s="6"/>
      <c r="N2503" s="6" t="s">
        <v>3668</v>
      </c>
      <c r="O2503" s="6" t="str">
        <f>HYPERLINK("https://ceds.ed.gov/cedselementdetails.aspx?termid=6135")</f>
        <v>https://ceds.ed.gov/cedselementdetails.aspx?termid=6135</v>
      </c>
      <c r="P2503" s="6" t="str">
        <f>HYPERLINK("https://ceds.ed.gov/elementComment.aspx?elementName=Learning Resource Published Date &amp;elementID=6135", "Click here to submit comment")</f>
        <v>Click here to submit comment</v>
      </c>
    </row>
    <row r="2504" spans="1:16" ht="150">
      <c r="A2504" s="6" t="s">
        <v>6784</v>
      </c>
      <c r="B2504" s="6" t="s">
        <v>6832</v>
      </c>
      <c r="C2504" s="6" t="s">
        <v>6899</v>
      </c>
      <c r="D2504" s="6" t="s">
        <v>561</v>
      </c>
      <c r="E2504" s="6" t="s">
        <v>562</v>
      </c>
      <c r="F2504" s="6" t="s">
        <v>13</v>
      </c>
      <c r="G2504" s="6"/>
      <c r="H2504" s="6"/>
      <c r="I2504" s="6" t="s">
        <v>545</v>
      </c>
      <c r="J2504" s="6"/>
      <c r="K2504" s="6"/>
      <c r="L2504" s="6" t="s">
        <v>563</v>
      </c>
      <c r="M2504" s="6"/>
      <c r="N2504" s="6" t="s">
        <v>564</v>
      </c>
      <c r="O2504" s="6" t="str">
        <f>HYPERLINK("https://ceds.ed.gov/cedselementdetails.aspx?termid=6013")</f>
        <v>https://ceds.ed.gov/cedselementdetails.aspx?termid=6013</v>
      </c>
      <c r="P2504" s="6" t="str">
        <f>HYPERLINK("https://ceds.ed.gov/elementComment.aspx?elementName=Assessment Form Subtest Item Weight Correct &amp;elementID=6013", "Click here to submit comment")</f>
        <v>Click here to submit comment</v>
      </c>
    </row>
    <row r="2505" spans="1:16" ht="90">
      <c r="A2505" s="6" t="s">
        <v>6784</v>
      </c>
      <c r="B2505" s="6" t="s">
        <v>6832</v>
      </c>
      <c r="C2505" s="6" t="s">
        <v>6899</v>
      </c>
      <c r="D2505" s="6" t="s">
        <v>565</v>
      </c>
      <c r="E2505" s="6" t="s">
        <v>566</v>
      </c>
      <c r="F2505" s="6" t="s">
        <v>13</v>
      </c>
      <c r="G2505" s="6"/>
      <c r="H2505" s="6"/>
      <c r="I2505" s="6" t="s">
        <v>545</v>
      </c>
      <c r="J2505" s="6"/>
      <c r="K2505" s="6"/>
      <c r="L2505" s="6" t="s">
        <v>567</v>
      </c>
      <c r="M2505" s="6"/>
      <c r="N2505" s="6" t="s">
        <v>568</v>
      </c>
      <c r="O2505" s="6" t="str">
        <f>HYPERLINK("https://ceds.ed.gov/cedselementdetails.aspx?termid=6014")</f>
        <v>https://ceds.ed.gov/cedselementdetails.aspx?termid=6014</v>
      </c>
      <c r="P2505" s="6" t="str">
        <f>HYPERLINK("https://ceds.ed.gov/elementComment.aspx?elementName=Assessment Form Subtest Item Weight Incorrect &amp;elementID=6014", "Click here to submit comment")</f>
        <v>Click here to submit comment</v>
      </c>
    </row>
    <row r="2506" spans="1:16" ht="105">
      <c r="A2506" s="6" t="s">
        <v>6784</v>
      </c>
      <c r="B2506" s="6" t="s">
        <v>6832</v>
      </c>
      <c r="C2506" s="6" t="s">
        <v>6899</v>
      </c>
      <c r="D2506" s="6" t="s">
        <v>569</v>
      </c>
      <c r="E2506" s="6" t="s">
        <v>570</v>
      </c>
      <c r="F2506" s="6" t="s">
        <v>13</v>
      </c>
      <c r="G2506" s="6"/>
      <c r="H2506" s="6"/>
      <c r="I2506" s="6" t="s">
        <v>545</v>
      </c>
      <c r="J2506" s="6"/>
      <c r="K2506" s="6"/>
      <c r="L2506" s="6" t="s">
        <v>571</v>
      </c>
      <c r="M2506" s="6"/>
      <c r="N2506" s="6" t="s">
        <v>572</v>
      </c>
      <c r="O2506" s="6" t="str">
        <f>HYPERLINK("https://ceds.ed.gov/cedselementdetails.aspx?termid=6015")</f>
        <v>https://ceds.ed.gov/cedselementdetails.aspx?termid=6015</v>
      </c>
      <c r="P2506" s="6" t="str">
        <f>HYPERLINK("https://ceds.ed.gov/elementComment.aspx?elementName=Assessment Form Subtest Item Weight Not Attempted &amp;elementID=6015", "Click here to submit comment")</f>
        <v>Click here to submit comment</v>
      </c>
    </row>
    <row r="2507" spans="1:16" ht="45">
      <c r="A2507" s="6" t="s">
        <v>6784</v>
      </c>
      <c r="B2507" s="6" t="s">
        <v>6835</v>
      </c>
      <c r="C2507" s="6"/>
      <c r="D2507" s="6" t="s">
        <v>1281</v>
      </c>
      <c r="E2507" s="6" t="s">
        <v>1282</v>
      </c>
      <c r="F2507" s="6" t="s">
        <v>6062</v>
      </c>
      <c r="G2507" s="6"/>
      <c r="H2507" s="6"/>
      <c r="I2507" s="6"/>
      <c r="J2507" s="6"/>
      <c r="K2507" s="6"/>
      <c r="L2507" s="6" t="s">
        <v>1283</v>
      </c>
      <c r="M2507" s="6"/>
      <c r="N2507" s="6" t="s">
        <v>1284</v>
      </c>
      <c r="O2507" s="6" t="str">
        <f>HYPERLINK("https://ceds.ed.gov/cedselementdetails.aspx?termid=6020")</f>
        <v>https://ceds.ed.gov/cedselementdetails.aspx?termid=6020</v>
      </c>
      <c r="P2507" s="6" t="str">
        <f>HYPERLINK("https://ceds.ed.gov/elementComment.aspx?elementName=Assessment Session Type &amp;elementID=6020", "Click here to submit comment")</f>
        <v>Click here to submit comment</v>
      </c>
    </row>
    <row r="2508" spans="1:16" ht="45">
      <c r="A2508" s="6" t="s">
        <v>6784</v>
      </c>
      <c r="B2508" s="6" t="s">
        <v>6835</v>
      </c>
      <c r="C2508" s="6"/>
      <c r="D2508" s="6" t="s">
        <v>1247</v>
      </c>
      <c r="E2508" s="6" t="s">
        <v>1248</v>
      </c>
      <c r="F2508" s="6" t="s">
        <v>13</v>
      </c>
      <c r="G2508" s="6" t="s">
        <v>5992</v>
      </c>
      <c r="H2508" s="6"/>
      <c r="I2508" s="6" t="s">
        <v>1249</v>
      </c>
      <c r="J2508" s="6"/>
      <c r="K2508" s="6"/>
      <c r="L2508" s="6" t="s">
        <v>1250</v>
      </c>
      <c r="M2508" s="6"/>
      <c r="N2508" s="6" t="s">
        <v>1251</v>
      </c>
      <c r="O2508" s="6" t="str">
        <f>HYPERLINK("https://ceds.ed.gov/cedselementdetails.aspx?termid=5590")</f>
        <v>https://ceds.ed.gov/cedselementdetails.aspx?termid=5590</v>
      </c>
      <c r="P2508" s="6" t="str">
        <f>HYPERLINK("https://ceds.ed.gov/elementComment.aspx?elementName=Assessment Session Location &amp;elementID=5590", "Click here to submit comment")</f>
        <v>Click here to submit comment</v>
      </c>
    </row>
    <row r="2509" spans="1:16" ht="45">
      <c r="A2509" s="6" t="s">
        <v>6784</v>
      </c>
      <c r="B2509" s="6" t="s">
        <v>6835</v>
      </c>
      <c r="C2509" s="6"/>
      <c r="D2509" s="6" t="s">
        <v>1261</v>
      </c>
      <c r="E2509" s="6" t="s">
        <v>1262</v>
      </c>
      <c r="F2509" s="6" t="s">
        <v>13</v>
      </c>
      <c r="G2509" s="6"/>
      <c r="H2509" s="6"/>
      <c r="I2509" s="6" t="s">
        <v>1168</v>
      </c>
      <c r="J2509" s="6"/>
      <c r="K2509" s="6"/>
      <c r="L2509" s="6" t="s">
        <v>1263</v>
      </c>
      <c r="M2509" s="6"/>
      <c r="N2509" s="6" t="s">
        <v>1264</v>
      </c>
      <c r="O2509" s="6" t="str">
        <f>HYPERLINK("https://ceds.ed.gov/cedselementdetails.aspx?termid=6021")</f>
        <v>https://ceds.ed.gov/cedselementdetails.aspx?termid=6021</v>
      </c>
      <c r="P2509" s="6" t="str">
        <f>HYPERLINK("https://ceds.ed.gov/elementComment.aspx?elementName=Assessment Session Scheduled Start Date Time &amp;elementID=6021", "Click here to submit comment")</f>
        <v>Click here to submit comment</v>
      </c>
    </row>
    <row r="2510" spans="1:16" ht="45">
      <c r="A2510" s="6" t="s">
        <v>6784</v>
      </c>
      <c r="B2510" s="6" t="s">
        <v>6835</v>
      </c>
      <c r="C2510" s="6"/>
      <c r="D2510" s="6" t="s">
        <v>1257</v>
      </c>
      <c r="E2510" s="6" t="s">
        <v>1258</v>
      </c>
      <c r="F2510" s="6" t="s">
        <v>13</v>
      </c>
      <c r="G2510" s="6"/>
      <c r="H2510" s="6"/>
      <c r="I2510" s="6" t="s">
        <v>1168</v>
      </c>
      <c r="J2510" s="6"/>
      <c r="K2510" s="6"/>
      <c r="L2510" s="6" t="s">
        <v>1259</v>
      </c>
      <c r="M2510" s="6"/>
      <c r="N2510" s="6" t="s">
        <v>1260</v>
      </c>
      <c r="O2510" s="6" t="str">
        <f>HYPERLINK("https://ceds.ed.gov/cedselementdetails.aspx?termid=6022")</f>
        <v>https://ceds.ed.gov/cedselementdetails.aspx?termid=6022</v>
      </c>
      <c r="P2510" s="6" t="str">
        <f>HYPERLINK("https://ceds.ed.gov/elementComment.aspx?elementName=Assessment Session Scheduled End Date Time &amp;elementID=6022", "Click here to submit comment")</f>
        <v>Click here to submit comment</v>
      </c>
    </row>
    <row r="2511" spans="1:16" ht="90">
      <c r="A2511" s="6" t="s">
        <v>6784</v>
      </c>
      <c r="B2511" s="6" t="s">
        <v>6835</v>
      </c>
      <c r="C2511" s="6"/>
      <c r="D2511" s="6" t="s">
        <v>1233</v>
      </c>
      <c r="E2511" s="6" t="s">
        <v>1234</v>
      </c>
      <c r="F2511" s="6" t="s">
        <v>13</v>
      </c>
      <c r="G2511" s="6"/>
      <c r="H2511" s="6"/>
      <c r="I2511" s="6" t="s">
        <v>1168</v>
      </c>
      <c r="J2511" s="6"/>
      <c r="K2511" s="6" t="s">
        <v>1235</v>
      </c>
      <c r="L2511" s="6" t="s">
        <v>1236</v>
      </c>
      <c r="M2511" s="6"/>
      <c r="N2511" s="6" t="s">
        <v>1237</v>
      </c>
      <c r="O2511" s="6" t="str">
        <f>HYPERLINK("https://ceds.ed.gov/cedselementdetails.aspx?termid=6023")</f>
        <v>https://ceds.ed.gov/cedselementdetails.aspx?termid=6023</v>
      </c>
      <c r="P2511" s="6" t="str">
        <f>HYPERLINK("https://ceds.ed.gov/elementComment.aspx?elementName=Assessment Session Actual Start Date Time &amp;elementID=6023", "Click here to submit comment")</f>
        <v>Click here to submit comment</v>
      </c>
    </row>
    <row r="2512" spans="1:16" ht="90">
      <c r="A2512" s="6" t="s">
        <v>6784</v>
      </c>
      <c r="B2512" s="6" t="s">
        <v>6835</v>
      </c>
      <c r="C2512" s="6"/>
      <c r="D2512" s="6" t="s">
        <v>1228</v>
      </c>
      <c r="E2512" s="6" t="s">
        <v>1229</v>
      </c>
      <c r="F2512" s="6" t="s">
        <v>13</v>
      </c>
      <c r="G2512" s="6"/>
      <c r="H2512" s="6"/>
      <c r="I2512" s="6" t="s">
        <v>1168</v>
      </c>
      <c r="J2512" s="6"/>
      <c r="K2512" s="6" t="s">
        <v>1230</v>
      </c>
      <c r="L2512" s="6" t="s">
        <v>1231</v>
      </c>
      <c r="M2512" s="6"/>
      <c r="N2512" s="6" t="s">
        <v>1232</v>
      </c>
      <c r="O2512" s="6" t="str">
        <f>HYPERLINK("https://ceds.ed.gov/cedselementdetails.aspx?termid=6024")</f>
        <v>https://ceds.ed.gov/cedselementdetails.aspx?termid=6024</v>
      </c>
      <c r="P2512" s="6" t="str">
        <f>HYPERLINK("https://ceds.ed.gov/elementComment.aspx?elementName=Assessment Session Actual End Date Time &amp;elementID=6024", "Click here to submit comment")</f>
        <v>Click here to submit comment</v>
      </c>
    </row>
    <row r="2513" spans="1:16" ht="75">
      <c r="A2513" s="6" t="s">
        <v>6784</v>
      </c>
      <c r="B2513" s="6" t="s">
        <v>6835</v>
      </c>
      <c r="C2513" s="6"/>
      <c r="D2513" s="6" t="s">
        <v>1238</v>
      </c>
      <c r="E2513" s="6" t="s">
        <v>1239</v>
      </c>
      <c r="F2513" s="6" t="s">
        <v>13</v>
      </c>
      <c r="G2513" s="6" t="s">
        <v>5992</v>
      </c>
      <c r="H2513" s="6"/>
      <c r="I2513" s="6" t="s">
        <v>1240</v>
      </c>
      <c r="J2513" s="6"/>
      <c r="K2513" s="6"/>
      <c r="L2513" s="6" t="s">
        <v>1241</v>
      </c>
      <c r="M2513" s="6"/>
      <c r="N2513" s="6" t="s">
        <v>1242</v>
      </c>
      <c r="O2513" s="6" t="str">
        <f>HYPERLINK("https://ceds.ed.gov/cedselementdetails.aspx?termid=5400")</f>
        <v>https://ceds.ed.gov/cedselementdetails.aspx?termid=5400</v>
      </c>
      <c r="P2513" s="6" t="str">
        <f>HYPERLINK("https://ceds.ed.gov/elementComment.aspx?elementName=Assessment Session Administrator Identifier &amp;elementID=5400", "Click here to submit comment")</f>
        <v>Click here to submit comment</v>
      </c>
    </row>
    <row r="2514" spans="1:16" ht="45">
      <c r="A2514" s="6" t="s">
        <v>6784</v>
      </c>
      <c r="B2514" s="6" t="s">
        <v>6835</v>
      </c>
      <c r="C2514" s="6"/>
      <c r="D2514" s="6" t="s">
        <v>1252</v>
      </c>
      <c r="E2514" s="6" t="s">
        <v>1253</v>
      </c>
      <c r="F2514" s="6" t="s">
        <v>13</v>
      </c>
      <c r="G2514" s="6" t="s">
        <v>5992</v>
      </c>
      <c r="H2514" s="6"/>
      <c r="I2514" s="6" t="s">
        <v>1240</v>
      </c>
      <c r="J2514" s="6"/>
      <c r="K2514" s="6" t="s">
        <v>1254</v>
      </c>
      <c r="L2514" s="6" t="s">
        <v>1255</v>
      </c>
      <c r="M2514" s="6"/>
      <c r="N2514" s="6" t="s">
        <v>1256</v>
      </c>
      <c r="O2514" s="6" t="str">
        <f>HYPERLINK("https://ceds.ed.gov/cedselementdetails.aspx?termid=5401")</f>
        <v>https://ceds.ed.gov/cedselementdetails.aspx?termid=5401</v>
      </c>
      <c r="P2514" s="6" t="str">
        <f>HYPERLINK("https://ceds.ed.gov/elementComment.aspx?elementName=Assessment Session Proctor Identifier &amp;elementID=5401", "Click here to submit comment")</f>
        <v>Click here to submit comment</v>
      </c>
    </row>
    <row r="2515" spans="1:16" ht="120">
      <c r="A2515" s="6" t="s">
        <v>6784</v>
      </c>
      <c r="B2515" s="6" t="s">
        <v>6835</v>
      </c>
      <c r="C2515" s="6"/>
      <c r="D2515" s="6" t="s">
        <v>1277</v>
      </c>
      <c r="E2515" s="6" t="s">
        <v>1278</v>
      </c>
      <c r="F2515" s="6" t="s">
        <v>6061</v>
      </c>
      <c r="G2515" s="6"/>
      <c r="H2515" s="6"/>
      <c r="I2515" s="6"/>
      <c r="J2515" s="6"/>
      <c r="K2515" s="6"/>
      <c r="L2515" s="6" t="s">
        <v>1279</v>
      </c>
      <c r="M2515" s="6"/>
      <c r="N2515" s="6" t="s">
        <v>1280</v>
      </c>
      <c r="O2515" s="6" t="str">
        <f>HYPERLINK("https://ceds.ed.gov/cedselementdetails.aspx?termid=6179")</f>
        <v>https://ceds.ed.gov/cedselementdetails.aspx?termid=6179</v>
      </c>
      <c r="P2515" s="6" t="str">
        <f>HYPERLINK("https://ceds.ed.gov/elementComment.aspx?elementName=Assessment Session Staff Role Type &amp;elementID=6179", "Click here to submit comment")</f>
        <v>Click here to submit comment</v>
      </c>
    </row>
    <row r="2516" spans="1:16" ht="285">
      <c r="A2516" s="6" t="s">
        <v>6784</v>
      </c>
      <c r="B2516" s="6" t="s">
        <v>6835</v>
      </c>
      <c r="C2516" s="6"/>
      <c r="D2516" s="6" t="s">
        <v>4017</v>
      </c>
      <c r="E2516" s="6" t="s">
        <v>4018</v>
      </c>
      <c r="F2516" s="7" t="s">
        <v>6577</v>
      </c>
      <c r="G2516" s="6" t="s">
        <v>6252</v>
      </c>
      <c r="H2516" s="6"/>
      <c r="I2516" s="6"/>
      <c r="J2516" s="6"/>
      <c r="K2516" s="6"/>
      <c r="L2516" s="6" t="s">
        <v>4019</v>
      </c>
      <c r="M2516" s="6" t="s">
        <v>4020</v>
      </c>
      <c r="N2516" s="6" t="s">
        <v>4021</v>
      </c>
      <c r="O2516" s="6" t="str">
        <f>HYPERLINK("https://ceds.ed.gov/cedselementdetails.aspx?termid=5159")</f>
        <v>https://ceds.ed.gov/cedselementdetails.aspx?termid=5159</v>
      </c>
      <c r="P2516" s="6" t="str">
        <f>HYPERLINK("https://ceds.ed.gov/elementComment.aspx?elementName=Local Education Agency Identification System &amp;elementID=5159", "Click here to submit comment")</f>
        <v>Click here to submit comment</v>
      </c>
    </row>
    <row r="2517" spans="1:16" ht="120">
      <c r="A2517" s="6" t="s">
        <v>6784</v>
      </c>
      <c r="B2517" s="6" t="s">
        <v>6835</v>
      </c>
      <c r="C2517" s="6"/>
      <c r="D2517" s="6" t="s">
        <v>4022</v>
      </c>
      <c r="E2517" s="6" t="s">
        <v>4023</v>
      </c>
      <c r="F2517" s="6" t="s">
        <v>13</v>
      </c>
      <c r="G2517" s="6" t="s">
        <v>6252</v>
      </c>
      <c r="H2517" s="6"/>
      <c r="I2517" s="6" t="s">
        <v>100</v>
      </c>
      <c r="J2517" s="6"/>
      <c r="K2517" s="6"/>
      <c r="L2517" s="6" t="s">
        <v>4024</v>
      </c>
      <c r="M2517" s="6" t="s">
        <v>4025</v>
      </c>
      <c r="N2517" s="6" t="s">
        <v>4026</v>
      </c>
      <c r="O2517" s="6" t="str">
        <f>HYPERLINK("https://ceds.ed.gov/cedselementdetails.aspx?termid=5153")</f>
        <v>https://ceds.ed.gov/cedselementdetails.aspx?termid=5153</v>
      </c>
      <c r="P2517" s="6" t="str">
        <f>HYPERLINK("https://ceds.ed.gov/elementComment.aspx?elementName=Local Education Agency Identifier &amp;elementID=5153", "Click here to submit comment")</f>
        <v>Click here to submit comment</v>
      </c>
    </row>
    <row r="2518" spans="1:16" ht="360">
      <c r="A2518" s="6" t="s">
        <v>6784</v>
      </c>
      <c r="B2518" s="6" t="s">
        <v>6835</v>
      </c>
      <c r="C2518" s="6"/>
      <c r="D2518" s="6" t="s">
        <v>5221</v>
      </c>
      <c r="E2518" s="6" t="s">
        <v>265</v>
      </c>
      <c r="F2518" s="7" t="s">
        <v>6645</v>
      </c>
      <c r="G2518" s="6" t="s">
        <v>6308</v>
      </c>
      <c r="H2518" s="6"/>
      <c r="I2518" s="6"/>
      <c r="J2518" s="6"/>
      <c r="K2518" s="6"/>
      <c r="L2518" s="6" t="s">
        <v>5222</v>
      </c>
      <c r="M2518" s="6"/>
      <c r="N2518" s="6" t="s">
        <v>5223</v>
      </c>
      <c r="O2518" s="6" t="str">
        <f>HYPERLINK("https://ceds.ed.gov/cedselementdetails.aspx?termid=5161")</f>
        <v>https://ceds.ed.gov/cedselementdetails.aspx?termid=5161</v>
      </c>
      <c r="P2518" s="6" t="str">
        <f>HYPERLINK("https://ceds.ed.gov/elementComment.aspx?elementName=School Identification System &amp;elementID=5161", "Click here to submit comment")</f>
        <v>Click here to submit comment</v>
      </c>
    </row>
    <row r="2519" spans="1:16" ht="165">
      <c r="A2519" s="6" t="s">
        <v>6784</v>
      </c>
      <c r="B2519" s="6" t="s">
        <v>6835</v>
      </c>
      <c r="C2519" s="6"/>
      <c r="D2519" s="6" t="s">
        <v>5224</v>
      </c>
      <c r="E2519" s="6" t="s">
        <v>269</v>
      </c>
      <c r="F2519" s="6" t="s">
        <v>13</v>
      </c>
      <c r="G2519" s="6" t="s">
        <v>6308</v>
      </c>
      <c r="H2519" s="6"/>
      <c r="I2519" s="6" t="s">
        <v>100</v>
      </c>
      <c r="J2519" s="6"/>
      <c r="K2519" s="6"/>
      <c r="L2519" s="6" t="s">
        <v>5225</v>
      </c>
      <c r="M2519" s="6"/>
      <c r="N2519" s="6" t="s">
        <v>5226</v>
      </c>
      <c r="O2519" s="6" t="str">
        <f>HYPERLINK("https://ceds.ed.gov/cedselementdetails.aspx?termid=5155")</f>
        <v>https://ceds.ed.gov/cedselementdetails.aspx?termid=5155</v>
      </c>
      <c r="P2519" s="6" t="str">
        <f>HYPERLINK("https://ceds.ed.gov/elementComment.aspx?elementName=School Identifier &amp;elementID=5155", "Click here to submit comment")</f>
        <v>Click here to submit comment</v>
      </c>
    </row>
    <row r="2520" spans="1:16" ht="45">
      <c r="A2520" s="6" t="s">
        <v>6784</v>
      </c>
      <c r="B2520" s="6" t="s">
        <v>6835</v>
      </c>
      <c r="C2520" s="6"/>
      <c r="D2520" s="6" t="s">
        <v>1243</v>
      </c>
      <c r="E2520" s="6" t="s">
        <v>1244</v>
      </c>
      <c r="F2520" s="6" t="s">
        <v>13</v>
      </c>
      <c r="G2520" s="6" t="s">
        <v>5992</v>
      </c>
      <c r="H2520" s="6"/>
      <c r="I2520" s="6" t="s">
        <v>808</v>
      </c>
      <c r="J2520" s="6"/>
      <c r="K2520" s="6"/>
      <c r="L2520" s="6" t="s">
        <v>1245</v>
      </c>
      <c r="M2520" s="6"/>
      <c r="N2520" s="6" t="s">
        <v>1246</v>
      </c>
      <c r="O2520" s="6" t="str">
        <f>HYPERLINK("https://ceds.ed.gov/cedselementdetails.aspx?termid=5399")</f>
        <v>https://ceds.ed.gov/cedselementdetails.aspx?termid=5399</v>
      </c>
      <c r="P2520" s="6" t="str">
        <f>HYPERLINK("https://ceds.ed.gov/elementComment.aspx?elementName=Assessment Session Allotted Time &amp;elementID=5399", "Click here to submit comment")</f>
        <v>Click here to submit comment</v>
      </c>
    </row>
    <row r="2521" spans="1:16" ht="150">
      <c r="A2521" s="6" t="s">
        <v>6784</v>
      </c>
      <c r="B2521" s="6" t="s">
        <v>6835</v>
      </c>
      <c r="C2521" s="6"/>
      <c r="D2521" s="6" t="s">
        <v>1265</v>
      </c>
      <c r="E2521" s="6" t="s">
        <v>1266</v>
      </c>
      <c r="F2521" s="6" t="s">
        <v>13</v>
      </c>
      <c r="G2521" s="6"/>
      <c r="H2521" s="6"/>
      <c r="I2521" s="6" t="s">
        <v>93</v>
      </c>
      <c r="J2521" s="6"/>
      <c r="K2521" s="6" t="s">
        <v>835</v>
      </c>
      <c r="L2521" s="6" t="s">
        <v>1267</v>
      </c>
      <c r="M2521" s="6"/>
      <c r="N2521" s="6" t="s">
        <v>1268</v>
      </c>
      <c r="O2521" s="6" t="str">
        <f>HYPERLINK("https://ceds.ed.gov/cedselementdetails.aspx?termid=5969")</f>
        <v>https://ceds.ed.gov/cedselementdetails.aspx?termid=5969</v>
      </c>
      <c r="P2521" s="6" t="str">
        <f>HYPERLINK("https://ceds.ed.gov/elementComment.aspx?elementName=Assessment Session Security Issue &amp;elementID=5969", "Click here to submit comment")</f>
        <v>Click here to submit comment</v>
      </c>
    </row>
    <row r="2522" spans="1:16" ht="409.5">
      <c r="A2522" s="6" t="s">
        <v>6784</v>
      </c>
      <c r="B2522" s="6" t="s">
        <v>6835</v>
      </c>
      <c r="C2522" s="6"/>
      <c r="D2522" s="6" t="s">
        <v>1269</v>
      </c>
      <c r="E2522" s="6" t="s">
        <v>1270</v>
      </c>
      <c r="F2522" s="7" t="s">
        <v>6403</v>
      </c>
      <c r="G2522" s="6" t="s">
        <v>5992</v>
      </c>
      <c r="H2522" s="6"/>
      <c r="I2522" s="6"/>
      <c r="J2522" s="6"/>
      <c r="K2522" s="6"/>
      <c r="L2522" s="6" t="s">
        <v>1271</v>
      </c>
      <c r="M2522" s="6"/>
      <c r="N2522" s="6" t="s">
        <v>1272</v>
      </c>
      <c r="O2522" s="6" t="str">
        <f>HYPERLINK("https://ceds.ed.gov/cedselementdetails.aspx?termid=5380")</f>
        <v>https://ceds.ed.gov/cedselementdetails.aspx?termid=5380</v>
      </c>
      <c r="P2522" s="6" t="str">
        <f>HYPERLINK("https://ceds.ed.gov/elementComment.aspx?elementName=Assessment Session Special Circumstance Type &amp;elementID=5380", "Click here to submit comment")</f>
        <v>Click here to submit comment</v>
      </c>
    </row>
    <row r="2523" spans="1:16" ht="90">
      <c r="A2523" s="6" t="s">
        <v>6784</v>
      </c>
      <c r="B2523" s="6" t="s">
        <v>6835</v>
      </c>
      <c r="C2523" s="6"/>
      <c r="D2523" s="6" t="s">
        <v>1273</v>
      </c>
      <c r="E2523" s="6" t="s">
        <v>1274</v>
      </c>
      <c r="F2523" s="6" t="s">
        <v>13</v>
      </c>
      <c r="G2523" s="6"/>
      <c r="H2523" s="6"/>
      <c r="I2523" s="6" t="s">
        <v>106</v>
      </c>
      <c r="J2523" s="6"/>
      <c r="K2523" s="6"/>
      <c r="L2523" s="6" t="s">
        <v>1275</v>
      </c>
      <c r="M2523" s="6"/>
      <c r="N2523" s="6" t="s">
        <v>1276</v>
      </c>
      <c r="O2523" s="6" t="str">
        <f>HYPERLINK("https://ceds.ed.gov/cedselementdetails.aspx?termid=6077")</f>
        <v>https://ceds.ed.gov/cedselementdetails.aspx?termid=6077</v>
      </c>
      <c r="P2523" s="6" t="str">
        <f>HYPERLINK("https://ceds.ed.gov/elementComment.aspx?elementName=Assessment Session Special Event Description &amp;elementID=6077", "Click here to submit comment")</f>
        <v>Click here to submit comment</v>
      </c>
    </row>
    <row r="2524" spans="1:16" ht="30">
      <c r="A2524" s="6" t="s">
        <v>6784</v>
      </c>
      <c r="B2524" s="6" t="s">
        <v>6836</v>
      </c>
      <c r="C2524" s="6"/>
      <c r="D2524" s="6" t="s">
        <v>748</v>
      </c>
      <c r="E2524" s="6" t="s">
        <v>749</v>
      </c>
      <c r="F2524" s="6" t="s">
        <v>13</v>
      </c>
      <c r="G2524" s="6" t="s">
        <v>6018</v>
      </c>
      <c r="H2524" s="6"/>
      <c r="I2524" s="6" t="s">
        <v>100</v>
      </c>
      <c r="J2524" s="6"/>
      <c r="K2524" s="6"/>
      <c r="L2524" s="6" t="s">
        <v>750</v>
      </c>
      <c r="M2524" s="6"/>
      <c r="N2524" s="6" t="s">
        <v>751</v>
      </c>
      <c r="O2524" s="6" t="str">
        <f>HYPERLINK("https://ceds.ed.gov/cedselementdetails.aspx?termid=5623")</f>
        <v>https://ceds.ed.gov/cedselementdetails.aspx?termid=5623</v>
      </c>
      <c r="P2524" s="6" t="str">
        <f>HYPERLINK("https://ceds.ed.gov/elementComment.aspx?elementName=Assessment Item Identifier &amp;elementID=5623", "Click here to submit comment")</f>
        <v>Click here to submit comment</v>
      </c>
    </row>
    <row r="2525" spans="1:16" ht="409.5">
      <c r="A2525" s="6" t="s">
        <v>6784</v>
      </c>
      <c r="B2525" s="6" t="s">
        <v>6836</v>
      </c>
      <c r="C2525" s="6"/>
      <c r="D2525" s="6" t="s">
        <v>933</v>
      </c>
      <c r="E2525" s="6" t="s">
        <v>934</v>
      </c>
      <c r="F2525" s="7" t="s">
        <v>6389</v>
      </c>
      <c r="G2525" s="6" t="s">
        <v>6018</v>
      </c>
      <c r="H2525" s="6"/>
      <c r="I2525" s="6"/>
      <c r="J2525" s="6"/>
      <c r="K2525" s="6"/>
      <c r="L2525" s="6" t="s">
        <v>935</v>
      </c>
      <c r="M2525" s="6"/>
      <c r="N2525" s="6" t="s">
        <v>936</v>
      </c>
      <c r="O2525" s="6" t="str">
        <f>HYPERLINK("https://ceds.ed.gov/cedselementdetails.aspx?termid=5382")</f>
        <v>https://ceds.ed.gov/cedselementdetails.aspx?termid=5382</v>
      </c>
      <c r="P2525" s="6" t="str">
        <f>HYPERLINK("https://ceds.ed.gov/elementComment.aspx?elementName=Assessment Item Type &amp;elementID=5382", "Click here to submit comment")</f>
        <v>Click here to submit comment</v>
      </c>
    </row>
    <row r="2526" spans="1:16" ht="405">
      <c r="A2526" s="6" t="s">
        <v>6784</v>
      </c>
      <c r="B2526" s="6" t="s">
        <v>6836</v>
      </c>
      <c r="C2526" s="6"/>
      <c r="D2526" s="6" t="s">
        <v>395</v>
      </c>
      <c r="E2526" s="6" t="s">
        <v>396</v>
      </c>
      <c r="F2526" s="7" t="s">
        <v>6375</v>
      </c>
      <c r="G2526" s="6" t="s">
        <v>5990</v>
      </c>
      <c r="H2526" s="6"/>
      <c r="I2526" s="6"/>
      <c r="J2526" s="6"/>
      <c r="K2526" s="6"/>
      <c r="L2526" s="6" t="s">
        <v>397</v>
      </c>
      <c r="M2526" s="6"/>
      <c r="N2526" s="6" t="s">
        <v>398</v>
      </c>
      <c r="O2526" s="6" t="str">
        <f>HYPERLINK("https://ceds.ed.gov/cedselementdetails.aspx?termid=5021")</f>
        <v>https://ceds.ed.gov/cedselementdetails.aspx?termid=5021</v>
      </c>
      <c r="P2526" s="6" t="str">
        <f>HYPERLINK("https://ceds.ed.gov/elementComment.aspx?elementName=Assessment Academic Subject &amp;elementID=5021", "Click here to submit comment")</f>
        <v>Click here to submit comment</v>
      </c>
    </row>
    <row r="2527" spans="1:16" ht="60">
      <c r="A2527" s="6" t="s">
        <v>6784</v>
      </c>
      <c r="B2527" s="6" t="s">
        <v>6836</v>
      </c>
      <c r="C2527" s="6"/>
      <c r="D2527" s="6" t="s">
        <v>718</v>
      </c>
      <c r="E2527" s="6" t="s">
        <v>719</v>
      </c>
      <c r="F2527" s="6" t="s">
        <v>13</v>
      </c>
      <c r="G2527" s="6"/>
      <c r="H2527" s="6"/>
      <c r="I2527" s="6" t="s">
        <v>319</v>
      </c>
      <c r="J2527" s="6"/>
      <c r="K2527" s="6"/>
      <c r="L2527" s="6" t="s">
        <v>720</v>
      </c>
      <c r="M2527" s="6"/>
      <c r="N2527" s="6" t="s">
        <v>721</v>
      </c>
      <c r="O2527" s="6" t="str">
        <f>HYPERLINK("https://ceds.ed.gov/cedselementdetails.aspx?termid=6233")</f>
        <v>https://ceds.ed.gov/cedselementdetails.aspx?termid=6233</v>
      </c>
      <c r="P2527" s="6" t="str">
        <f>HYPERLINK("https://ceds.ed.gov/elementComment.aspx?elementName=Assessment Item Body Text &amp;elementID=6233", "Click here to submit comment")</f>
        <v>Click here to submit comment</v>
      </c>
    </row>
    <row r="2528" spans="1:16" ht="90">
      <c r="A2528" s="6" t="s">
        <v>6784</v>
      </c>
      <c r="B2528" s="6" t="s">
        <v>6836</v>
      </c>
      <c r="C2528" s="6"/>
      <c r="D2528" s="6" t="s">
        <v>921</v>
      </c>
      <c r="E2528" s="6" t="s">
        <v>922</v>
      </c>
      <c r="F2528" s="6" t="s">
        <v>13</v>
      </c>
      <c r="G2528" s="6"/>
      <c r="H2528" s="6"/>
      <c r="I2528" s="6" t="s">
        <v>319</v>
      </c>
      <c r="J2528" s="6"/>
      <c r="K2528" s="6"/>
      <c r="L2528" s="6" t="s">
        <v>923</v>
      </c>
      <c r="M2528" s="6"/>
      <c r="N2528" s="6" t="s">
        <v>924</v>
      </c>
      <c r="O2528" s="6" t="str">
        <f>HYPERLINK("https://ceds.ed.gov/cedselementdetails.aspx?termid=6234")</f>
        <v>https://ceds.ed.gov/cedselementdetails.aspx?termid=6234</v>
      </c>
      <c r="P2528" s="6" t="str">
        <f>HYPERLINK("https://ceds.ed.gov/elementComment.aspx?elementName=Assessment Item Stimulus &amp;elementID=6234", "Click here to submit comment")</f>
        <v>Click here to submit comment</v>
      </c>
    </row>
    <row r="2529" spans="1:16" ht="45">
      <c r="A2529" s="6" t="s">
        <v>6784</v>
      </c>
      <c r="B2529" s="6" t="s">
        <v>6836</v>
      </c>
      <c r="C2529" s="6"/>
      <c r="D2529" s="6" t="s">
        <v>738</v>
      </c>
      <c r="E2529" s="6" t="s">
        <v>739</v>
      </c>
      <c r="F2529" s="6" t="s">
        <v>13</v>
      </c>
      <c r="G2529" s="6" t="s">
        <v>6018</v>
      </c>
      <c r="H2529" s="6"/>
      <c r="I2529" s="6" t="s">
        <v>740</v>
      </c>
      <c r="J2529" s="6"/>
      <c r="K2529" s="6"/>
      <c r="L2529" s="6" t="s">
        <v>741</v>
      </c>
      <c r="M2529" s="6"/>
      <c r="N2529" s="6" t="s">
        <v>742</v>
      </c>
      <c r="O2529" s="6" t="str">
        <f>HYPERLINK("https://ceds.ed.gov/cedselementdetails.aspx?termid=5383")</f>
        <v>https://ceds.ed.gov/cedselementdetails.aspx?termid=5383</v>
      </c>
      <c r="P2529" s="6" t="str">
        <f>HYPERLINK("https://ceds.ed.gov/elementComment.aspx?elementName=Assessment Item Difficulty &amp;elementID=5383", "Click here to submit comment")</f>
        <v>Click here to submit comment</v>
      </c>
    </row>
    <row r="2530" spans="1:16" ht="30">
      <c r="A2530" s="6" t="s">
        <v>6784</v>
      </c>
      <c r="B2530" s="6" t="s">
        <v>6836</v>
      </c>
      <c r="C2530" s="6"/>
      <c r="D2530" s="6" t="s">
        <v>743</v>
      </c>
      <c r="E2530" s="6" t="s">
        <v>744</v>
      </c>
      <c r="F2530" s="6" t="s">
        <v>13</v>
      </c>
      <c r="G2530" s="6" t="s">
        <v>6018</v>
      </c>
      <c r="H2530" s="6"/>
      <c r="I2530" s="6" t="s">
        <v>745</v>
      </c>
      <c r="J2530" s="6"/>
      <c r="K2530" s="6"/>
      <c r="L2530" s="6" t="s">
        <v>746</v>
      </c>
      <c r="M2530" s="6"/>
      <c r="N2530" s="6" t="s">
        <v>747</v>
      </c>
      <c r="O2530" s="6" t="str">
        <f>HYPERLINK("https://ceds.ed.gov/cedselementdetails.aspx?termid=5390")</f>
        <v>https://ceds.ed.gov/cedselementdetails.aspx?termid=5390</v>
      </c>
      <c r="P2530" s="6" t="str">
        <f>HYPERLINK("https://ceds.ed.gov/elementComment.aspx?elementName=Assessment Item Distractor Analysis &amp;elementID=5390", "Click here to submit comment")</f>
        <v>Click here to submit comment</v>
      </c>
    </row>
    <row r="2531" spans="1:16" ht="45">
      <c r="A2531" s="6" t="s">
        <v>6784</v>
      </c>
      <c r="B2531" s="6" t="s">
        <v>6836</v>
      </c>
      <c r="C2531" s="6"/>
      <c r="D2531" s="6" t="s">
        <v>917</v>
      </c>
      <c r="E2531" s="6" t="s">
        <v>918</v>
      </c>
      <c r="F2531" s="6" t="s">
        <v>13</v>
      </c>
      <c r="G2531" s="6" t="s">
        <v>6018</v>
      </c>
      <c r="H2531" s="6"/>
      <c r="I2531" s="6" t="s">
        <v>319</v>
      </c>
      <c r="J2531" s="6"/>
      <c r="K2531" s="6"/>
      <c r="L2531" s="6" t="s">
        <v>919</v>
      </c>
      <c r="M2531" s="6"/>
      <c r="N2531" s="6" t="s">
        <v>920</v>
      </c>
      <c r="O2531" s="6" t="str">
        <f>HYPERLINK("https://ceds.ed.gov/cedselementdetails.aspx?termid=5392")</f>
        <v>https://ceds.ed.gov/cedselementdetails.aspx?termid=5392</v>
      </c>
      <c r="P2531" s="6" t="str">
        <f>HYPERLINK("https://ceds.ed.gov/elementComment.aspx?elementName=Assessment Item Stem &amp;elementID=5392", "Click here to submit comment")</f>
        <v>Click here to submit comment</v>
      </c>
    </row>
    <row r="2532" spans="1:16" ht="30">
      <c r="A2532" s="6" t="s">
        <v>6784</v>
      </c>
      <c r="B2532" s="6" t="s">
        <v>6836</v>
      </c>
      <c r="C2532" s="6"/>
      <c r="D2532" s="6" t="s">
        <v>598</v>
      </c>
      <c r="E2532" s="6" t="s">
        <v>599</v>
      </c>
      <c r="F2532" s="6" t="s">
        <v>13</v>
      </c>
      <c r="G2532" s="6" t="s">
        <v>6018</v>
      </c>
      <c r="H2532" s="6"/>
      <c r="I2532" s="6" t="s">
        <v>426</v>
      </c>
      <c r="J2532" s="6"/>
      <c r="K2532" s="6"/>
      <c r="L2532" s="6" t="s">
        <v>600</v>
      </c>
      <c r="M2532" s="6"/>
      <c r="N2532" s="6" t="s">
        <v>601</v>
      </c>
      <c r="O2532" s="6" t="str">
        <f>HYPERLINK("https://ceds.ed.gov/cedselementdetails.aspx?termid=5395")</f>
        <v>https://ceds.ed.gov/cedselementdetails.aspx?termid=5395</v>
      </c>
      <c r="P2532" s="6" t="str">
        <f>HYPERLINK("https://ceds.ed.gov/elementComment.aspx?elementName=Assessment Item Allotted Time &amp;elementID=5395", "Click here to submit comment")</f>
        <v>Click here to submit comment</v>
      </c>
    </row>
    <row r="2533" spans="1:16" ht="30">
      <c r="A2533" s="6" t="s">
        <v>6784</v>
      </c>
      <c r="B2533" s="6" t="s">
        <v>6836</v>
      </c>
      <c r="C2533" s="6"/>
      <c r="D2533" s="6" t="s">
        <v>764</v>
      </c>
      <c r="E2533" s="6" t="s">
        <v>765</v>
      </c>
      <c r="F2533" s="6" t="s">
        <v>13</v>
      </c>
      <c r="G2533" s="6"/>
      <c r="H2533" s="6"/>
      <c r="I2533" s="6" t="s">
        <v>93</v>
      </c>
      <c r="J2533" s="6"/>
      <c r="K2533" s="6"/>
      <c r="L2533" s="6" t="s">
        <v>766</v>
      </c>
      <c r="M2533" s="6"/>
      <c r="N2533" s="6" t="s">
        <v>767</v>
      </c>
      <c r="O2533" s="6" t="str">
        <f>HYPERLINK("https://ceds.ed.gov/cedselementdetails.aspx?termid=5684")</f>
        <v>https://ceds.ed.gov/cedselementdetails.aspx?termid=5684</v>
      </c>
      <c r="P2533" s="6" t="str">
        <f>HYPERLINK("https://ceds.ed.gov/elementComment.aspx?elementName=Assessment Item Minimum Score &amp;elementID=5684", "Click here to submit comment")</f>
        <v>Click here to submit comment</v>
      </c>
    </row>
    <row r="2534" spans="1:16" ht="30">
      <c r="A2534" s="6" t="s">
        <v>6784</v>
      </c>
      <c r="B2534" s="6" t="s">
        <v>6836</v>
      </c>
      <c r="C2534" s="6"/>
      <c r="D2534" s="6" t="s">
        <v>760</v>
      </c>
      <c r="E2534" s="6" t="s">
        <v>761</v>
      </c>
      <c r="F2534" s="6" t="s">
        <v>13</v>
      </c>
      <c r="G2534" s="6"/>
      <c r="H2534" s="6"/>
      <c r="I2534" s="6" t="s">
        <v>93</v>
      </c>
      <c r="J2534" s="6"/>
      <c r="K2534" s="6"/>
      <c r="L2534" s="6" t="s">
        <v>762</v>
      </c>
      <c r="M2534" s="6"/>
      <c r="N2534" s="6" t="s">
        <v>763</v>
      </c>
      <c r="O2534" s="6" t="str">
        <f>HYPERLINK("https://ceds.ed.gov/cedselementdetails.aspx?termid=5683")</f>
        <v>https://ceds.ed.gov/cedselementdetails.aspx?termid=5683</v>
      </c>
      <c r="P2534" s="6" t="str">
        <f>HYPERLINK("https://ceds.ed.gov/elementComment.aspx?elementName=Assessment Item Maximum Score &amp;elementID=5683", "Click here to submit comment")</f>
        <v>Click here to submit comment</v>
      </c>
    </row>
    <row r="2535" spans="1:16" ht="75">
      <c r="A2535" s="6" t="s">
        <v>6784</v>
      </c>
      <c r="B2535" s="6" t="s">
        <v>6836</v>
      </c>
      <c r="C2535" s="6"/>
      <c r="D2535" s="6" t="s">
        <v>929</v>
      </c>
      <c r="E2535" s="6" t="s">
        <v>930</v>
      </c>
      <c r="F2535" s="6" t="s">
        <v>13</v>
      </c>
      <c r="G2535" s="6"/>
      <c r="H2535" s="6"/>
      <c r="I2535" s="6" t="s">
        <v>100</v>
      </c>
      <c r="J2535" s="6"/>
      <c r="K2535" s="6"/>
      <c r="L2535" s="6" t="s">
        <v>931</v>
      </c>
      <c r="M2535" s="6"/>
      <c r="N2535" s="6" t="s">
        <v>932</v>
      </c>
      <c r="O2535" s="6" t="str">
        <f>HYPERLINK("https://ceds.ed.gov/cedselementdetails.aspx?termid=5906")</f>
        <v>https://ceds.ed.gov/cedselementdetails.aspx?termid=5906</v>
      </c>
      <c r="P2535" s="6" t="str">
        <f>HYPERLINK("https://ceds.ed.gov/elementComment.aspx?elementName=Assessment Item Text Complexity Value &amp;elementID=5906", "Click here to submit comment")</f>
        <v>Click here to submit comment</v>
      </c>
    </row>
    <row r="2536" spans="1:16" ht="409.5">
      <c r="A2536" s="6" t="s">
        <v>6784</v>
      </c>
      <c r="B2536" s="6" t="s">
        <v>6836</v>
      </c>
      <c r="C2536" s="6"/>
      <c r="D2536" s="6" t="s">
        <v>925</v>
      </c>
      <c r="E2536" s="6" t="s">
        <v>926</v>
      </c>
      <c r="F2536" s="7" t="s">
        <v>6388</v>
      </c>
      <c r="G2536" s="6"/>
      <c r="H2536" s="6"/>
      <c r="I2536" s="6"/>
      <c r="J2536" s="6"/>
      <c r="K2536" s="6"/>
      <c r="L2536" s="6" t="s">
        <v>927</v>
      </c>
      <c r="M2536" s="6"/>
      <c r="N2536" s="6" t="s">
        <v>928</v>
      </c>
      <c r="O2536" s="6" t="str">
        <f>HYPERLINK("https://ceds.ed.gov/cedselementdetails.aspx?termid=5907")</f>
        <v>https://ceds.ed.gov/cedselementdetails.aspx?termid=5907</v>
      </c>
      <c r="P2536" s="6" t="str">
        <f>HYPERLINK("https://ceds.ed.gov/elementComment.aspx?elementName=Assessment Item Text Complexity System &amp;elementID=5907", "Click here to submit comment")</f>
        <v>Click here to submit comment</v>
      </c>
    </row>
    <row r="2537" spans="1:16" ht="150">
      <c r="A2537" s="6" t="s">
        <v>6784</v>
      </c>
      <c r="B2537" s="6" t="s">
        <v>6836</v>
      </c>
      <c r="C2537" s="6"/>
      <c r="D2537" s="6" t="s">
        <v>833</v>
      </c>
      <c r="E2537" s="6" t="s">
        <v>834</v>
      </c>
      <c r="F2537" s="6" t="s">
        <v>13</v>
      </c>
      <c r="G2537" s="6"/>
      <c r="H2537" s="6"/>
      <c r="I2537" s="6" t="s">
        <v>93</v>
      </c>
      <c r="J2537" s="6"/>
      <c r="K2537" s="6" t="s">
        <v>835</v>
      </c>
      <c r="L2537" s="6" t="s">
        <v>836</v>
      </c>
      <c r="M2537" s="6"/>
      <c r="N2537" s="6" t="s">
        <v>837</v>
      </c>
      <c r="O2537" s="6" t="str">
        <f>HYPERLINK("https://ceds.ed.gov/cedselementdetails.aspx?termid=5970")</f>
        <v>https://ceds.ed.gov/cedselementdetails.aspx?termid=5970</v>
      </c>
      <c r="P2537" s="6" t="str">
        <f>HYPERLINK("https://ceds.ed.gov/elementComment.aspx?elementName=Assessment Item Response Security Issue &amp;elementID=5970", "Click here to submit comment")</f>
        <v>Click here to submit comment</v>
      </c>
    </row>
    <row r="2538" spans="1:16" ht="60">
      <c r="A2538" s="6" t="s">
        <v>6784</v>
      </c>
      <c r="B2538" s="6" t="s">
        <v>6836</v>
      </c>
      <c r="C2538" s="6"/>
      <c r="D2538" s="6" t="s">
        <v>634</v>
      </c>
      <c r="E2538" s="6" t="s">
        <v>635</v>
      </c>
      <c r="F2538" s="6" t="s">
        <v>13</v>
      </c>
      <c r="G2538" s="6"/>
      <c r="H2538" s="6"/>
      <c r="I2538" s="6" t="s">
        <v>100</v>
      </c>
      <c r="J2538" s="6"/>
      <c r="K2538" s="6"/>
      <c r="L2538" s="6" t="s">
        <v>636</v>
      </c>
      <c r="M2538" s="6"/>
      <c r="N2538" s="6" t="s">
        <v>637</v>
      </c>
      <c r="O2538" s="6" t="str">
        <f>HYPERLINK("https://ceds.ed.gov/cedselementdetails.aspx?termid=6132")</f>
        <v>https://ceds.ed.gov/cedselementdetails.aspx?termid=6132</v>
      </c>
      <c r="P2538" s="6" t="str">
        <f>HYPERLINK("https://ceds.ed.gov/elementComment.aspx?elementName=Assessment Item Bank Identifier &amp;elementID=6132", "Click here to submit comment")</f>
        <v>Click here to submit comment</v>
      </c>
    </row>
    <row r="2539" spans="1:16" ht="45">
      <c r="A2539" s="6" t="s">
        <v>6784</v>
      </c>
      <c r="B2539" s="6" t="s">
        <v>6836</v>
      </c>
      <c r="C2539" s="6"/>
      <c r="D2539" s="6" t="s">
        <v>638</v>
      </c>
      <c r="E2539" s="6" t="s">
        <v>639</v>
      </c>
      <c r="F2539" s="6" t="s">
        <v>13</v>
      </c>
      <c r="G2539" s="6"/>
      <c r="H2539" s="6"/>
      <c r="I2539" s="6" t="s">
        <v>106</v>
      </c>
      <c r="J2539" s="6"/>
      <c r="K2539" s="6"/>
      <c r="L2539" s="6" t="s">
        <v>640</v>
      </c>
      <c r="M2539" s="6"/>
      <c r="N2539" s="6" t="s">
        <v>641</v>
      </c>
      <c r="O2539" s="6" t="str">
        <f>HYPERLINK("https://ceds.ed.gov/cedselementdetails.aspx?termid=6133")</f>
        <v>https://ceds.ed.gov/cedselementdetails.aspx?termid=6133</v>
      </c>
      <c r="P2539" s="6" t="str">
        <f>HYPERLINK("https://ceds.ed.gov/elementComment.aspx?elementName=Assessment Item Bank Name &amp;elementID=6133", "Click here to submit comment")</f>
        <v>Click here to submit comment</v>
      </c>
    </row>
    <row r="2540" spans="1:16" ht="150">
      <c r="A2540" s="6" t="s">
        <v>6784</v>
      </c>
      <c r="B2540" s="6" t="s">
        <v>6836</v>
      </c>
      <c r="C2540" s="6"/>
      <c r="D2540" s="6" t="s">
        <v>4181</v>
      </c>
      <c r="E2540" s="6" t="s">
        <v>4182</v>
      </c>
      <c r="F2540" s="7" t="s">
        <v>6588</v>
      </c>
      <c r="G2540" s="6"/>
      <c r="H2540" s="6"/>
      <c r="I2540" s="6"/>
      <c r="J2540" s="6"/>
      <c r="K2540" s="6"/>
      <c r="L2540" s="6" t="s">
        <v>4183</v>
      </c>
      <c r="M2540" s="6"/>
      <c r="N2540" s="6" t="s">
        <v>4184</v>
      </c>
      <c r="O2540" s="6" t="str">
        <f>HYPERLINK("https://ceds.ed.gov/cedselementdetails.aspx?termid=6166")</f>
        <v>https://ceds.ed.gov/cedselementdetails.aspx?termid=6166</v>
      </c>
      <c r="P2540" s="6" t="str">
        <f>HYPERLINK("https://ceds.ed.gov/elementComment.aspx?elementName=NAEP Aspects of Reading &amp;elementID=6166", "Click here to submit comment")</f>
        <v>Click here to submit comment</v>
      </c>
    </row>
    <row r="2541" spans="1:16" ht="105">
      <c r="A2541" s="6" t="s">
        <v>6784</v>
      </c>
      <c r="B2541" s="6" t="s">
        <v>6836</v>
      </c>
      <c r="C2541" s="6"/>
      <c r="D2541" s="6" t="s">
        <v>4185</v>
      </c>
      <c r="E2541" s="6" t="s">
        <v>4186</v>
      </c>
      <c r="F2541" s="7" t="s">
        <v>6589</v>
      </c>
      <c r="G2541" s="6"/>
      <c r="H2541" s="6"/>
      <c r="I2541" s="6"/>
      <c r="J2541" s="6"/>
      <c r="K2541" s="6"/>
      <c r="L2541" s="6" t="s">
        <v>4187</v>
      </c>
      <c r="M2541" s="6"/>
      <c r="N2541" s="6" t="s">
        <v>4188</v>
      </c>
      <c r="O2541" s="6" t="str">
        <f>HYPERLINK("https://ceds.ed.gov/cedselementdetails.aspx?termid=6072")</f>
        <v>https://ceds.ed.gov/cedselementdetails.aspx?termid=6072</v>
      </c>
      <c r="P2541" s="6" t="str">
        <f>HYPERLINK("https://ceds.ed.gov/elementComment.aspx?elementName=NAEP Mathematical Complexity Level &amp;elementID=6072", "Click here to submit comment")</f>
        <v>Click here to submit comment</v>
      </c>
    </row>
    <row r="2542" spans="1:16" ht="45">
      <c r="A2542" s="6" t="s">
        <v>6784</v>
      </c>
      <c r="B2542" s="6" t="s">
        <v>6836</v>
      </c>
      <c r="C2542" s="6"/>
      <c r="D2542" s="6" t="s">
        <v>789</v>
      </c>
      <c r="E2542" s="6" t="s">
        <v>790</v>
      </c>
      <c r="F2542" s="6" t="s">
        <v>5963</v>
      </c>
      <c r="G2542" s="6"/>
      <c r="H2542" s="6"/>
      <c r="I2542" s="6"/>
      <c r="J2542" s="6"/>
      <c r="K2542" s="6"/>
      <c r="L2542" s="6" t="s">
        <v>791</v>
      </c>
      <c r="M2542" s="6"/>
      <c r="N2542" s="6" t="s">
        <v>792</v>
      </c>
      <c r="O2542" s="6" t="str">
        <f>HYPERLINK("https://ceds.ed.gov/cedselementdetails.aspx?termid=6229")</f>
        <v>https://ceds.ed.gov/cedselementdetails.aspx?termid=6229</v>
      </c>
      <c r="P2542" s="6" t="str">
        <f>HYPERLINK("https://ceds.ed.gov/elementComment.aspx?elementName=Assessment Item Release Status &amp;elementID=6229", "Click here to submit comment")</f>
        <v>Click here to submit comment</v>
      </c>
    </row>
    <row r="2543" spans="1:16" ht="60">
      <c r="A2543" s="6" t="s">
        <v>6784</v>
      </c>
      <c r="B2543" s="6" t="s">
        <v>6836</v>
      </c>
      <c r="C2543" s="6"/>
      <c r="D2543" s="6" t="s">
        <v>756</v>
      </c>
      <c r="E2543" s="6" t="s">
        <v>757</v>
      </c>
      <c r="F2543" s="6" t="s">
        <v>5963</v>
      </c>
      <c r="G2543" s="6"/>
      <c r="H2543" s="6"/>
      <c r="I2543" s="6"/>
      <c r="J2543" s="6"/>
      <c r="K2543" s="6"/>
      <c r="L2543" s="6" t="s">
        <v>758</v>
      </c>
      <c r="M2543" s="6"/>
      <c r="N2543" s="6" t="s">
        <v>759</v>
      </c>
      <c r="O2543" s="6" t="str">
        <f>HYPERLINK("https://ceds.ed.gov/cedselementdetails.aspx?termid=6227")</f>
        <v>https://ceds.ed.gov/cedselementdetails.aspx?termid=6227</v>
      </c>
      <c r="P2543" s="6" t="str">
        <f>HYPERLINK("https://ceds.ed.gov/elementComment.aspx?elementName=Assessment Item Linking Item Indicator &amp;elementID=6227", "Click here to submit comment")</f>
        <v>Click here to submit comment</v>
      </c>
    </row>
    <row r="2544" spans="1:16" ht="45">
      <c r="A2544" s="6" t="s">
        <v>6784</v>
      </c>
      <c r="B2544" s="6" t="s">
        <v>6836</v>
      </c>
      <c r="C2544" s="6" t="s">
        <v>6900</v>
      </c>
      <c r="D2544" s="6" t="s">
        <v>781</v>
      </c>
      <c r="E2544" s="6" t="s">
        <v>782</v>
      </c>
      <c r="F2544" s="6" t="s">
        <v>13</v>
      </c>
      <c r="G2544" s="6"/>
      <c r="H2544" s="6"/>
      <c r="I2544" s="6" t="s">
        <v>308</v>
      </c>
      <c r="J2544" s="6"/>
      <c r="K2544" s="6"/>
      <c r="L2544" s="6" t="s">
        <v>783</v>
      </c>
      <c r="M2544" s="6"/>
      <c r="N2544" s="6" t="s">
        <v>784</v>
      </c>
      <c r="O2544" s="6" t="str">
        <f>HYPERLINK("https://ceds.ed.gov/cedselementdetails.aspx?termid=5905")</f>
        <v>https://ceds.ed.gov/cedselementdetails.aspx?termid=5905</v>
      </c>
      <c r="P2544" s="6" t="str">
        <f>HYPERLINK("https://ceds.ed.gov/elementComment.aspx?elementName=Assessment Item Possible Response Sequence Number &amp;elementID=5905", "Click here to submit comment")</f>
        <v>Click here to submit comment</v>
      </c>
    </row>
    <row r="2545" spans="1:16" ht="60">
      <c r="A2545" s="6" t="s">
        <v>6784</v>
      </c>
      <c r="B2545" s="6" t="s">
        <v>6836</v>
      </c>
      <c r="C2545" s="6" t="s">
        <v>6900</v>
      </c>
      <c r="D2545" s="6" t="s">
        <v>785</v>
      </c>
      <c r="E2545" s="6" t="s">
        <v>786</v>
      </c>
      <c r="F2545" s="6" t="s">
        <v>13</v>
      </c>
      <c r="G2545" s="6"/>
      <c r="H2545" s="6"/>
      <c r="I2545" s="6" t="s">
        <v>93</v>
      </c>
      <c r="J2545" s="6"/>
      <c r="K2545" s="6"/>
      <c r="L2545" s="6" t="s">
        <v>787</v>
      </c>
      <c r="M2545" s="6"/>
      <c r="N2545" s="6" t="s">
        <v>788</v>
      </c>
      <c r="O2545" s="6" t="str">
        <f>HYPERLINK("https://ceds.ed.gov/cedselementdetails.aspx?termid=5908")</f>
        <v>https://ceds.ed.gov/cedselementdetails.aspx?termid=5908</v>
      </c>
      <c r="P2545" s="6" t="str">
        <f>HYPERLINK("https://ceds.ed.gov/elementComment.aspx?elementName=Assessment Item Possible Response Value &amp;elementID=5908", "Click here to submit comment")</f>
        <v>Click here to submit comment</v>
      </c>
    </row>
    <row r="2546" spans="1:16" ht="60">
      <c r="A2546" s="6" t="s">
        <v>6784</v>
      </c>
      <c r="B2546" s="6" t="s">
        <v>6836</v>
      </c>
      <c r="C2546" s="6" t="s">
        <v>6900</v>
      </c>
      <c r="D2546" s="6" t="s">
        <v>777</v>
      </c>
      <c r="E2546" s="6" t="s">
        <v>778</v>
      </c>
      <c r="F2546" s="6" t="s">
        <v>13</v>
      </c>
      <c r="G2546" s="6"/>
      <c r="H2546" s="6"/>
      <c r="I2546" s="6" t="s">
        <v>319</v>
      </c>
      <c r="J2546" s="6"/>
      <c r="K2546" s="6"/>
      <c r="L2546" s="6" t="s">
        <v>779</v>
      </c>
      <c r="M2546" s="6"/>
      <c r="N2546" s="6" t="s">
        <v>780</v>
      </c>
      <c r="O2546" s="6" t="str">
        <f>HYPERLINK("https://ceds.ed.gov/cedselementdetails.aspx?termid=6235")</f>
        <v>https://ceds.ed.gov/cedselementdetails.aspx?termid=6235</v>
      </c>
      <c r="P2546" s="6" t="str">
        <f>HYPERLINK("https://ceds.ed.gov/elementComment.aspx?elementName=Assessment Item Possible Response Option &amp;elementID=6235", "Click here to submit comment")</f>
        <v>Click here to submit comment</v>
      </c>
    </row>
    <row r="2547" spans="1:16" ht="45">
      <c r="A2547" s="6" t="s">
        <v>6784</v>
      </c>
      <c r="B2547" s="6" t="s">
        <v>6836</v>
      </c>
      <c r="C2547" s="6" t="s">
        <v>6900</v>
      </c>
      <c r="D2547" s="6" t="s">
        <v>768</v>
      </c>
      <c r="E2547" s="6" t="s">
        <v>769</v>
      </c>
      <c r="F2547" s="6" t="s">
        <v>5963</v>
      </c>
      <c r="G2547" s="6"/>
      <c r="H2547" s="6"/>
      <c r="I2547" s="6"/>
      <c r="J2547" s="6"/>
      <c r="K2547" s="6"/>
      <c r="L2547" s="6" t="s">
        <v>770</v>
      </c>
      <c r="M2547" s="6"/>
      <c r="N2547" s="6" t="s">
        <v>771</v>
      </c>
      <c r="O2547" s="6" t="str">
        <f>HYPERLINK("https://ceds.ed.gov/cedselementdetails.aspx?termid=6183")</f>
        <v>https://ceds.ed.gov/cedselementdetails.aspx?termid=6183</v>
      </c>
      <c r="P2547" s="6" t="str">
        <f>HYPERLINK("https://ceds.ed.gov/elementComment.aspx?elementName=Assessment Item Possible Response Correct Indicator &amp;elementID=6183", "Click here to submit comment")</f>
        <v>Click here to submit comment</v>
      </c>
    </row>
    <row r="2548" spans="1:16" ht="120">
      <c r="A2548" s="6" t="s">
        <v>6784</v>
      </c>
      <c r="B2548" s="6" t="s">
        <v>6836</v>
      </c>
      <c r="C2548" s="6" t="s">
        <v>6900</v>
      </c>
      <c r="D2548" s="6" t="s">
        <v>772</v>
      </c>
      <c r="E2548" s="6" t="s">
        <v>773</v>
      </c>
      <c r="F2548" s="6" t="s">
        <v>13</v>
      </c>
      <c r="G2548" s="6" t="s">
        <v>493</v>
      </c>
      <c r="H2548" s="6"/>
      <c r="I2548" s="6" t="s">
        <v>93</v>
      </c>
      <c r="J2548" s="6"/>
      <c r="K2548" s="6" t="s">
        <v>774</v>
      </c>
      <c r="L2548" s="6" t="s">
        <v>775</v>
      </c>
      <c r="M2548" s="6"/>
      <c r="N2548" s="6" t="s">
        <v>776</v>
      </c>
      <c r="O2548" s="6" t="str">
        <f>HYPERLINK("https://ceds.ed.gov/cedselementdetails.aspx?termid=5904")</f>
        <v>https://ceds.ed.gov/cedselementdetails.aspx?termid=5904</v>
      </c>
      <c r="P2548" s="6" t="str">
        <f>HYPERLINK("https://ceds.ed.gov/elementComment.aspx?elementName=Assessment Item Possible Response Feedback Message &amp;elementID=5904", "Click here to submit comment")</f>
        <v>Click here to submit comment</v>
      </c>
    </row>
    <row r="2549" spans="1:16" ht="30">
      <c r="A2549" s="6" t="s">
        <v>6784</v>
      </c>
      <c r="B2549" s="6" t="s">
        <v>6836</v>
      </c>
      <c r="C2549" s="6" t="s">
        <v>6901</v>
      </c>
      <c r="D2549" s="6" t="s">
        <v>908</v>
      </c>
      <c r="E2549" s="6" t="s">
        <v>909</v>
      </c>
      <c r="F2549" s="6" t="s">
        <v>13</v>
      </c>
      <c r="G2549" s="6" t="s">
        <v>493</v>
      </c>
      <c r="H2549" s="6"/>
      <c r="I2549" s="6" t="s">
        <v>93</v>
      </c>
      <c r="J2549" s="6"/>
      <c r="K2549" s="6"/>
      <c r="L2549" s="6" t="s">
        <v>910</v>
      </c>
      <c r="M2549" s="6"/>
      <c r="N2549" s="6" t="s">
        <v>911</v>
      </c>
      <c r="O2549" s="6" t="str">
        <f>HYPERLINK("https://ceds.ed.gov/cedselementdetails.aspx?termid=6069")</f>
        <v>https://ceds.ed.gov/cedselementdetails.aspx?termid=6069</v>
      </c>
      <c r="P2549" s="6" t="str">
        <f>HYPERLINK("https://ceds.ed.gov/elementComment.aspx?elementName=Assessment Item Response Value &amp;elementID=6069", "Click here to submit comment")</f>
        <v>Click here to submit comment</v>
      </c>
    </row>
    <row r="2550" spans="1:16" ht="45">
      <c r="A2550" s="6" t="s">
        <v>6784</v>
      </c>
      <c r="B2550" s="6" t="s">
        <v>6836</v>
      </c>
      <c r="C2550" s="6" t="s">
        <v>6901</v>
      </c>
      <c r="D2550" s="6" t="s">
        <v>838</v>
      </c>
      <c r="E2550" s="6" t="s">
        <v>839</v>
      </c>
      <c r="F2550" s="6" t="s">
        <v>13</v>
      </c>
      <c r="G2550" s="6"/>
      <c r="H2550" s="6"/>
      <c r="I2550" s="6" t="s">
        <v>73</v>
      </c>
      <c r="J2550" s="6"/>
      <c r="K2550" s="6"/>
      <c r="L2550" s="6" t="s">
        <v>840</v>
      </c>
      <c r="M2550" s="6"/>
      <c r="N2550" s="6" t="s">
        <v>841</v>
      </c>
      <c r="O2550" s="6" t="str">
        <f>HYPERLINK("https://ceds.ed.gov/cedselementdetails.aspx?termid=5960")</f>
        <v>https://ceds.ed.gov/cedselementdetails.aspx?termid=5960</v>
      </c>
      <c r="P2550" s="6" t="str">
        <f>HYPERLINK("https://ceds.ed.gov/elementComment.aspx?elementName=Assessment Item Response Start Date &amp;elementID=5960", "Click here to submit comment")</f>
        <v>Click here to submit comment</v>
      </c>
    </row>
    <row r="2551" spans="1:16" ht="45">
      <c r="A2551" s="6" t="s">
        <v>6784</v>
      </c>
      <c r="B2551" s="6" t="s">
        <v>6836</v>
      </c>
      <c r="C2551" s="6" t="s">
        <v>6901</v>
      </c>
      <c r="D2551" s="6" t="s">
        <v>842</v>
      </c>
      <c r="E2551" s="6" t="s">
        <v>843</v>
      </c>
      <c r="F2551" s="6" t="s">
        <v>13</v>
      </c>
      <c r="G2551" s="6"/>
      <c r="H2551" s="6"/>
      <c r="I2551" s="6" t="s">
        <v>808</v>
      </c>
      <c r="J2551" s="6"/>
      <c r="K2551" s="6"/>
      <c r="L2551" s="6" t="s">
        <v>844</v>
      </c>
      <c r="M2551" s="6"/>
      <c r="N2551" s="6" t="s">
        <v>845</v>
      </c>
      <c r="O2551" s="6" t="str">
        <f>HYPERLINK("https://ceds.ed.gov/cedselementdetails.aspx?termid=5959")</f>
        <v>https://ceds.ed.gov/cedselementdetails.aspx?termid=5959</v>
      </c>
      <c r="P2551" s="6" t="str">
        <f>HYPERLINK("https://ceds.ed.gov/elementComment.aspx?elementName=Assessment Item Response Start Time &amp;elementID=5959", "Click here to submit comment")</f>
        <v>Click here to submit comment</v>
      </c>
    </row>
    <row r="2552" spans="1:16" ht="60">
      <c r="A2552" s="6" t="s">
        <v>6784</v>
      </c>
      <c r="B2552" s="6" t="s">
        <v>6836</v>
      </c>
      <c r="C2552" s="6" t="s">
        <v>6901</v>
      </c>
      <c r="D2552" s="6" t="s">
        <v>806</v>
      </c>
      <c r="E2552" s="6" t="s">
        <v>807</v>
      </c>
      <c r="F2552" s="6" t="s">
        <v>13</v>
      </c>
      <c r="G2552" s="6" t="s">
        <v>6018</v>
      </c>
      <c r="H2552" s="6"/>
      <c r="I2552" s="6" t="s">
        <v>808</v>
      </c>
      <c r="J2552" s="6"/>
      <c r="K2552" s="6"/>
      <c r="L2552" s="6" t="s">
        <v>809</v>
      </c>
      <c r="M2552" s="6"/>
      <c r="N2552" s="6" t="s">
        <v>810</v>
      </c>
      <c r="O2552" s="6" t="str">
        <f>HYPERLINK("https://ceds.ed.gov/cedselementdetails.aspx?termid=5394")</f>
        <v>https://ceds.ed.gov/cedselementdetails.aspx?termid=5394</v>
      </c>
      <c r="P2552" s="6" t="str">
        <f>HYPERLINK("https://ceds.ed.gov/elementComment.aspx?elementName=Assessment Item Response Duration &amp;elementID=5394", "Click here to submit comment")</f>
        <v>Click here to submit comment</v>
      </c>
    </row>
    <row r="2553" spans="1:16" ht="210">
      <c r="A2553" s="6" t="s">
        <v>6784</v>
      </c>
      <c r="B2553" s="6" t="s">
        <v>6836</v>
      </c>
      <c r="C2553" s="6" t="s">
        <v>6901</v>
      </c>
      <c r="D2553" s="6" t="s">
        <v>846</v>
      </c>
      <c r="E2553" s="6" t="s">
        <v>847</v>
      </c>
      <c r="F2553" s="7" t="s">
        <v>6385</v>
      </c>
      <c r="G2553" s="6" t="s">
        <v>6018</v>
      </c>
      <c r="H2553" s="6" t="s">
        <v>66</v>
      </c>
      <c r="I2553" s="6"/>
      <c r="J2553" s="6" t="s">
        <v>848</v>
      </c>
      <c r="K2553" s="6"/>
      <c r="L2553" s="6" t="s">
        <v>849</v>
      </c>
      <c r="M2553" s="6"/>
      <c r="N2553" s="6" t="s">
        <v>850</v>
      </c>
      <c r="O2553" s="6" t="str">
        <f>HYPERLINK("https://ceds.ed.gov/cedselementdetails.aspx?termid=5396")</f>
        <v>https://ceds.ed.gov/cedselementdetails.aspx?termid=5396</v>
      </c>
      <c r="P2553" s="6" t="str">
        <f>HYPERLINK("https://ceds.ed.gov/elementComment.aspx?elementName=Assessment Item Response Status &amp;elementID=5396", "Click here to submit comment")</f>
        <v>Click here to submit comment</v>
      </c>
    </row>
    <row r="2554" spans="1:16" ht="60">
      <c r="A2554" s="6" t="s">
        <v>6784</v>
      </c>
      <c r="B2554" s="6" t="s">
        <v>6836</v>
      </c>
      <c r="C2554" s="6" t="s">
        <v>6901</v>
      </c>
      <c r="D2554" s="6" t="s">
        <v>793</v>
      </c>
      <c r="E2554" s="6" t="s">
        <v>794</v>
      </c>
      <c r="F2554" s="6" t="s">
        <v>13</v>
      </c>
      <c r="G2554" s="6" t="s">
        <v>6018</v>
      </c>
      <c r="H2554" s="6"/>
      <c r="I2554" s="6" t="s">
        <v>100</v>
      </c>
      <c r="J2554" s="6"/>
      <c r="K2554" s="6" t="s">
        <v>795</v>
      </c>
      <c r="L2554" s="6" t="s">
        <v>796</v>
      </c>
      <c r="M2554" s="6"/>
      <c r="N2554" s="6" t="s">
        <v>797</v>
      </c>
      <c r="O2554" s="6" t="str">
        <f>HYPERLINK("https://ceds.ed.gov/cedselementdetails.aspx?termid=5397")</f>
        <v>https://ceds.ed.gov/cedselementdetails.aspx?termid=5397</v>
      </c>
      <c r="P2554" s="6" t="str">
        <f>HYPERLINK("https://ceds.ed.gov/elementComment.aspx?elementName=Assessment Item Response Aid Set Used &amp;elementID=5397", "Click here to submit comment")</f>
        <v>Click here to submit comment</v>
      </c>
    </row>
    <row r="2555" spans="1:16" ht="45">
      <c r="A2555" s="6" t="s">
        <v>6784</v>
      </c>
      <c r="B2555" s="6" t="s">
        <v>6836</v>
      </c>
      <c r="C2555" s="6" t="s">
        <v>6901</v>
      </c>
      <c r="D2555" s="6" t="s">
        <v>829</v>
      </c>
      <c r="E2555" s="6" t="s">
        <v>830</v>
      </c>
      <c r="F2555" s="6" t="s">
        <v>13</v>
      </c>
      <c r="G2555" s="6" t="s">
        <v>493</v>
      </c>
      <c r="H2555" s="6"/>
      <c r="I2555" s="6" t="s">
        <v>106</v>
      </c>
      <c r="J2555" s="6"/>
      <c r="K2555" s="6"/>
      <c r="L2555" s="6" t="s">
        <v>831</v>
      </c>
      <c r="M2555" s="6"/>
      <c r="N2555" s="6" t="s">
        <v>832</v>
      </c>
      <c r="O2555" s="6" t="str">
        <f>HYPERLINK("https://ceds.ed.gov/cedselementdetails.aspx?termid=5700")</f>
        <v>https://ceds.ed.gov/cedselementdetails.aspx?termid=5700</v>
      </c>
      <c r="P2555" s="6" t="str">
        <f>HYPERLINK("https://ceds.ed.gov/elementComment.aspx?elementName=Assessment Item Response Score Value &amp;elementID=5700", "Click here to submit comment")</f>
        <v>Click here to submit comment</v>
      </c>
    </row>
    <row r="2556" spans="1:16" ht="45">
      <c r="A2556" s="6" t="s">
        <v>6784</v>
      </c>
      <c r="B2556" s="6" t="s">
        <v>6836</v>
      </c>
      <c r="C2556" s="6" t="s">
        <v>6901</v>
      </c>
      <c r="D2556" s="6" t="s">
        <v>798</v>
      </c>
      <c r="E2556" s="6" t="s">
        <v>799</v>
      </c>
      <c r="F2556" s="6" t="s">
        <v>13</v>
      </c>
      <c r="G2556" s="6" t="s">
        <v>6018</v>
      </c>
      <c r="H2556" s="6"/>
      <c r="I2556" s="6" t="s">
        <v>745</v>
      </c>
      <c r="J2556" s="6"/>
      <c r="K2556" s="6"/>
      <c r="L2556" s="6" t="s">
        <v>800</v>
      </c>
      <c r="M2556" s="6"/>
      <c r="N2556" s="6" t="s">
        <v>801</v>
      </c>
      <c r="O2556" s="6" t="str">
        <f>HYPERLINK("https://ceds.ed.gov/cedselementdetails.aspx?termid=5385")</f>
        <v>https://ceds.ed.gov/cedselementdetails.aspx?termid=5385</v>
      </c>
      <c r="P2556" s="6" t="str">
        <f>HYPERLINK("https://ceds.ed.gov/elementComment.aspx?elementName=Assessment Item Response Choice Pattern &amp;elementID=5385", "Click here to submit comment")</f>
        <v>Click here to submit comment</v>
      </c>
    </row>
    <row r="2557" spans="1:16" ht="60">
      <c r="A2557" s="6" t="s">
        <v>6784</v>
      </c>
      <c r="B2557" s="6" t="s">
        <v>6836</v>
      </c>
      <c r="C2557" s="6" t="s">
        <v>6901</v>
      </c>
      <c r="D2557" s="6" t="s">
        <v>802</v>
      </c>
      <c r="E2557" s="6" t="s">
        <v>803</v>
      </c>
      <c r="F2557" s="6" t="s">
        <v>13</v>
      </c>
      <c r="G2557" s="6" t="s">
        <v>493</v>
      </c>
      <c r="H2557" s="6"/>
      <c r="I2557" s="6" t="s">
        <v>93</v>
      </c>
      <c r="J2557" s="6"/>
      <c r="K2557" s="6"/>
      <c r="L2557" s="6" t="s">
        <v>804</v>
      </c>
      <c r="M2557" s="6"/>
      <c r="N2557" s="6" t="s">
        <v>805</v>
      </c>
      <c r="O2557" s="6" t="str">
        <f>HYPERLINK("https://ceds.ed.gov/cedselementdetails.aspx?termid=5891")</f>
        <v>https://ceds.ed.gov/cedselementdetails.aspx?termid=5891</v>
      </c>
      <c r="P2557" s="6" t="str">
        <f>HYPERLINK("https://ceds.ed.gov/elementComment.aspx?elementName=Assessment Item Response Descriptive Feedback &amp;elementID=5891", "Click here to submit comment")</f>
        <v>Click here to submit comment</v>
      </c>
    </row>
    <row r="2558" spans="1:16" ht="135">
      <c r="A2558" s="6" t="s">
        <v>6784</v>
      </c>
      <c r="B2558" s="6" t="s">
        <v>6836</v>
      </c>
      <c r="C2558" s="6" t="s">
        <v>6901</v>
      </c>
      <c r="D2558" s="6" t="s">
        <v>825</v>
      </c>
      <c r="E2558" s="6" t="s">
        <v>826</v>
      </c>
      <c r="F2558" s="6" t="s">
        <v>5963</v>
      </c>
      <c r="G2558" s="6"/>
      <c r="H2558" s="6"/>
      <c r="I2558" s="6"/>
      <c r="J2558" s="6"/>
      <c r="K2558" s="6"/>
      <c r="L2558" s="6" t="s">
        <v>827</v>
      </c>
      <c r="M2558" s="6"/>
      <c r="N2558" s="6" t="s">
        <v>828</v>
      </c>
      <c r="O2558" s="6" t="str">
        <f>HYPERLINK("https://ceds.ed.gov/cedselementdetails.aspx?termid=5955")</f>
        <v>https://ceds.ed.gov/cedselementdetails.aspx?termid=5955</v>
      </c>
      <c r="P2558" s="6" t="str">
        <f>HYPERLINK("https://ceds.ed.gov/elementComment.aspx?elementName=Assessment Item Response Scaffolding Item Flag &amp;elementID=5955", "Click here to submit comment")</f>
        <v>Click here to submit comment</v>
      </c>
    </row>
    <row r="2559" spans="1:16" ht="135">
      <c r="A2559" s="6" t="s">
        <v>6784</v>
      </c>
      <c r="B2559" s="6" t="s">
        <v>6836</v>
      </c>
      <c r="C2559" s="6" t="s">
        <v>6901</v>
      </c>
      <c r="D2559" s="6" t="s">
        <v>816</v>
      </c>
      <c r="E2559" s="6" t="s">
        <v>817</v>
      </c>
      <c r="F2559" s="6" t="s">
        <v>13</v>
      </c>
      <c r="G2559" s="6"/>
      <c r="H2559" s="6"/>
      <c r="I2559" s="6" t="s">
        <v>308</v>
      </c>
      <c r="J2559" s="6"/>
      <c r="K2559" s="6"/>
      <c r="L2559" s="6" t="s">
        <v>818</v>
      </c>
      <c r="M2559" s="6"/>
      <c r="N2559" s="6" t="s">
        <v>819</v>
      </c>
      <c r="O2559" s="6" t="str">
        <f>HYPERLINK("https://ceds.ed.gov/cedselementdetails.aspx?termid=5956")</f>
        <v>https://ceds.ed.gov/cedselementdetails.aspx?termid=5956</v>
      </c>
      <c r="P2559" s="6" t="str">
        <f>HYPERLINK("https://ceds.ed.gov/elementComment.aspx?elementName=Assessment Item Response Hint Count &amp;elementID=5956", "Click here to submit comment")</f>
        <v>Click here to submit comment</v>
      </c>
    </row>
    <row r="2560" spans="1:16" ht="135">
      <c r="A2560" s="6" t="s">
        <v>6784</v>
      </c>
      <c r="B2560" s="6" t="s">
        <v>6836</v>
      </c>
      <c r="C2560" s="6" t="s">
        <v>6901</v>
      </c>
      <c r="D2560" s="6" t="s">
        <v>820</v>
      </c>
      <c r="E2560" s="6" t="s">
        <v>821</v>
      </c>
      <c r="F2560" s="6" t="s">
        <v>5963</v>
      </c>
      <c r="G2560" s="6"/>
      <c r="H2560" s="6"/>
      <c r="I2560" s="6"/>
      <c r="J2560" s="6"/>
      <c r="K2560" s="6" t="s">
        <v>822</v>
      </c>
      <c r="L2560" s="6" t="s">
        <v>823</v>
      </c>
      <c r="M2560" s="6"/>
      <c r="N2560" s="6" t="s">
        <v>824</v>
      </c>
      <c r="O2560" s="6" t="str">
        <f>HYPERLINK("https://ceds.ed.gov/cedselementdetails.aspx?termid=5957")</f>
        <v>https://ceds.ed.gov/cedselementdetails.aspx?termid=5957</v>
      </c>
      <c r="P2560" s="6" t="str">
        <f>HYPERLINK("https://ceds.ed.gov/elementComment.aspx?elementName=Assessment Item Response Hint Included Answer &amp;elementID=5957", "Click here to submit comment")</f>
        <v>Click here to submit comment</v>
      </c>
    </row>
    <row r="2561" spans="1:16" ht="105">
      <c r="A2561" s="6" t="s">
        <v>6784</v>
      </c>
      <c r="B2561" s="6" t="s">
        <v>6836</v>
      </c>
      <c r="C2561" s="6" t="s">
        <v>6901</v>
      </c>
      <c r="D2561" s="6" t="s">
        <v>811</v>
      </c>
      <c r="E2561" s="6" t="s">
        <v>812</v>
      </c>
      <c r="F2561" s="6" t="s">
        <v>13</v>
      </c>
      <c r="G2561" s="6"/>
      <c r="H2561" s="6"/>
      <c r="I2561" s="6" t="s">
        <v>808</v>
      </c>
      <c r="J2561" s="6"/>
      <c r="K2561" s="6" t="s">
        <v>813</v>
      </c>
      <c r="L2561" s="6" t="s">
        <v>814</v>
      </c>
      <c r="M2561" s="6"/>
      <c r="N2561" s="6" t="s">
        <v>815</v>
      </c>
      <c r="O2561" s="6" t="str">
        <f>HYPERLINK("https://ceds.ed.gov/cedselementdetails.aspx?termid=5958")</f>
        <v>https://ceds.ed.gov/cedselementdetails.aspx?termid=5958</v>
      </c>
      <c r="P2561" s="6" t="str">
        <f>HYPERLINK("https://ceds.ed.gov/elementComment.aspx?elementName=Assessment Item Response First Attempt Duration &amp;elementID=5958", "Click here to submit comment")</f>
        <v>Click here to submit comment</v>
      </c>
    </row>
    <row r="2562" spans="1:16" ht="60">
      <c r="A2562" s="6" t="s">
        <v>6784</v>
      </c>
      <c r="B2562" s="6" t="s">
        <v>6836</v>
      </c>
      <c r="C2562" s="6" t="s">
        <v>6901</v>
      </c>
      <c r="D2562" s="6" t="s">
        <v>4767</v>
      </c>
      <c r="E2562" s="6" t="s">
        <v>4768</v>
      </c>
      <c r="F2562" s="7" t="s">
        <v>6621</v>
      </c>
      <c r="G2562" s="6" t="s">
        <v>218</v>
      </c>
      <c r="H2562" s="6"/>
      <c r="I2562" s="6"/>
      <c r="J2562" s="6"/>
      <c r="K2562" s="6"/>
      <c r="L2562" s="6" t="s">
        <v>4769</v>
      </c>
      <c r="M2562" s="6"/>
      <c r="N2562" s="6" t="s">
        <v>4770</v>
      </c>
      <c r="O2562" s="6" t="str">
        <f>HYPERLINK("https://ceds.ed.gov/cedselementdetails.aspx?termid=5565")</f>
        <v>https://ceds.ed.gov/cedselementdetails.aspx?termid=5565</v>
      </c>
      <c r="P2562" s="6" t="str">
        <f>HYPERLINK("https://ceds.ed.gov/elementComment.aspx?elementName=Proficiency Status &amp;elementID=5565", "Click here to submit comment")</f>
        <v>Click here to submit comment</v>
      </c>
    </row>
    <row r="2563" spans="1:16" ht="120">
      <c r="A2563" s="6" t="s">
        <v>6784</v>
      </c>
      <c r="B2563" s="6" t="s">
        <v>6836</v>
      </c>
      <c r="C2563" s="6" t="s">
        <v>6902</v>
      </c>
      <c r="D2563" s="6" t="s">
        <v>863</v>
      </c>
      <c r="E2563" s="6" t="s">
        <v>864</v>
      </c>
      <c r="F2563" s="6" t="s">
        <v>13</v>
      </c>
      <c r="G2563" s="6"/>
      <c r="H2563" s="6"/>
      <c r="I2563" s="6" t="s">
        <v>545</v>
      </c>
      <c r="J2563" s="6"/>
      <c r="K2563" s="6"/>
      <c r="L2563" s="6" t="s">
        <v>865</v>
      </c>
      <c r="M2563" s="6"/>
      <c r="N2563" s="6" t="s">
        <v>866</v>
      </c>
      <c r="O2563" s="6" t="str">
        <f>HYPERLINK("https://ceds.ed.gov/cedselementdetails.aspx?termid=6217")</f>
        <v>https://ceds.ed.gov/cedselementdetails.aspx?termid=6217</v>
      </c>
      <c r="P2563" s="6" t="str">
        <f>HYPERLINK("https://ceds.ed.gov/elementComment.aspx?elementName=Assessment Item Response Theory Parameter A &amp;elementID=6217", "Click here to submit comment")</f>
        <v>Click here to submit comment</v>
      </c>
    </row>
    <row r="2564" spans="1:16" ht="75">
      <c r="A2564" s="6" t="s">
        <v>6784</v>
      </c>
      <c r="B2564" s="6" t="s">
        <v>6836</v>
      </c>
      <c r="C2564" s="6" t="s">
        <v>6902</v>
      </c>
      <c r="D2564" s="6" t="s">
        <v>867</v>
      </c>
      <c r="E2564" s="6" t="s">
        <v>868</v>
      </c>
      <c r="F2564" s="6" t="s">
        <v>13</v>
      </c>
      <c r="G2564" s="6"/>
      <c r="H2564" s="6"/>
      <c r="I2564" s="6" t="s">
        <v>545</v>
      </c>
      <c r="J2564" s="6"/>
      <c r="K2564" s="6"/>
      <c r="L2564" s="6" t="s">
        <v>869</v>
      </c>
      <c r="M2564" s="6"/>
      <c r="N2564" s="6" t="s">
        <v>870</v>
      </c>
      <c r="O2564" s="6" t="str">
        <f>HYPERLINK("https://ceds.ed.gov/cedselementdetails.aspx?termid=6218")</f>
        <v>https://ceds.ed.gov/cedselementdetails.aspx?termid=6218</v>
      </c>
      <c r="P2564" s="6" t="str">
        <f>HYPERLINK("https://ceds.ed.gov/elementComment.aspx?elementName=Assessment Item Response Theory Parameter B &amp;elementID=6218", "Click here to submit comment")</f>
        <v>Click here to submit comment</v>
      </c>
    </row>
    <row r="2565" spans="1:16" ht="180">
      <c r="A2565" s="6" t="s">
        <v>6784</v>
      </c>
      <c r="B2565" s="6" t="s">
        <v>6836</v>
      </c>
      <c r="C2565" s="6" t="s">
        <v>6902</v>
      </c>
      <c r="D2565" s="6" t="s">
        <v>899</v>
      </c>
      <c r="E2565" s="6" t="s">
        <v>900</v>
      </c>
      <c r="F2565" s="7" t="s">
        <v>6387</v>
      </c>
      <c r="G2565" s="6"/>
      <c r="H2565" s="6"/>
      <c r="I2565" s="6"/>
      <c r="J2565" s="6"/>
      <c r="K2565" s="6"/>
      <c r="L2565" s="6" t="s">
        <v>901</v>
      </c>
      <c r="M2565" s="6"/>
      <c r="N2565" s="6" t="s">
        <v>902</v>
      </c>
      <c r="O2565" s="6" t="str">
        <f>HYPERLINK("https://ceds.ed.gov/cedselementdetails.aspx?termid=6219")</f>
        <v>https://ceds.ed.gov/cedselementdetails.aspx?termid=6219</v>
      </c>
      <c r="P2565" s="6" t="str">
        <f>HYPERLINK("https://ceds.ed.gov/elementComment.aspx?elementName=Assessment Item Response Theory Parameter Difficulty Category &amp;elementID=6219", "Click here to submit comment")</f>
        <v>Click here to submit comment</v>
      </c>
    </row>
    <row r="2566" spans="1:16" ht="120">
      <c r="A2566" s="6" t="s">
        <v>6784</v>
      </c>
      <c r="B2566" s="6" t="s">
        <v>6836</v>
      </c>
      <c r="C2566" s="6" t="s">
        <v>6902</v>
      </c>
      <c r="D2566" s="6" t="s">
        <v>871</v>
      </c>
      <c r="E2566" s="6" t="s">
        <v>872</v>
      </c>
      <c r="F2566" s="6" t="s">
        <v>13</v>
      </c>
      <c r="G2566" s="6"/>
      <c r="H2566" s="6"/>
      <c r="I2566" s="6" t="s">
        <v>545</v>
      </c>
      <c r="J2566" s="6"/>
      <c r="K2566" s="6"/>
      <c r="L2566" s="6" t="s">
        <v>873</v>
      </c>
      <c r="M2566" s="6"/>
      <c r="N2566" s="6" t="s">
        <v>874</v>
      </c>
      <c r="O2566" s="6" t="str">
        <f>HYPERLINK("https://ceds.ed.gov/cedselementdetails.aspx?termid=6220")</f>
        <v>https://ceds.ed.gov/cedselementdetails.aspx?termid=6220</v>
      </c>
      <c r="P2566" s="6" t="str">
        <f>HYPERLINK("https://ceds.ed.gov/elementComment.aspx?elementName=Assessment Item Response Theory Parameter C &amp;elementID=6220", "Click here to submit comment")</f>
        <v>Click here to submit comment</v>
      </c>
    </row>
    <row r="2567" spans="1:16" ht="90">
      <c r="A2567" s="6" t="s">
        <v>6784</v>
      </c>
      <c r="B2567" s="6" t="s">
        <v>6836</v>
      </c>
      <c r="C2567" s="6" t="s">
        <v>6902</v>
      </c>
      <c r="D2567" s="6" t="s">
        <v>875</v>
      </c>
      <c r="E2567" s="6" t="s">
        <v>876</v>
      </c>
      <c r="F2567" s="6" t="s">
        <v>13</v>
      </c>
      <c r="G2567" s="6"/>
      <c r="H2567" s="6"/>
      <c r="I2567" s="6" t="s">
        <v>545</v>
      </c>
      <c r="J2567" s="6"/>
      <c r="K2567" s="6"/>
      <c r="L2567" s="6" t="s">
        <v>877</v>
      </c>
      <c r="M2567" s="6"/>
      <c r="N2567" s="6" t="s">
        <v>878</v>
      </c>
      <c r="O2567" s="6" t="str">
        <f>HYPERLINK("https://ceds.ed.gov/cedselementdetails.aspx?termid=6221")</f>
        <v>https://ceds.ed.gov/cedselementdetails.aspx?termid=6221</v>
      </c>
      <c r="P2567" s="6" t="str">
        <f>HYPERLINK("https://ceds.ed.gov/elementComment.aspx?elementName=Assessment Item Response Theory Parameter D1 &amp;elementID=6221", "Click here to submit comment")</f>
        <v>Click here to submit comment</v>
      </c>
    </row>
    <row r="2568" spans="1:16" ht="90">
      <c r="A2568" s="6" t="s">
        <v>6784</v>
      </c>
      <c r="B2568" s="6" t="s">
        <v>6836</v>
      </c>
      <c r="C2568" s="6" t="s">
        <v>6902</v>
      </c>
      <c r="D2568" s="6" t="s">
        <v>879</v>
      </c>
      <c r="E2568" s="6" t="s">
        <v>880</v>
      </c>
      <c r="F2568" s="6" t="s">
        <v>13</v>
      </c>
      <c r="G2568" s="6"/>
      <c r="H2568" s="6"/>
      <c r="I2568" s="6" t="s">
        <v>545</v>
      </c>
      <c r="J2568" s="6"/>
      <c r="K2568" s="6"/>
      <c r="L2568" s="6" t="s">
        <v>881</v>
      </c>
      <c r="M2568" s="6"/>
      <c r="N2568" s="6" t="s">
        <v>882</v>
      </c>
      <c r="O2568" s="6" t="str">
        <f>HYPERLINK("https://ceds.ed.gov/cedselementdetails.aspx?termid=6222")</f>
        <v>https://ceds.ed.gov/cedselementdetails.aspx?termid=6222</v>
      </c>
      <c r="P2568" s="6" t="str">
        <f>HYPERLINK("https://ceds.ed.gov/elementComment.aspx?elementName=Assessment Item Response Theory Parameter D2 &amp;elementID=6222", "Click here to submit comment")</f>
        <v>Click here to submit comment</v>
      </c>
    </row>
    <row r="2569" spans="1:16" ht="90">
      <c r="A2569" s="6" t="s">
        <v>6784</v>
      </c>
      <c r="B2569" s="6" t="s">
        <v>6836</v>
      </c>
      <c r="C2569" s="6" t="s">
        <v>6902</v>
      </c>
      <c r="D2569" s="6" t="s">
        <v>883</v>
      </c>
      <c r="E2569" s="6" t="s">
        <v>884</v>
      </c>
      <c r="F2569" s="6" t="s">
        <v>13</v>
      </c>
      <c r="G2569" s="6"/>
      <c r="H2569" s="6"/>
      <c r="I2569" s="6" t="s">
        <v>545</v>
      </c>
      <c r="J2569" s="6"/>
      <c r="K2569" s="6"/>
      <c r="L2569" s="6" t="s">
        <v>885</v>
      </c>
      <c r="M2569" s="6"/>
      <c r="N2569" s="6" t="s">
        <v>886</v>
      </c>
      <c r="O2569" s="6" t="str">
        <f>HYPERLINK("https://ceds.ed.gov/cedselementdetails.aspx?termid=6223")</f>
        <v>https://ceds.ed.gov/cedselementdetails.aspx?termid=6223</v>
      </c>
      <c r="P2569" s="6" t="str">
        <f>HYPERLINK("https://ceds.ed.gov/elementComment.aspx?elementName=Assessment Item Response Theory Parameter D3 &amp;elementID=6223", "Click here to submit comment")</f>
        <v>Click here to submit comment</v>
      </c>
    </row>
    <row r="2570" spans="1:16" ht="90">
      <c r="A2570" s="6" t="s">
        <v>6784</v>
      </c>
      <c r="B2570" s="6" t="s">
        <v>6836</v>
      </c>
      <c r="C2570" s="6" t="s">
        <v>6902</v>
      </c>
      <c r="D2570" s="6" t="s">
        <v>887</v>
      </c>
      <c r="E2570" s="6" t="s">
        <v>888</v>
      </c>
      <c r="F2570" s="6" t="s">
        <v>13</v>
      </c>
      <c r="G2570" s="6"/>
      <c r="H2570" s="6"/>
      <c r="I2570" s="6" t="s">
        <v>545</v>
      </c>
      <c r="J2570" s="6"/>
      <c r="K2570" s="6"/>
      <c r="L2570" s="6" t="s">
        <v>889</v>
      </c>
      <c r="M2570" s="6"/>
      <c r="N2570" s="6" t="s">
        <v>890</v>
      </c>
      <c r="O2570" s="6" t="str">
        <f>HYPERLINK("https://ceds.ed.gov/cedselementdetails.aspx?termid=6224")</f>
        <v>https://ceds.ed.gov/cedselementdetails.aspx?termid=6224</v>
      </c>
      <c r="P2570" s="6" t="str">
        <f>HYPERLINK("https://ceds.ed.gov/elementComment.aspx?elementName=Assessment Item Response Theory Parameter D4 &amp;elementID=6224", "Click here to submit comment")</f>
        <v>Click here to submit comment</v>
      </c>
    </row>
    <row r="2571" spans="1:16" ht="90">
      <c r="A2571" s="6" t="s">
        <v>6784</v>
      </c>
      <c r="B2571" s="6" t="s">
        <v>6836</v>
      </c>
      <c r="C2571" s="6" t="s">
        <v>6902</v>
      </c>
      <c r="D2571" s="6" t="s">
        <v>891</v>
      </c>
      <c r="E2571" s="6" t="s">
        <v>892</v>
      </c>
      <c r="F2571" s="6" t="s">
        <v>13</v>
      </c>
      <c r="G2571" s="6"/>
      <c r="H2571" s="6"/>
      <c r="I2571" s="6" t="s">
        <v>545</v>
      </c>
      <c r="J2571" s="6"/>
      <c r="K2571" s="6"/>
      <c r="L2571" s="6" t="s">
        <v>893</v>
      </c>
      <c r="M2571" s="6"/>
      <c r="N2571" s="6" t="s">
        <v>894</v>
      </c>
      <c r="O2571" s="6" t="str">
        <f>HYPERLINK("https://ceds.ed.gov/cedselementdetails.aspx?termid=6225")</f>
        <v>https://ceds.ed.gov/cedselementdetails.aspx?termid=6225</v>
      </c>
      <c r="P2571" s="6" t="str">
        <f>HYPERLINK("https://ceds.ed.gov/elementComment.aspx?elementName=Assessment Item Response Theory Parameter D5 &amp;elementID=6225", "Click here to submit comment")</f>
        <v>Click here to submit comment</v>
      </c>
    </row>
    <row r="2572" spans="1:16" ht="90">
      <c r="A2572" s="6" t="s">
        <v>6784</v>
      </c>
      <c r="B2572" s="6" t="s">
        <v>6836</v>
      </c>
      <c r="C2572" s="6" t="s">
        <v>6902</v>
      </c>
      <c r="D2572" s="6" t="s">
        <v>895</v>
      </c>
      <c r="E2572" s="6" t="s">
        <v>896</v>
      </c>
      <c r="F2572" s="6" t="s">
        <v>13</v>
      </c>
      <c r="G2572" s="6"/>
      <c r="H2572" s="6"/>
      <c r="I2572" s="6" t="s">
        <v>545</v>
      </c>
      <c r="J2572" s="6"/>
      <c r="K2572" s="6"/>
      <c r="L2572" s="6" t="s">
        <v>897</v>
      </c>
      <c r="M2572" s="6"/>
      <c r="N2572" s="6" t="s">
        <v>898</v>
      </c>
      <c r="O2572" s="6" t="str">
        <f>HYPERLINK("https://ceds.ed.gov/cedselementdetails.aspx?termid=6226")</f>
        <v>https://ceds.ed.gov/cedselementdetails.aspx?termid=6226</v>
      </c>
      <c r="P2572" s="6" t="str">
        <f>HYPERLINK("https://ceds.ed.gov/elementComment.aspx?elementName=Assessment Item Response Theory Parameter D6 &amp;elementID=6226", "Click here to submit comment")</f>
        <v>Click here to submit comment</v>
      </c>
    </row>
    <row r="2573" spans="1:16" ht="60">
      <c r="A2573" s="6" t="s">
        <v>6784</v>
      </c>
      <c r="B2573" s="6" t="s">
        <v>6836</v>
      </c>
      <c r="C2573" s="6" t="s">
        <v>6902</v>
      </c>
      <c r="D2573" s="6" t="s">
        <v>903</v>
      </c>
      <c r="E2573" s="6" t="s">
        <v>904</v>
      </c>
      <c r="F2573" s="6" t="s">
        <v>13</v>
      </c>
      <c r="G2573" s="6"/>
      <c r="H2573" s="6"/>
      <c r="I2573" s="6" t="s">
        <v>545</v>
      </c>
      <c r="J2573" s="6"/>
      <c r="K2573" s="6"/>
      <c r="L2573" s="6" t="s">
        <v>906</v>
      </c>
      <c r="M2573" s="6"/>
      <c r="N2573" s="6" t="s">
        <v>907</v>
      </c>
      <c r="O2573" s="6" t="str">
        <f>HYPERLINK("https://ceds.ed.gov/cedselementdetails.aspx?termid=6228")</f>
        <v>https://ceds.ed.gov/cedselementdetails.aspx?termid=6228</v>
      </c>
      <c r="P2573" s="6" t="str">
        <f>HYPERLINK("https://ceds.ed.gov/elementComment.aspx?elementName=Assessment Item Response Theory Point Biserial Correlation Value &amp;elementID=6228", "Click here to submit comment")</f>
        <v>Click here to submit comment</v>
      </c>
    </row>
    <row r="2574" spans="1:16" ht="165">
      <c r="A2574" s="6" t="s">
        <v>6784</v>
      </c>
      <c r="B2574" s="6" t="s">
        <v>6836</v>
      </c>
      <c r="C2574" s="6" t="s">
        <v>6902</v>
      </c>
      <c r="D2574" s="6" t="s">
        <v>851</v>
      </c>
      <c r="E2574" s="6" t="s">
        <v>852</v>
      </c>
      <c r="F2574" s="6" t="s">
        <v>13</v>
      </c>
      <c r="G2574" s="6"/>
      <c r="H2574" s="6"/>
      <c r="I2574" s="6" t="s">
        <v>545</v>
      </c>
      <c r="J2574" s="6"/>
      <c r="K2574" s="6"/>
      <c r="L2574" s="6" t="s">
        <v>853</v>
      </c>
      <c r="M2574" s="6"/>
      <c r="N2574" s="6" t="s">
        <v>854</v>
      </c>
      <c r="O2574" s="6" t="str">
        <f>HYPERLINK("https://ceds.ed.gov/cedselementdetails.aspx?termid=6230")</f>
        <v>https://ceds.ed.gov/cedselementdetails.aspx?termid=6230</v>
      </c>
      <c r="P2574" s="6" t="str">
        <f>HYPERLINK("https://ceds.ed.gov/elementComment.aspx?elementName=Assessment Item Response Theory DIF Value &amp;elementID=6230", "Click here to submit comment")</f>
        <v>Click here to submit comment</v>
      </c>
    </row>
    <row r="2575" spans="1:16" ht="45">
      <c r="A2575" s="6" t="s">
        <v>6784</v>
      </c>
      <c r="B2575" s="6" t="s">
        <v>6836</v>
      </c>
      <c r="C2575" s="6" t="s">
        <v>6902</v>
      </c>
      <c r="D2575" s="6" t="s">
        <v>859</v>
      </c>
      <c r="E2575" s="6" t="s">
        <v>860</v>
      </c>
      <c r="F2575" s="6" t="s">
        <v>13</v>
      </c>
      <c r="G2575" s="6"/>
      <c r="H2575" s="6"/>
      <c r="I2575" s="6" t="s">
        <v>545</v>
      </c>
      <c r="J2575" s="6"/>
      <c r="K2575" s="6"/>
      <c r="L2575" s="6" t="s">
        <v>861</v>
      </c>
      <c r="M2575" s="6"/>
      <c r="N2575" s="6" t="s">
        <v>862</v>
      </c>
      <c r="O2575" s="6" t="str">
        <f>HYPERLINK("https://ceds.ed.gov/cedselementdetails.aspx?termid=6231")</f>
        <v>https://ceds.ed.gov/cedselementdetails.aspx?termid=6231</v>
      </c>
      <c r="P2575" s="6" t="str">
        <f>HYPERLINK("https://ceds.ed.gov/elementComment.aspx?elementName=Assessment Item Response Theory Kappa Value &amp;elementID=6231", "Click here to submit comment")</f>
        <v>Click here to submit comment</v>
      </c>
    </row>
    <row r="2576" spans="1:16" ht="135">
      <c r="A2576" s="6" t="s">
        <v>6784</v>
      </c>
      <c r="B2576" s="6" t="s">
        <v>6836</v>
      </c>
      <c r="C2576" s="6" t="s">
        <v>6902</v>
      </c>
      <c r="D2576" s="6" t="s">
        <v>855</v>
      </c>
      <c r="E2576" s="6" t="s">
        <v>856</v>
      </c>
      <c r="F2576" s="7" t="s">
        <v>6386</v>
      </c>
      <c r="G2576" s="6"/>
      <c r="H2576" s="6"/>
      <c r="I2576" s="6"/>
      <c r="J2576" s="6"/>
      <c r="K2576" s="6"/>
      <c r="L2576" s="6" t="s">
        <v>857</v>
      </c>
      <c r="M2576" s="6"/>
      <c r="N2576" s="6" t="s">
        <v>858</v>
      </c>
      <c r="O2576" s="6" t="str">
        <f>HYPERLINK("https://ceds.ed.gov/cedselementdetails.aspx?termid=6232")</f>
        <v>https://ceds.ed.gov/cedselementdetails.aspx?termid=6232</v>
      </c>
      <c r="P2576" s="6" t="str">
        <f>HYPERLINK("https://ceds.ed.gov/elementComment.aspx?elementName=Assessment Item Response Theory Kappa Algorithm &amp;elementID=6232", "Click here to submit comment")</f>
        <v>Click here to submit comment</v>
      </c>
    </row>
    <row r="2577" spans="1:16" ht="90">
      <c r="A2577" s="6" t="s">
        <v>6784</v>
      </c>
      <c r="B2577" s="6" t="s">
        <v>6836</v>
      </c>
      <c r="C2577" s="6" t="s">
        <v>6903</v>
      </c>
      <c r="D2577" s="6" t="s">
        <v>650</v>
      </c>
      <c r="E2577" s="6" t="s">
        <v>651</v>
      </c>
      <c r="F2577" s="6" t="s">
        <v>13</v>
      </c>
      <c r="G2577" s="6"/>
      <c r="H2577" s="6"/>
      <c r="I2577" s="6" t="s">
        <v>319</v>
      </c>
      <c r="J2577" s="6"/>
      <c r="K2577" s="6"/>
      <c r="L2577" s="6" t="s">
        <v>652</v>
      </c>
      <c r="M2577" s="6"/>
      <c r="N2577" s="6" t="s">
        <v>653</v>
      </c>
      <c r="O2577" s="6" t="str">
        <f>HYPERLINK("https://ceds.ed.gov/cedselementdetails.aspx?termid=6079")</f>
        <v>https://ceds.ed.gov/cedselementdetails.aspx?termid=6079</v>
      </c>
      <c r="P2577" s="6" t="str">
        <f>HYPERLINK("https://ceds.ed.gov/elementComment.aspx?elementName=Assessment Item Body Custom Interaction XML &amp;elementID=6079", "Click here to submit comment")</f>
        <v>Click here to submit comment</v>
      </c>
    </row>
    <row r="2578" spans="1:16" ht="409.5">
      <c r="A2578" s="6" t="s">
        <v>6784</v>
      </c>
      <c r="B2578" s="6" t="s">
        <v>6836</v>
      </c>
      <c r="C2578" s="6" t="s">
        <v>6904</v>
      </c>
      <c r="D2578" s="6" t="s">
        <v>730</v>
      </c>
      <c r="E2578" s="6" t="s">
        <v>731</v>
      </c>
      <c r="F2578" s="7" t="s">
        <v>6383</v>
      </c>
      <c r="G2578" s="6" t="s">
        <v>6018</v>
      </c>
      <c r="H2578" s="6"/>
      <c r="I2578" s="6"/>
      <c r="J2578" s="6"/>
      <c r="K2578" s="6"/>
      <c r="L2578" s="6" t="s">
        <v>732</v>
      </c>
      <c r="M2578" s="6"/>
      <c r="N2578" s="6" t="s">
        <v>733</v>
      </c>
      <c r="O2578" s="6" t="str">
        <f>HYPERLINK("https://ceds.ed.gov/cedselementdetails.aspx?termid=5384")</f>
        <v>https://ceds.ed.gov/cedselementdetails.aspx?termid=5384</v>
      </c>
      <c r="P2578" s="6" t="str">
        <f>HYPERLINK("https://ceds.ed.gov/elementComment.aspx?elementName=Assessment Item Characteristic Type &amp;elementID=5384", "Click here to submit comment")</f>
        <v>Click here to submit comment</v>
      </c>
    </row>
    <row r="2579" spans="1:16" ht="45">
      <c r="A2579" s="6" t="s">
        <v>6784</v>
      </c>
      <c r="B2579" s="6" t="s">
        <v>6836</v>
      </c>
      <c r="C2579" s="6" t="s">
        <v>6904</v>
      </c>
      <c r="D2579" s="6" t="s">
        <v>734</v>
      </c>
      <c r="E2579" s="6" t="s">
        <v>735</v>
      </c>
      <c r="F2579" s="6" t="s">
        <v>13</v>
      </c>
      <c r="G2579" s="6"/>
      <c r="H2579" s="6"/>
      <c r="I2579" s="6" t="s">
        <v>100</v>
      </c>
      <c r="J2579" s="6"/>
      <c r="K2579" s="6"/>
      <c r="L2579" s="6" t="s">
        <v>736</v>
      </c>
      <c r="M2579" s="6"/>
      <c r="N2579" s="6" t="s">
        <v>737</v>
      </c>
      <c r="O2579" s="6" t="str">
        <f>HYPERLINK("https://ceds.ed.gov/cedselementdetails.aspx?termid=5685")</f>
        <v>https://ceds.ed.gov/cedselementdetails.aspx?termid=5685</v>
      </c>
      <c r="P2579" s="6" t="str">
        <f>HYPERLINK("https://ceds.ed.gov/elementComment.aspx?elementName=Assessment Item Characteristic Value &amp;elementID=5685", "Click here to submit comment")</f>
        <v>Click here to submit comment</v>
      </c>
    </row>
    <row r="2580" spans="1:16" ht="30">
      <c r="A2580" s="6" t="s">
        <v>6784</v>
      </c>
      <c r="B2580" s="6" t="s">
        <v>6836</v>
      </c>
      <c r="C2580" s="6" t="s">
        <v>6860</v>
      </c>
      <c r="D2580" s="6" t="s">
        <v>1209</v>
      </c>
      <c r="E2580" s="6" t="s">
        <v>1210</v>
      </c>
      <c r="F2580" s="6" t="s">
        <v>13</v>
      </c>
      <c r="G2580" s="6" t="s">
        <v>6018</v>
      </c>
      <c r="H2580" s="6" t="s">
        <v>66</v>
      </c>
      <c r="I2580" s="6" t="s">
        <v>100</v>
      </c>
      <c r="J2580" s="6" t="s">
        <v>1211</v>
      </c>
      <c r="K2580" s="6"/>
      <c r="L2580" s="6" t="s">
        <v>1212</v>
      </c>
      <c r="M2580" s="6"/>
      <c r="N2580" s="6" t="s">
        <v>1213</v>
      </c>
      <c r="O2580" s="6" t="str">
        <f>HYPERLINK("https://ceds.ed.gov/cedselementdetails.aspx?termid=5412")</f>
        <v>https://ceds.ed.gov/cedselementdetails.aspx?termid=5412</v>
      </c>
      <c r="P2580" s="6" t="str">
        <f>HYPERLINK("https://ceds.ed.gov/elementComment.aspx?elementName=Assessment Rubric Identifier &amp;elementID=5412", "Click here to submit comment")</f>
        <v>Click here to submit comment</v>
      </c>
    </row>
    <row r="2581" spans="1:16" ht="30">
      <c r="A2581" s="6" t="s">
        <v>6784</v>
      </c>
      <c r="B2581" s="6" t="s">
        <v>6836</v>
      </c>
      <c r="C2581" s="6" t="s">
        <v>6860</v>
      </c>
      <c r="D2581" s="6" t="s">
        <v>1214</v>
      </c>
      <c r="E2581" s="6" t="s">
        <v>1215</v>
      </c>
      <c r="F2581" s="6" t="s">
        <v>13</v>
      </c>
      <c r="G2581" s="6" t="s">
        <v>6018</v>
      </c>
      <c r="H2581" s="6" t="s">
        <v>66</v>
      </c>
      <c r="I2581" s="6" t="s">
        <v>100</v>
      </c>
      <c r="J2581" s="6" t="s">
        <v>1216</v>
      </c>
      <c r="K2581" s="6"/>
      <c r="L2581" s="6" t="s">
        <v>1217</v>
      </c>
      <c r="M2581" s="6"/>
      <c r="N2581" s="6" t="s">
        <v>1218</v>
      </c>
      <c r="O2581" s="6" t="str">
        <f>HYPERLINK("https://ceds.ed.gov/cedselementdetails.aspx?termid=5411")</f>
        <v>https://ceds.ed.gov/cedselementdetails.aspx?termid=5411</v>
      </c>
      <c r="P2581" s="6" t="str">
        <f>HYPERLINK("https://ceds.ed.gov/elementComment.aspx?elementName=Assessment Rubric Title &amp;elementID=5411", "Click here to submit comment")</f>
        <v>Click here to submit comment</v>
      </c>
    </row>
    <row r="2582" spans="1:16" ht="30">
      <c r="A2582" s="6" t="s">
        <v>6784</v>
      </c>
      <c r="B2582" s="6" t="s">
        <v>6836</v>
      </c>
      <c r="C2582" s="6" t="s">
        <v>6860</v>
      </c>
      <c r="D2582" s="6" t="s">
        <v>1219</v>
      </c>
      <c r="E2582" s="6" t="s">
        <v>1220</v>
      </c>
      <c r="F2582" s="6" t="s">
        <v>13</v>
      </c>
      <c r="G2582" s="6" t="s">
        <v>6018</v>
      </c>
      <c r="H2582" s="6" t="s">
        <v>66</v>
      </c>
      <c r="I2582" s="6" t="s">
        <v>100</v>
      </c>
      <c r="J2582" s="6" t="s">
        <v>1221</v>
      </c>
      <c r="K2582" s="6"/>
      <c r="L2582" s="6" t="s">
        <v>1222</v>
      </c>
      <c r="M2582" s="6"/>
      <c r="N2582" s="6" t="s">
        <v>1223</v>
      </c>
      <c r="O2582" s="6" t="str">
        <f>HYPERLINK("https://ceds.ed.gov/cedselementdetails.aspx?termid=5413")</f>
        <v>https://ceds.ed.gov/cedselementdetails.aspx?termid=5413</v>
      </c>
      <c r="P2582" s="6" t="str">
        <f>HYPERLINK("https://ceds.ed.gov/elementComment.aspx?elementName=Assessment Rubric URL Reference &amp;elementID=5413", "Click here to submit comment")</f>
        <v>Click here to submit comment</v>
      </c>
    </row>
    <row r="2583" spans="1:16" ht="30">
      <c r="A2583" s="6" t="s">
        <v>6784</v>
      </c>
      <c r="B2583" s="6" t="s">
        <v>6836</v>
      </c>
      <c r="C2583" s="6" t="s">
        <v>6860</v>
      </c>
      <c r="D2583" s="6" t="s">
        <v>5082</v>
      </c>
      <c r="E2583" s="6" t="s">
        <v>5083</v>
      </c>
      <c r="F2583" s="6" t="s">
        <v>13</v>
      </c>
      <c r="G2583" s="6"/>
      <c r="H2583" s="6" t="s">
        <v>54</v>
      </c>
      <c r="I2583" s="6" t="s">
        <v>100</v>
      </c>
      <c r="J2583" s="6"/>
      <c r="K2583" s="6"/>
      <c r="L2583" s="6" t="s">
        <v>5084</v>
      </c>
      <c r="M2583" s="6"/>
      <c r="N2583" s="6" t="s">
        <v>5085</v>
      </c>
      <c r="O2583" s="6" t="str">
        <f>HYPERLINK("https://ceds.ed.gov/cedselementdetails.aspx?termid=6441")</f>
        <v>https://ceds.ed.gov/cedselementdetails.aspx?termid=6441</v>
      </c>
      <c r="P2583" s="6" t="str">
        <f>HYPERLINK("https://ceds.ed.gov/elementComment.aspx?elementName=Rubric Criterion Category &amp;elementID=6441", "Click here to submit comment")</f>
        <v>Click here to submit comment</v>
      </c>
    </row>
    <row r="2584" spans="1:16" ht="45">
      <c r="A2584" s="6" t="s">
        <v>6784</v>
      </c>
      <c r="B2584" s="6" t="s">
        <v>6836</v>
      </c>
      <c r="C2584" s="6" t="s">
        <v>6860</v>
      </c>
      <c r="D2584" s="6" t="s">
        <v>5086</v>
      </c>
      <c r="E2584" s="6" t="s">
        <v>5087</v>
      </c>
      <c r="F2584" s="6" t="s">
        <v>13</v>
      </c>
      <c r="G2584" s="6"/>
      <c r="H2584" s="6" t="s">
        <v>54</v>
      </c>
      <c r="I2584" s="6" t="s">
        <v>319</v>
      </c>
      <c r="J2584" s="6"/>
      <c r="K2584" s="6"/>
      <c r="L2584" s="6" t="s">
        <v>5088</v>
      </c>
      <c r="M2584" s="6"/>
      <c r="N2584" s="6" t="s">
        <v>5089</v>
      </c>
      <c r="O2584" s="6" t="str">
        <f>HYPERLINK("https://ceds.ed.gov/cedselementdetails.aspx?termid=6442")</f>
        <v>https://ceds.ed.gov/cedselementdetails.aspx?termid=6442</v>
      </c>
      <c r="P2584" s="6" t="str">
        <f>HYPERLINK("https://ceds.ed.gov/elementComment.aspx?elementName=Rubric Criterion Description &amp;elementID=6442", "Click here to submit comment")</f>
        <v>Click here to submit comment</v>
      </c>
    </row>
    <row r="2585" spans="1:16" ht="60">
      <c r="A2585" s="6" t="s">
        <v>6784</v>
      </c>
      <c r="B2585" s="6" t="s">
        <v>6836</v>
      </c>
      <c r="C2585" s="6" t="s">
        <v>6860</v>
      </c>
      <c r="D2585" s="6" t="s">
        <v>5090</v>
      </c>
      <c r="E2585" s="6" t="s">
        <v>5091</v>
      </c>
      <c r="F2585" s="6" t="s">
        <v>13</v>
      </c>
      <c r="G2585" s="6"/>
      <c r="H2585" s="6" t="s">
        <v>54</v>
      </c>
      <c r="I2585" s="6" t="s">
        <v>319</v>
      </c>
      <c r="J2585" s="6"/>
      <c r="K2585" s="6"/>
      <c r="L2585" s="6" t="s">
        <v>5092</v>
      </c>
      <c r="M2585" s="6"/>
      <c r="N2585" s="6" t="s">
        <v>5093</v>
      </c>
      <c r="O2585" s="6" t="str">
        <f>HYPERLINK("https://ceds.ed.gov/cedselementdetails.aspx?termid=6443")</f>
        <v>https://ceds.ed.gov/cedselementdetails.aspx?termid=6443</v>
      </c>
      <c r="P2585" s="6" t="str">
        <f>HYPERLINK("https://ceds.ed.gov/elementComment.aspx?elementName=Rubric Criterion Level Description &amp;elementID=6443", "Click here to submit comment")</f>
        <v>Click here to submit comment</v>
      </c>
    </row>
    <row r="2586" spans="1:16" ht="75">
      <c r="A2586" s="6" t="s">
        <v>6784</v>
      </c>
      <c r="B2586" s="6" t="s">
        <v>6836</v>
      </c>
      <c r="C2586" s="6" t="s">
        <v>6860</v>
      </c>
      <c r="D2586" s="6" t="s">
        <v>5094</v>
      </c>
      <c r="E2586" s="6" t="s">
        <v>5095</v>
      </c>
      <c r="F2586" s="6" t="s">
        <v>13</v>
      </c>
      <c r="G2586" s="6"/>
      <c r="H2586" s="6" t="s">
        <v>54</v>
      </c>
      <c r="I2586" s="6" t="s">
        <v>319</v>
      </c>
      <c r="J2586" s="6"/>
      <c r="K2586" s="6"/>
      <c r="L2586" s="6" t="s">
        <v>5096</v>
      </c>
      <c r="M2586" s="6"/>
      <c r="N2586" s="6" t="s">
        <v>5097</v>
      </c>
      <c r="O2586" s="6" t="str">
        <f>HYPERLINK("https://ceds.ed.gov/cedselementdetails.aspx?termid=6444")</f>
        <v>https://ceds.ed.gov/cedselementdetails.aspx?termid=6444</v>
      </c>
      <c r="P2586" s="6" t="str">
        <f>HYPERLINK("https://ceds.ed.gov/elementComment.aspx?elementName=Rubric Criterion Level Feedback &amp;elementID=6444", "Click here to submit comment")</f>
        <v>Click here to submit comment</v>
      </c>
    </row>
    <row r="2587" spans="1:16" ht="45">
      <c r="A2587" s="6" t="s">
        <v>6784</v>
      </c>
      <c r="B2587" s="6" t="s">
        <v>6836</v>
      </c>
      <c r="C2587" s="6" t="s">
        <v>6860</v>
      </c>
      <c r="D2587" s="6" t="s">
        <v>5098</v>
      </c>
      <c r="E2587" s="6" t="s">
        <v>5099</v>
      </c>
      <c r="F2587" s="6" t="s">
        <v>13</v>
      </c>
      <c r="G2587" s="6"/>
      <c r="H2587" s="6" t="s">
        <v>54</v>
      </c>
      <c r="I2587" s="6" t="s">
        <v>545</v>
      </c>
      <c r="J2587" s="6"/>
      <c r="K2587" s="6"/>
      <c r="L2587" s="6" t="s">
        <v>5100</v>
      </c>
      <c r="M2587" s="6"/>
      <c r="N2587" s="6" t="s">
        <v>5101</v>
      </c>
      <c r="O2587" s="6" t="str">
        <f>HYPERLINK("https://ceds.ed.gov/cedselementdetails.aspx?termid=6445")</f>
        <v>https://ceds.ed.gov/cedselementdetails.aspx?termid=6445</v>
      </c>
      <c r="P2587" s="6" t="str">
        <f>HYPERLINK("https://ceds.ed.gov/elementComment.aspx?elementName=Rubric Criterion Level Position &amp;elementID=6445", "Click here to submit comment")</f>
        <v>Click here to submit comment</v>
      </c>
    </row>
    <row r="2588" spans="1:16" ht="60">
      <c r="A2588" s="6" t="s">
        <v>6784</v>
      </c>
      <c r="B2588" s="6" t="s">
        <v>6836</v>
      </c>
      <c r="C2588" s="6" t="s">
        <v>6860</v>
      </c>
      <c r="D2588" s="6" t="s">
        <v>5102</v>
      </c>
      <c r="E2588" s="6" t="s">
        <v>5103</v>
      </c>
      <c r="F2588" s="6" t="s">
        <v>13</v>
      </c>
      <c r="G2588" s="6"/>
      <c r="H2588" s="6" t="s">
        <v>54</v>
      </c>
      <c r="I2588" s="6" t="s">
        <v>106</v>
      </c>
      <c r="J2588" s="6"/>
      <c r="K2588" s="6"/>
      <c r="L2588" s="6" t="s">
        <v>5104</v>
      </c>
      <c r="M2588" s="6"/>
      <c r="N2588" s="6" t="s">
        <v>5105</v>
      </c>
      <c r="O2588" s="6" t="str">
        <f>HYPERLINK("https://ceds.ed.gov/cedselementdetails.aspx?termid=6446")</f>
        <v>https://ceds.ed.gov/cedselementdetails.aspx?termid=6446</v>
      </c>
      <c r="P2588" s="6" t="str">
        <f>HYPERLINK("https://ceds.ed.gov/elementComment.aspx?elementName=Rubric Criterion Level Quality Label &amp;elementID=6446", "Click here to submit comment")</f>
        <v>Click here to submit comment</v>
      </c>
    </row>
    <row r="2589" spans="1:16" ht="30">
      <c r="A2589" s="6" t="s">
        <v>6784</v>
      </c>
      <c r="B2589" s="6" t="s">
        <v>6836</v>
      </c>
      <c r="C2589" s="6" t="s">
        <v>6860</v>
      </c>
      <c r="D2589" s="6" t="s">
        <v>5106</v>
      </c>
      <c r="E2589" s="6" t="s">
        <v>5107</v>
      </c>
      <c r="F2589" s="6" t="s">
        <v>13</v>
      </c>
      <c r="G2589" s="6"/>
      <c r="H2589" s="6" t="s">
        <v>54</v>
      </c>
      <c r="I2589" s="6" t="s">
        <v>545</v>
      </c>
      <c r="J2589" s="6"/>
      <c r="K2589" s="6"/>
      <c r="L2589" s="6" t="s">
        <v>5108</v>
      </c>
      <c r="M2589" s="6"/>
      <c r="N2589" s="6" t="s">
        <v>5109</v>
      </c>
      <c r="O2589" s="6" t="str">
        <f>HYPERLINK("https://ceds.ed.gov/cedselementdetails.aspx?termid=6447")</f>
        <v>https://ceds.ed.gov/cedselementdetails.aspx?termid=6447</v>
      </c>
      <c r="P2589" s="6" t="str">
        <f>HYPERLINK("https://ceds.ed.gov/elementComment.aspx?elementName=Rubric Criterion Level Score &amp;elementID=6447", "Click here to submit comment")</f>
        <v>Click here to submit comment</v>
      </c>
    </row>
    <row r="2590" spans="1:16" ht="45">
      <c r="A2590" s="6" t="s">
        <v>6784</v>
      </c>
      <c r="B2590" s="6" t="s">
        <v>6836</v>
      </c>
      <c r="C2590" s="6" t="s">
        <v>6860</v>
      </c>
      <c r="D2590" s="6" t="s">
        <v>5110</v>
      </c>
      <c r="E2590" s="6" t="s">
        <v>5111</v>
      </c>
      <c r="F2590" s="6" t="s">
        <v>13</v>
      </c>
      <c r="G2590" s="6"/>
      <c r="H2590" s="6" t="s">
        <v>54</v>
      </c>
      <c r="I2590" s="6" t="s">
        <v>545</v>
      </c>
      <c r="J2590" s="6"/>
      <c r="K2590" s="6"/>
      <c r="L2590" s="6" t="s">
        <v>5112</v>
      </c>
      <c r="M2590" s="6"/>
      <c r="N2590" s="6" t="s">
        <v>5113</v>
      </c>
      <c r="O2590" s="6" t="str">
        <f>HYPERLINK("https://ceds.ed.gov/cedselementdetails.aspx?termid=6448")</f>
        <v>https://ceds.ed.gov/cedselementdetails.aspx?termid=6448</v>
      </c>
      <c r="P2590" s="6" t="str">
        <f>HYPERLINK("https://ceds.ed.gov/elementComment.aspx?elementName=Rubric Criterion Position &amp;elementID=6448", "Click here to submit comment")</f>
        <v>Click here to submit comment</v>
      </c>
    </row>
    <row r="2591" spans="1:16" ht="30">
      <c r="A2591" s="6" t="s">
        <v>6784</v>
      </c>
      <c r="B2591" s="6" t="s">
        <v>6836</v>
      </c>
      <c r="C2591" s="6" t="s">
        <v>6860</v>
      </c>
      <c r="D2591" s="6" t="s">
        <v>5114</v>
      </c>
      <c r="E2591" s="6" t="s">
        <v>5115</v>
      </c>
      <c r="F2591" s="6" t="s">
        <v>13</v>
      </c>
      <c r="G2591" s="6"/>
      <c r="H2591" s="6" t="s">
        <v>54</v>
      </c>
      <c r="I2591" s="6" t="s">
        <v>106</v>
      </c>
      <c r="J2591" s="6"/>
      <c r="K2591" s="6"/>
      <c r="L2591" s="6" t="s">
        <v>5116</v>
      </c>
      <c r="M2591" s="6"/>
      <c r="N2591" s="6" t="s">
        <v>5117</v>
      </c>
      <c r="O2591" s="6" t="str">
        <f>HYPERLINK("https://ceds.ed.gov/cedselementdetails.aspx?termid=6449")</f>
        <v>https://ceds.ed.gov/cedselementdetails.aspx?termid=6449</v>
      </c>
      <c r="P2591" s="6" t="str">
        <f>HYPERLINK("https://ceds.ed.gov/elementComment.aspx?elementName=Rubric Criterion Title &amp;elementID=6449", "Click here to submit comment")</f>
        <v>Click here to submit comment</v>
      </c>
    </row>
    <row r="2592" spans="1:16" ht="45">
      <c r="A2592" s="6" t="s">
        <v>6784</v>
      </c>
      <c r="B2592" s="6" t="s">
        <v>6836</v>
      </c>
      <c r="C2592" s="6" t="s">
        <v>6860</v>
      </c>
      <c r="D2592" s="6" t="s">
        <v>5118</v>
      </c>
      <c r="E2592" s="6" t="s">
        <v>5119</v>
      </c>
      <c r="F2592" s="6" t="s">
        <v>13</v>
      </c>
      <c r="G2592" s="6"/>
      <c r="H2592" s="6" t="s">
        <v>54</v>
      </c>
      <c r="I2592" s="6" t="s">
        <v>545</v>
      </c>
      <c r="J2592" s="6"/>
      <c r="K2592" s="6"/>
      <c r="L2592" s="6" t="s">
        <v>5120</v>
      </c>
      <c r="M2592" s="6"/>
      <c r="N2592" s="6" t="s">
        <v>5121</v>
      </c>
      <c r="O2592" s="6" t="str">
        <f>HYPERLINK("https://ceds.ed.gov/cedselementdetails.aspx?termid=6450")</f>
        <v>https://ceds.ed.gov/cedselementdetails.aspx?termid=6450</v>
      </c>
      <c r="P2592" s="6" t="str">
        <f>HYPERLINK("https://ceds.ed.gov/elementComment.aspx?elementName=Rubric Criterion Weight &amp;elementID=6450", "Click here to submit comment")</f>
        <v>Click here to submit comment</v>
      </c>
    </row>
    <row r="2593" spans="1:16" ht="30">
      <c r="A2593" s="6" t="s">
        <v>6784</v>
      </c>
      <c r="B2593" s="6" t="s">
        <v>6836</v>
      </c>
      <c r="C2593" s="6" t="s">
        <v>6860</v>
      </c>
      <c r="D2593" s="6" t="s">
        <v>5122</v>
      </c>
      <c r="E2593" s="6" t="s">
        <v>5123</v>
      </c>
      <c r="F2593" s="6" t="s">
        <v>13</v>
      </c>
      <c r="G2593" s="6"/>
      <c r="H2593" s="6" t="s">
        <v>54</v>
      </c>
      <c r="I2593" s="6" t="s">
        <v>319</v>
      </c>
      <c r="J2593" s="6"/>
      <c r="K2593" s="6"/>
      <c r="L2593" s="6" t="s">
        <v>5124</v>
      </c>
      <c r="M2593" s="6"/>
      <c r="N2593" s="6" t="s">
        <v>5125</v>
      </c>
      <c r="O2593" s="6" t="str">
        <f>HYPERLINK("https://ceds.ed.gov/cedselementdetails.aspx?termid=6451")</f>
        <v>https://ceds.ed.gov/cedselementdetails.aspx?termid=6451</v>
      </c>
      <c r="P2593" s="6" t="str">
        <f>HYPERLINK("https://ceds.ed.gov/elementComment.aspx?elementName=Rubric Description &amp;elementID=6451", "Click here to submit comment")</f>
        <v>Click here to submit comment</v>
      </c>
    </row>
    <row r="2594" spans="1:16" ht="45">
      <c r="A2594" s="6" t="s">
        <v>6784</v>
      </c>
      <c r="B2594" s="6" t="s">
        <v>6836</v>
      </c>
      <c r="C2594" s="6" t="s">
        <v>6905</v>
      </c>
      <c r="D2594" s="6" t="s">
        <v>594</v>
      </c>
      <c r="E2594" s="6" t="s">
        <v>595</v>
      </c>
      <c r="F2594" s="6" t="s">
        <v>5963</v>
      </c>
      <c r="G2594" s="6"/>
      <c r="H2594" s="6"/>
      <c r="I2594" s="6"/>
      <c r="J2594" s="6"/>
      <c r="K2594" s="6"/>
      <c r="L2594" s="6" t="s">
        <v>596</v>
      </c>
      <c r="M2594" s="6"/>
      <c r="N2594" s="6" t="s">
        <v>597</v>
      </c>
      <c r="O2594" s="6" t="str">
        <f>HYPERLINK("https://ceds.ed.gov/cedselementdetails.aspx?termid=6111")</f>
        <v>https://ceds.ed.gov/cedselementdetails.aspx?termid=6111</v>
      </c>
      <c r="P2594" s="6" t="str">
        <f>HYPERLINK("https://ceds.ed.gov/elementComment.aspx?elementName=Assessment Item Adaptive Indicator &amp;elementID=6111", "Click here to submit comment")</f>
        <v>Click here to submit comment</v>
      </c>
    </row>
    <row r="2595" spans="1:16" ht="195">
      <c r="A2595" s="6" t="s">
        <v>6784</v>
      </c>
      <c r="B2595" s="6" t="s">
        <v>6836</v>
      </c>
      <c r="C2595" s="6" t="s">
        <v>6905</v>
      </c>
      <c r="D2595" s="6" t="s">
        <v>602</v>
      </c>
      <c r="E2595" s="6" t="s">
        <v>603</v>
      </c>
      <c r="F2595" s="6" t="s">
        <v>13</v>
      </c>
      <c r="G2595" s="6"/>
      <c r="H2595" s="6"/>
      <c r="I2595" s="6" t="s">
        <v>319</v>
      </c>
      <c r="J2595" s="6"/>
      <c r="K2595" s="6"/>
      <c r="L2595" s="6" t="s">
        <v>604</v>
      </c>
      <c r="M2595" s="6"/>
      <c r="N2595" s="6" t="s">
        <v>605</v>
      </c>
      <c r="O2595" s="6" t="str">
        <f>HYPERLINK("https://ceds.ed.gov/cedselementdetails.aspx?termid=6110")</f>
        <v>https://ceds.ed.gov/cedselementdetails.aspx?termid=6110</v>
      </c>
      <c r="P2595" s="6" t="str">
        <f>HYPERLINK("https://ceds.ed.gov/elementComment.aspx?elementName=Assessment Item APIP Item Body XML &amp;elementID=6110", "Click here to submit comment")</f>
        <v>Click here to submit comment</v>
      </c>
    </row>
    <row r="2596" spans="1:16" ht="150">
      <c r="A2596" s="6" t="s">
        <v>6784</v>
      </c>
      <c r="B2596" s="6" t="s">
        <v>6836</v>
      </c>
      <c r="C2596" s="6" t="s">
        <v>6905</v>
      </c>
      <c r="D2596" s="6" t="s">
        <v>606</v>
      </c>
      <c r="E2596" s="6" t="s">
        <v>607</v>
      </c>
      <c r="F2596" s="6" t="s">
        <v>13</v>
      </c>
      <c r="G2596" s="6"/>
      <c r="H2596" s="6"/>
      <c r="I2596" s="6" t="s">
        <v>319</v>
      </c>
      <c r="J2596" s="6"/>
      <c r="K2596" s="6"/>
      <c r="L2596" s="6" t="s">
        <v>608</v>
      </c>
      <c r="M2596" s="6"/>
      <c r="N2596" s="6" t="s">
        <v>609</v>
      </c>
      <c r="O2596" s="6" t="str">
        <f>HYPERLINK("https://ceds.ed.gov/cedselementdetails.aspx?termid=6109")</f>
        <v>https://ceds.ed.gov/cedselementdetails.aspx?termid=6109</v>
      </c>
      <c r="P2596" s="6" t="str">
        <f>HYPERLINK("https://ceds.ed.gov/elementComment.aspx?elementName=Assessment Item APIP Modal Feedback XML &amp;elementID=6109", "Click here to submit comment")</f>
        <v>Click here to submit comment</v>
      </c>
    </row>
    <row r="2597" spans="1:16" ht="105">
      <c r="A2597" s="6" t="s">
        <v>6784</v>
      </c>
      <c r="B2597" s="6" t="s">
        <v>6836</v>
      </c>
      <c r="C2597" s="6" t="s">
        <v>6905</v>
      </c>
      <c r="D2597" s="6" t="s">
        <v>610</v>
      </c>
      <c r="E2597" s="6" t="s">
        <v>611</v>
      </c>
      <c r="F2597" s="6" t="s">
        <v>13</v>
      </c>
      <c r="G2597" s="6"/>
      <c r="H2597" s="6"/>
      <c r="I2597" s="6" t="s">
        <v>319</v>
      </c>
      <c r="J2597" s="6"/>
      <c r="K2597" s="6"/>
      <c r="L2597" s="6" t="s">
        <v>612</v>
      </c>
      <c r="M2597" s="6"/>
      <c r="N2597" s="6" t="s">
        <v>613</v>
      </c>
      <c r="O2597" s="6" t="str">
        <f>HYPERLINK("https://ceds.ed.gov/cedselementdetails.aspx?termid=6106")</f>
        <v>https://ceds.ed.gov/cedselementdetails.aspx?termid=6106</v>
      </c>
      <c r="P2597" s="6" t="str">
        <f>HYPERLINK("https://ceds.ed.gov/elementComment.aspx?elementName=Assessment Item APIP Outcome Declaration XML &amp;elementID=6106", "Click here to submit comment")</f>
        <v>Click here to submit comment</v>
      </c>
    </row>
    <row r="2598" spans="1:16" ht="90">
      <c r="A2598" s="6" t="s">
        <v>6784</v>
      </c>
      <c r="B2598" s="6" t="s">
        <v>6836</v>
      </c>
      <c r="C2598" s="6" t="s">
        <v>6905</v>
      </c>
      <c r="D2598" s="6" t="s">
        <v>614</v>
      </c>
      <c r="E2598" s="6" t="s">
        <v>615</v>
      </c>
      <c r="F2598" s="6" t="s">
        <v>13</v>
      </c>
      <c r="G2598" s="6"/>
      <c r="H2598" s="6"/>
      <c r="I2598" s="6" t="s">
        <v>319</v>
      </c>
      <c r="J2598" s="6"/>
      <c r="K2598" s="6"/>
      <c r="L2598" s="6" t="s">
        <v>616</v>
      </c>
      <c r="M2598" s="6"/>
      <c r="N2598" s="6" t="s">
        <v>617</v>
      </c>
      <c r="O2598" s="6" t="str">
        <f>HYPERLINK("https://ceds.ed.gov/cedselementdetails.aspx?termid=6105")</f>
        <v>https://ceds.ed.gov/cedselementdetails.aspx?termid=6105</v>
      </c>
      <c r="P2598" s="6" t="str">
        <f>HYPERLINK("https://ceds.ed.gov/elementComment.aspx?elementName=Assessment Item APIP Response Declaration XML &amp;elementID=6105", "Click here to submit comment")</f>
        <v>Click here to submit comment</v>
      </c>
    </row>
    <row r="2599" spans="1:16" ht="180">
      <c r="A2599" s="6" t="s">
        <v>6784</v>
      </c>
      <c r="B2599" s="6" t="s">
        <v>6836</v>
      </c>
      <c r="C2599" s="6" t="s">
        <v>6905</v>
      </c>
      <c r="D2599" s="6" t="s">
        <v>618</v>
      </c>
      <c r="E2599" s="6" t="s">
        <v>619</v>
      </c>
      <c r="F2599" s="6" t="s">
        <v>13</v>
      </c>
      <c r="G2599" s="6"/>
      <c r="H2599" s="6"/>
      <c r="I2599" s="6" t="s">
        <v>319</v>
      </c>
      <c r="J2599" s="6"/>
      <c r="K2599" s="6"/>
      <c r="L2599" s="6" t="s">
        <v>620</v>
      </c>
      <c r="M2599" s="6"/>
      <c r="N2599" s="6" t="s">
        <v>621</v>
      </c>
      <c r="O2599" s="6" t="str">
        <f>HYPERLINK("https://ceds.ed.gov/cedselementdetails.aspx?termid=6103")</f>
        <v>https://ceds.ed.gov/cedselementdetails.aspx?termid=6103</v>
      </c>
      <c r="P2599" s="6" t="str">
        <f>HYPERLINK("https://ceds.ed.gov/elementComment.aspx?elementName=Assessment Item APIP Response Processing Template URL &amp;elementID=6103", "Click here to submit comment")</f>
        <v>Click here to submit comment</v>
      </c>
    </row>
    <row r="2600" spans="1:16" ht="180">
      <c r="A2600" s="6" t="s">
        <v>6784</v>
      </c>
      <c r="B2600" s="6" t="s">
        <v>6836</v>
      </c>
      <c r="C2600" s="6" t="s">
        <v>6905</v>
      </c>
      <c r="D2600" s="6" t="s">
        <v>622</v>
      </c>
      <c r="E2600" s="6" t="s">
        <v>623</v>
      </c>
      <c r="F2600" s="6" t="s">
        <v>13</v>
      </c>
      <c r="G2600" s="6"/>
      <c r="H2600" s="6"/>
      <c r="I2600" s="6" t="s">
        <v>319</v>
      </c>
      <c r="J2600" s="6"/>
      <c r="K2600" s="6"/>
      <c r="L2600" s="6" t="s">
        <v>624</v>
      </c>
      <c r="M2600" s="6"/>
      <c r="N2600" s="6" t="s">
        <v>625</v>
      </c>
      <c r="O2600" s="6" t="str">
        <f>HYPERLINK("https://ceds.ed.gov/cedselementdetails.aspx?termid=6104")</f>
        <v>https://ceds.ed.gov/cedselementdetails.aspx?termid=6104</v>
      </c>
      <c r="P2600" s="6" t="str">
        <f>HYPERLINK("https://ceds.ed.gov/elementComment.aspx?elementName=Assessment Item APIP Response Processing XML &amp;elementID=6104", "Click here to submit comment")</f>
        <v>Click here to submit comment</v>
      </c>
    </row>
    <row r="2601" spans="1:16" ht="180">
      <c r="A2601" s="6" t="s">
        <v>6784</v>
      </c>
      <c r="B2601" s="6" t="s">
        <v>6836</v>
      </c>
      <c r="C2601" s="6" t="s">
        <v>6905</v>
      </c>
      <c r="D2601" s="6" t="s">
        <v>626</v>
      </c>
      <c r="E2601" s="6" t="s">
        <v>627</v>
      </c>
      <c r="F2601" s="6" t="s">
        <v>13</v>
      </c>
      <c r="G2601" s="6"/>
      <c r="H2601" s="6"/>
      <c r="I2601" s="6" t="s">
        <v>319</v>
      </c>
      <c r="J2601" s="6"/>
      <c r="K2601" s="6"/>
      <c r="L2601" s="6" t="s">
        <v>628</v>
      </c>
      <c r="M2601" s="6"/>
      <c r="N2601" s="6" t="s">
        <v>629</v>
      </c>
      <c r="O2601" s="6" t="str">
        <f>HYPERLINK("https://ceds.ed.gov/cedselementdetails.aspx?termid=6107")</f>
        <v>https://ceds.ed.gov/cedselementdetails.aspx?termid=6107</v>
      </c>
      <c r="P2601" s="6" t="str">
        <f>HYPERLINK("https://ceds.ed.gov/elementComment.aspx?elementName=Assessment Item APIP Template Declaration XML &amp;elementID=6107", "Click here to submit comment")</f>
        <v>Click here to submit comment</v>
      </c>
    </row>
    <row r="2602" spans="1:16" ht="165">
      <c r="A2602" s="6" t="s">
        <v>6784</v>
      </c>
      <c r="B2602" s="6" t="s">
        <v>6836</v>
      </c>
      <c r="C2602" s="6" t="s">
        <v>6905</v>
      </c>
      <c r="D2602" s="6" t="s">
        <v>630</v>
      </c>
      <c r="E2602" s="6" t="s">
        <v>631</v>
      </c>
      <c r="F2602" s="6" t="s">
        <v>13</v>
      </c>
      <c r="G2602" s="6"/>
      <c r="H2602" s="6"/>
      <c r="I2602" s="6" t="s">
        <v>319</v>
      </c>
      <c r="J2602" s="6"/>
      <c r="K2602" s="6"/>
      <c r="L2602" s="6" t="s">
        <v>632</v>
      </c>
      <c r="M2602" s="6"/>
      <c r="N2602" s="6" t="s">
        <v>633</v>
      </c>
      <c r="O2602" s="6" t="str">
        <f>HYPERLINK("https://ceds.ed.gov/cedselementdetails.aspx?termid=6108")</f>
        <v>https://ceds.ed.gov/cedselementdetails.aspx?termid=6108</v>
      </c>
      <c r="P2602" s="6" t="str">
        <f>HYPERLINK("https://ceds.ed.gov/elementComment.aspx?elementName=Assessment Item APIP Template Processing XML &amp;elementID=6108", "Click here to submit comment")</f>
        <v>Click here to submit comment</v>
      </c>
    </row>
    <row r="2603" spans="1:16" ht="60">
      <c r="A2603" s="6" t="s">
        <v>6784</v>
      </c>
      <c r="B2603" s="6" t="s">
        <v>6836</v>
      </c>
      <c r="C2603" s="6" t="s">
        <v>6905</v>
      </c>
      <c r="D2603" s="6" t="s">
        <v>912</v>
      </c>
      <c r="E2603" s="6" t="s">
        <v>913</v>
      </c>
      <c r="F2603" s="6" t="s">
        <v>13</v>
      </c>
      <c r="G2603" s="6"/>
      <c r="H2603" s="6" t="s">
        <v>54</v>
      </c>
      <c r="I2603" s="6" t="s">
        <v>319</v>
      </c>
      <c r="J2603" s="6"/>
      <c r="K2603" s="6" t="s">
        <v>914</v>
      </c>
      <c r="L2603" s="6" t="s">
        <v>915</v>
      </c>
      <c r="M2603" s="6"/>
      <c r="N2603" s="6" t="s">
        <v>916</v>
      </c>
      <c r="O2603" s="6" t="str">
        <f>HYPERLINK("https://ceds.ed.gov/cedselementdetails.aspx?termid=6250")</f>
        <v>https://ceds.ed.gov/cedselementdetails.aspx?termid=6250</v>
      </c>
      <c r="P2603" s="6" t="str">
        <f>HYPERLINK("https://ceds.ed.gov/elementComment.aspx?elementName=Assessment Item Result XML &amp;elementID=6250", "Click here to submit comment")</f>
        <v>Click here to submit comment</v>
      </c>
    </row>
    <row r="2604" spans="1:16" ht="90">
      <c r="A2604" s="6" t="s">
        <v>6784</v>
      </c>
      <c r="B2604" s="6" t="s">
        <v>6836</v>
      </c>
      <c r="C2604" s="6" t="s">
        <v>6906</v>
      </c>
      <c r="D2604" s="6" t="s">
        <v>642</v>
      </c>
      <c r="E2604" s="6" t="s">
        <v>643</v>
      </c>
      <c r="F2604" s="6" t="s">
        <v>13</v>
      </c>
      <c r="G2604" s="6"/>
      <c r="H2604" s="6"/>
      <c r="I2604" s="6" t="s">
        <v>319</v>
      </c>
      <c r="J2604" s="6"/>
      <c r="K2604" s="6"/>
      <c r="L2604" s="6" t="s">
        <v>644</v>
      </c>
      <c r="M2604" s="6"/>
      <c r="N2604" s="6" t="s">
        <v>645</v>
      </c>
      <c r="O2604" s="6" t="str">
        <f>HYPERLINK("https://ceds.ed.gov/cedselementdetails.aspx?termid=6100")</f>
        <v>https://ceds.ed.gov/cedselementdetails.aspx?termid=6100</v>
      </c>
      <c r="P2604" s="6" t="str">
        <f>HYPERLINK("https://ceds.ed.gov/elementComment.aspx?elementName=Assessment Item Body Associate Interaction XML &amp;elementID=6100", "Click here to submit comment")</f>
        <v>Click here to submit comment</v>
      </c>
    </row>
    <row r="2605" spans="1:16" ht="120">
      <c r="A2605" s="6" t="s">
        <v>6784</v>
      </c>
      <c r="B2605" s="6" t="s">
        <v>6836</v>
      </c>
      <c r="C2605" s="6" t="s">
        <v>6906</v>
      </c>
      <c r="D2605" s="6" t="s">
        <v>646</v>
      </c>
      <c r="E2605" s="6" t="s">
        <v>647</v>
      </c>
      <c r="F2605" s="6" t="s">
        <v>13</v>
      </c>
      <c r="G2605" s="6"/>
      <c r="H2605" s="6"/>
      <c r="I2605" s="6" t="s">
        <v>319</v>
      </c>
      <c r="J2605" s="6"/>
      <c r="K2605" s="6"/>
      <c r="L2605" s="6" t="s">
        <v>648</v>
      </c>
      <c r="M2605" s="6"/>
      <c r="N2605" s="6" t="s">
        <v>649</v>
      </c>
      <c r="O2605" s="6" t="str">
        <f>HYPERLINK("https://ceds.ed.gov/cedselementdetails.aspx?termid=6090")</f>
        <v>https://ceds.ed.gov/cedselementdetails.aspx?termid=6090</v>
      </c>
      <c r="P2605" s="6" t="str">
        <f>HYPERLINK("https://ceds.ed.gov/elementComment.aspx?elementName=Assessment Item Body Choice Interaction XML &amp;elementID=6090", "Click here to submit comment")</f>
        <v>Click here to submit comment</v>
      </c>
    </row>
    <row r="2606" spans="1:16" ht="150">
      <c r="A2606" s="6" t="s">
        <v>6784</v>
      </c>
      <c r="B2606" s="6" t="s">
        <v>6836</v>
      </c>
      <c r="C2606" s="6" t="s">
        <v>6906</v>
      </c>
      <c r="D2606" s="6" t="s">
        <v>654</v>
      </c>
      <c r="E2606" s="6" t="s">
        <v>655</v>
      </c>
      <c r="F2606" s="6" t="s">
        <v>13</v>
      </c>
      <c r="G2606" s="6"/>
      <c r="H2606" s="6"/>
      <c r="I2606" s="6" t="s">
        <v>319</v>
      </c>
      <c r="J2606" s="6"/>
      <c r="K2606" s="6"/>
      <c r="L2606" s="6" t="s">
        <v>656</v>
      </c>
      <c r="M2606" s="6"/>
      <c r="N2606" s="6" t="s">
        <v>657</v>
      </c>
      <c r="O2606" s="6" t="str">
        <f>HYPERLINK("https://ceds.ed.gov/cedselementdetails.aspx?termid=6080")</f>
        <v>https://ceds.ed.gov/cedselementdetails.aspx?termid=6080</v>
      </c>
      <c r="P2606" s="6" t="str">
        <f>HYPERLINK("https://ceds.ed.gov/elementComment.aspx?elementName=Assessment Item Body Drawing Interaction XML &amp;elementID=6080", "Click here to submit comment")</f>
        <v>Click here to submit comment</v>
      </c>
    </row>
    <row r="2607" spans="1:16" ht="195">
      <c r="A2607" s="6" t="s">
        <v>6784</v>
      </c>
      <c r="B2607" s="6" t="s">
        <v>6836</v>
      </c>
      <c r="C2607" s="6" t="s">
        <v>6906</v>
      </c>
      <c r="D2607" s="6" t="s">
        <v>658</v>
      </c>
      <c r="E2607" s="6" t="s">
        <v>659</v>
      </c>
      <c r="F2607" s="6" t="s">
        <v>13</v>
      </c>
      <c r="G2607" s="6"/>
      <c r="H2607" s="6"/>
      <c r="I2607" s="6" t="s">
        <v>319</v>
      </c>
      <c r="J2607" s="6"/>
      <c r="K2607" s="6"/>
      <c r="L2607" s="6" t="s">
        <v>660</v>
      </c>
      <c r="M2607" s="6"/>
      <c r="N2607" s="6" t="s">
        <v>661</v>
      </c>
      <c r="O2607" s="6" t="str">
        <f>HYPERLINK("https://ceds.ed.gov/cedselementdetails.aspx?termid=6098")</f>
        <v>https://ceds.ed.gov/cedselementdetails.aspx?termid=6098</v>
      </c>
      <c r="P2607" s="6" t="str">
        <f>HYPERLINK("https://ceds.ed.gov/elementComment.aspx?elementName=Assessment Item Body End Attempt Interaction XML &amp;elementID=6098", "Click here to submit comment")</f>
        <v>Click here to submit comment</v>
      </c>
    </row>
    <row r="2608" spans="1:16" ht="75">
      <c r="A2608" s="6" t="s">
        <v>6784</v>
      </c>
      <c r="B2608" s="6" t="s">
        <v>6836</v>
      </c>
      <c r="C2608" s="6" t="s">
        <v>6906</v>
      </c>
      <c r="D2608" s="6" t="s">
        <v>662</v>
      </c>
      <c r="E2608" s="6" t="s">
        <v>663</v>
      </c>
      <c r="F2608" s="6" t="s">
        <v>13</v>
      </c>
      <c r="G2608" s="6"/>
      <c r="H2608" s="6"/>
      <c r="I2608" s="6" t="s">
        <v>319</v>
      </c>
      <c r="J2608" s="6"/>
      <c r="K2608" s="6"/>
      <c r="L2608" s="6" t="s">
        <v>664</v>
      </c>
      <c r="M2608" s="6"/>
      <c r="N2608" s="6" t="s">
        <v>665</v>
      </c>
      <c r="O2608" s="6" t="str">
        <f>HYPERLINK("https://ceds.ed.gov/cedselementdetails.aspx?termid=6097")</f>
        <v>https://ceds.ed.gov/cedselementdetails.aspx?termid=6097</v>
      </c>
      <c r="P2608" s="6" t="str">
        <f>HYPERLINK("https://ceds.ed.gov/elementComment.aspx?elementName=Assessment Item Body Extended Text Interaction XML &amp;elementID=6097", "Click here to submit comment")</f>
        <v>Click here to submit comment</v>
      </c>
    </row>
    <row r="2609" spans="1:16" ht="120">
      <c r="A2609" s="6" t="s">
        <v>6784</v>
      </c>
      <c r="B2609" s="6" t="s">
        <v>6836</v>
      </c>
      <c r="C2609" s="6" t="s">
        <v>6906</v>
      </c>
      <c r="D2609" s="6" t="s">
        <v>666</v>
      </c>
      <c r="E2609" s="6" t="s">
        <v>667</v>
      </c>
      <c r="F2609" s="6" t="s">
        <v>13</v>
      </c>
      <c r="G2609" s="6"/>
      <c r="H2609" s="6"/>
      <c r="I2609" s="6" t="s">
        <v>319</v>
      </c>
      <c r="J2609" s="6"/>
      <c r="K2609" s="6"/>
      <c r="L2609" s="6" t="s">
        <v>668</v>
      </c>
      <c r="M2609" s="6"/>
      <c r="N2609" s="6" t="s">
        <v>669</v>
      </c>
      <c r="O2609" s="6" t="str">
        <f>HYPERLINK("https://ceds.ed.gov/cedselementdetails.aspx?termid=6081")</f>
        <v>https://ceds.ed.gov/cedselementdetails.aspx?termid=6081</v>
      </c>
      <c r="P2609" s="6" t="str">
        <f>HYPERLINK("https://ceds.ed.gov/elementComment.aspx?elementName=Assessment Item Body Gap Match Interaction XML &amp;elementID=6081", "Click here to submit comment")</f>
        <v>Click here to submit comment</v>
      </c>
    </row>
    <row r="2610" spans="1:16" ht="409.5">
      <c r="A2610" s="6" t="s">
        <v>6784</v>
      </c>
      <c r="B2610" s="6" t="s">
        <v>6836</v>
      </c>
      <c r="C2610" s="6" t="s">
        <v>6906</v>
      </c>
      <c r="D2610" s="6" t="s">
        <v>670</v>
      </c>
      <c r="E2610" s="6" t="s">
        <v>671</v>
      </c>
      <c r="F2610" s="6" t="s">
        <v>13</v>
      </c>
      <c r="G2610" s="6"/>
      <c r="H2610" s="6"/>
      <c r="I2610" s="6" t="s">
        <v>319</v>
      </c>
      <c r="J2610" s="6"/>
      <c r="K2610" s="6"/>
      <c r="L2610" s="6" t="s">
        <v>672</v>
      </c>
      <c r="M2610" s="6"/>
      <c r="N2610" s="6" t="s">
        <v>673</v>
      </c>
      <c r="O2610" s="6" t="str">
        <f>HYPERLINK("https://ceds.ed.gov/cedselementdetails.aspx?termid=6083")</f>
        <v>https://ceds.ed.gov/cedselementdetails.aspx?termid=6083</v>
      </c>
      <c r="P2610" s="6" t="str">
        <f>HYPERLINK("https://ceds.ed.gov/elementComment.aspx?elementName=Assessment Item Body Graphic Gap Match Interaction XML &amp;elementID=6083", "Click here to submit comment")</f>
        <v>Click here to submit comment</v>
      </c>
    </row>
    <row r="2611" spans="1:16" ht="240">
      <c r="A2611" s="6" t="s">
        <v>6784</v>
      </c>
      <c r="B2611" s="6" t="s">
        <v>6836</v>
      </c>
      <c r="C2611" s="6" t="s">
        <v>6906</v>
      </c>
      <c r="D2611" s="6" t="s">
        <v>674</v>
      </c>
      <c r="E2611" s="6" t="s">
        <v>675</v>
      </c>
      <c r="F2611" s="6" t="s">
        <v>13</v>
      </c>
      <c r="G2611" s="6"/>
      <c r="H2611" s="6"/>
      <c r="I2611" s="6" t="s">
        <v>319</v>
      </c>
      <c r="J2611" s="6"/>
      <c r="K2611" s="6"/>
      <c r="L2611" s="6" t="s">
        <v>676</v>
      </c>
      <c r="M2611" s="6"/>
      <c r="N2611" s="6" t="s">
        <v>677</v>
      </c>
      <c r="O2611" s="6" t="str">
        <f>HYPERLINK("https://ceds.ed.gov/cedselementdetails.aspx?termid=6085")</f>
        <v>https://ceds.ed.gov/cedselementdetails.aspx?termid=6085</v>
      </c>
      <c r="P2611" s="6" t="str">
        <f>HYPERLINK("https://ceds.ed.gov/elementComment.aspx?elementName=Assessment Item Body Graphic Order Interaction XML &amp;elementID=6085", "Click here to submit comment")</f>
        <v>Click here to submit comment</v>
      </c>
    </row>
    <row r="2612" spans="1:16" ht="225">
      <c r="A2612" s="6" t="s">
        <v>6784</v>
      </c>
      <c r="B2612" s="6" t="s">
        <v>6836</v>
      </c>
      <c r="C2612" s="6" t="s">
        <v>6906</v>
      </c>
      <c r="D2612" s="6" t="s">
        <v>678</v>
      </c>
      <c r="E2612" s="6" t="s">
        <v>679</v>
      </c>
      <c r="F2612" s="6" t="s">
        <v>13</v>
      </c>
      <c r="G2612" s="6"/>
      <c r="H2612" s="6"/>
      <c r="I2612" s="6" t="s">
        <v>319</v>
      </c>
      <c r="J2612" s="6"/>
      <c r="K2612" s="6"/>
      <c r="L2612" s="6" t="s">
        <v>680</v>
      </c>
      <c r="M2612" s="6"/>
      <c r="N2612" s="6" t="s">
        <v>681</v>
      </c>
      <c r="O2612" s="6" t="str">
        <f>HYPERLINK("https://ceds.ed.gov/cedselementdetails.aspx?termid=6084")</f>
        <v>https://ceds.ed.gov/cedselementdetails.aspx?termid=6084</v>
      </c>
      <c r="P2612" s="6" t="str">
        <f>HYPERLINK("https://ceds.ed.gov/elementComment.aspx?elementName=Assessment Item Body Hot Spot Interaction XML &amp;elementID=6084", "Click here to submit comment")</f>
        <v>Click here to submit comment</v>
      </c>
    </row>
    <row r="2613" spans="1:16" ht="225">
      <c r="A2613" s="6" t="s">
        <v>6784</v>
      </c>
      <c r="B2613" s="6" t="s">
        <v>6836</v>
      </c>
      <c r="C2613" s="6" t="s">
        <v>6906</v>
      </c>
      <c r="D2613" s="6" t="s">
        <v>682</v>
      </c>
      <c r="E2613" s="6" t="s">
        <v>683</v>
      </c>
      <c r="F2613" s="6" t="s">
        <v>13</v>
      </c>
      <c r="G2613" s="6"/>
      <c r="H2613" s="6"/>
      <c r="I2613" s="6" t="s">
        <v>319</v>
      </c>
      <c r="J2613" s="6"/>
      <c r="K2613" s="6"/>
      <c r="L2613" s="6" t="s">
        <v>684</v>
      </c>
      <c r="M2613" s="6"/>
      <c r="N2613" s="6" t="s">
        <v>685</v>
      </c>
      <c r="O2613" s="6" t="str">
        <f>HYPERLINK("https://ceds.ed.gov/cedselementdetails.aspx?termid=6093")</f>
        <v>https://ceds.ed.gov/cedselementdetails.aspx?termid=6093</v>
      </c>
      <c r="P2613" s="6" t="str">
        <f>HYPERLINK("https://ceds.ed.gov/elementComment.aspx?elementName=Assessment Item Body Hottext Interaction XML &amp;elementID=6093", "Click here to submit comment")</f>
        <v>Click here to submit comment</v>
      </c>
    </row>
    <row r="2614" spans="1:16" ht="135">
      <c r="A2614" s="6" t="s">
        <v>6784</v>
      </c>
      <c r="B2614" s="6" t="s">
        <v>6836</v>
      </c>
      <c r="C2614" s="6" t="s">
        <v>6906</v>
      </c>
      <c r="D2614" s="6" t="s">
        <v>686</v>
      </c>
      <c r="E2614" s="6" t="s">
        <v>687</v>
      </c>
      <c r="F2614" s="6" t="s">
        <v>13</v>
      </c>
      <c r="G2614" s="6"/>
      <c r="H2614" s="6"/>
      <c r="I2614" s="6" t="s">
        <v>319</v>
      </c>
      <c r="J2614" s="6"/>
      <c r="K2614" s="6"/>
      <c r="L2614" s="6" t="s">
        <v>688</v>
      </c>
      <c r="M2614" s="6"/>
      <c r="N2614" s="6" t="s">
        <v>689</v>
      </c>
      <c r="O2614" s="6" t="str">
        <f>HYPERLINK("https://ceds.ed.gov/cedselementdetails.aspx?termid=6091")</f>
        <v>https://ceds.ed.gov/cedselementdetails.aspx?termid=6091</v>
      </c>
      <c r="P2614" s="6" t="str">
        <f>HYPERLINK("https://ceds.ed.gov/elementComment.aspx?elementName=Assessment Item Body Inline Choice Interaction XML &amp;elementID=6091", "Click here to submit comment")</f>
        <v>Click here to submit comment</v>
      </c>
    </row>
    <row r="2615" spans="1:16" ht="165">
      <c r="A2615" s="6" t="s">
        <v>6784</v>
      </c>
      <c r="B2615" s="6" t="s">
        <v>6836</v>
      </c>
      <c r="C2615" s="6" t="s">
        <v>6906</v>
      </c>
      <c r="D2615" s="6" t="s">
        <v>690</v>
      </c>
      <c r="E2615" s="6" t="s">
        <v>691</v>
      </c>
      <c r="F2615" s="6" t="s">
        <v>13</v>
      </c>
      <c r="G2615" s="6"/>
      <c r="H2615" s="6"/>
      <c r="I2615" s="6" t="s">
        <v>319</v>
      </c>
      <c r="J2615" s="6"/>
      <c r="K2615" s="6"/>
      <c r="L2615" s="6" t="s">
        <v>692</v>
      </c>
      <c r="M2615" s="6"/>
      <c r="N2615" s="6" t="s">
        <v>693</v>
      </c>
      <c r="O2615" s="6" t="str">
        <f>HYPERLINK("https://ceds.ed.gov/cedselementdetails.aspx?termid=6082")</f>
        <v>https://ceds.ed.gov/cedselementdetails.aspx?termid=6082</v>
      </c>
      <c r="P2615" s="6" t="str">
        <f>HYPERLINK("https://ceds.ed.gov/elementComment.aspx?elementName=Assessment Item Body Match Interaction XML &amp;elementID=6082", "Click here to submit comment")</f>
        <v>Click here to submit comment</v>
      </c>
    </row>
    <row r="2616" spans="1:16" ht="165">
      <c r="A2616" s="6" t="s">
        <v>6784</v>
      </c>
      <c r="B2616" s="6" t="s">
        <v>6836</v>
      </c>
      <c r="C2616" s="6" t="s">
        <v>6906</v>
      </c>
      <c r="D2616" s="6" t="s">
        <v>694</v>
      </c>
      <c r="E2616" s="6" t="s">
        <v>695</v>
      </c>
      <c r="F2616" s="6" t="s">
        <v>13</v>
      </c>
      <c r="G2616" s="6"/>
      <c r="H2616" s="6"/>
      <c r="I2616" s="6" t="s">
        <v>319</v>
      </c>
      <c r="J2616" s="6"/>
      <c r="K2616" s="6"/>
      <c r="L2616" s="6" t="s">
        <v>696</v>
      </c>
      <c r="M2616" s="6"/>
      <c r="N2616" s="6" t="s">
        <v>697</v>
      </c>
      <c r="O2616" s="6" t="str">
        <f>HYPERLINK("https://ceds.ed.gov/cedselementdetails.aspx?termid=6092")</f>
        <v>https://ceds.ed.gov/cedselementdetails.aspx?termid=6092</v>
      </c>
      <c r="P2616" s="6" t="str">
        <f>HYPERLINK("https://ceds.ed.gov/elementComment.aspx?elementName=Assessment Item Body Media Interaction XML &amp;elementID=6092", "Click here to submit comment")</f>
        <v>Click here to submit comment</v>
      </c>
    </row>
    <row r="2617" spans="1:16" ht="195">
      <c r="A2617" s="6" t="s">
        <v>6784</v>
      </c>
      <c r="B2617" s="6" t="s">
        <v>6836</v>
      </c>
      <c r="C2617" s="6" t="s">
        <v>6906</v>
      </c>
      <c r="D2617" s="6" t="s">
        <v>698</v>
      </c>
      <c r="E2617" s="6" t="s">
        <v>699</v>
      </c>
      <c r="F2617" s="6" t="s">
        <v>13</v>
      </c>
      <c r="G2617" s="6"/>
      <c r="H2617" s="6"/>
      <c r="I2617" s="6" t="s">
        <v>319</v>
      </c>
      <c r="J2617" s="6"/>
      <c r="K2617" s="6"/>
      <c r="L2617" s="6" t="s">
        <v>700</v>
      </c>
      <c r="M2617" s="6"/>
      <c r="N2617" s="6" t="s">
        <v>701</v>
      </c>
      <c r="O2617" s="6" t="str">
        <f>HYPERLINK("https://ceds.ed.gov/cedselementdetails.aspx?termid=6094")</f>
        <v>https://ceds.ed.gov/cedselementdetails.aspx?termid=6094</v>
      </c>
      <c r="P2617" s="6" t="str">
        <f>HYPERLINK("https://ceds.ed.gov/elementComment.aspx?elementName=Assessment Item Body Order Interaction XML &amp;elementID=6094", "Click here to submit comment")</f>
        <v>Click here to submit comment</v>
      </c>
    </row>
    <row r="2618" spans="1:16" ht="210">
      <c r="A2618" s="6" t="s">
        <v>6784</v>
      </c>
      <c r="B2618" s="6" t="s">
        <v>6836</v>
      </c>
      <c r="C2618" s="6" t="s">
        <v>6906</v>
      </c>
      <c r="D2618" s="6" t="s">
        <v>702</v>
      </c>
      <c r="E2618" s="6" t="s">
        <v>703</v>
      </c>
      <c r="F2618" s="6" t="s">
        <v>13</v>
      </c>
      <c r="G2618" s="6"/>
      <c r="H2618" s="6"/>
      <c r="I2618" s="6" t="s">
        <v>319</v>
      </c>
      <c r="J2618" s="6"/>
      <c r="K2618" s="6"/>
      <c r="L2618" s="6" t="s">
        <v>704</v>
      </c>
      <c r="M2618" s="6"/>
      <c r="N2618" s="6" t="s">
        <v>705</v>
      </c>
      <c r="O2618" s="6" t="str">
        <f>HYPERLINK("https://ceds.ed.gov/cedselementdetails.aspx?termid=6095")</f>
        <v>https://ceds.ed.gov/cedselementdetails.aspx?termid=6095</v>
      </c>
      <c r="P2618" s="6" t="str">
        <f>HYPERLINK("https://ceds.ed.gov/elementComment.aspx?elementName=Assessment Item Body Position Object Interaction XML &amp;elementID=6095", "Click here to submit comment")</f>
        <v>Click here to submit comment</v>
      </c>
    </row>
    <row r="2619" spans="1:16" ht="240">
      <c r="A2619" s="6" t="s">
        <v>6784</v>
      </c>
      <c r="B2619" s="6" t="s">
        <v>6836</v>
      </c>
      <c r="C2619" s="6" t="s">
        <v>6906</v>
      </c>
      <c r="D2619" s="6" t="s">
        <v>706</v>
      </c>
      <c r="E2619" s="6" t="s">
        <v>707</v>
      </c>
      <c r="F2619" s="6" t="s">
        <v>13</v>
      </c>
      <c r="G2619" s="6"/>
      <c r="H2619" s="6"/>
      <c r="I2619" s="6" t="s">
        <v>319</v>
      </c>
      <c r="J2619" s="6"/>
      <c r="K2619" s="6"/>
      <c r="L2619" s="6" t="s">
        <v>708</v>
      </c>
      <c r="M2619" s="6"/>
      <c r="N2619" s="6" t="s">
        <v>709</v>
      </c>
      <c r="O2619" s="6" t="str">
        <f>HYPERLINK("https://ceds.ed.gov/cedselementdetails.aspx?termid=6088")</f>
        <v>https://ceds.ed.gov/cedselementdetails.aspx?termid=6088</v>
      </c>
      <c r="P2619" s="6" t="str">
        <f>HYPERLINK("https://ceds.ed.gov/elementComment.aspx?elementName=Assessment Item Body Select Point Interaction &amp;elementID=6088", "Click here to submit comment")</f>
        <v>Click here to submit comment</v>
      </c>
    </row>
    <row r="2620" spans="1:16" ht="195">
      <c r="A2620" s="6" t="s">
        <v>6784</v>
      </c>
      <c r="B2620" s="6" t="s">
        <v>6836</v>
      </c>
      <c r="C2620" s="6" t="s">
        <v>6906</v>
      </c>
      <c r="D2620" s="6" t="s">
        <v>710</v>
      </c>
      <c r="E2620" s="6" t="s">
        <v>711</v>
      </c>
      <c r="F2620" s="6" t="s">
        <v>13</v>
      </c>
      <c r="G2620" s="6"/>
      <c r="H2620" s="6"/>
      <c r="I2620" s="6" t="s">
        <v>319</v>
      </c>
      <c r="J2620" s="6"/>
      <c r="K2620" s="6"/>
      <c r="L2620" s="6" t="s">
        <v>712</v>
      </c>
      <c r="M2620" s="6"/>
      <c r="N2620" s="6" t="s">
        <v>713</v>
      </c>
      <c r="O2620" s="6" t="str">
        <f>HYPERLINK("https://ceds.ed.gov/cedselementdetails.aspx?termid=6087")</f>
        <v>https://ceds.ed.gov/cedselementdetails.aspx?termid=6087</v>
      </c>
      <c r="P2620" s="6" t="str">
        <f>HYPERLINK("https://ceds.ed.gov/elementComment.aspx?elementName=Assessment Item Body Select Point Interaction XML &amp;elementID=6087", "Click here to submit comment")</f>
        <v>Click here to submit comment</v>
      </c>
    </row>
    <row r="2621" spans="1:16" ht="135">
      <c r="A2621" s="6" t="s">
        <v>6784</v>
      </c>
      <c r="B2621" s="6" t="s">
        <v>6836</v>
      </c>
      <c r="C2621" s="6" t="s">
        <v>6906</v>
      </c>
      <c r="D2621" s="6" t="s">
        <v>714</v>
      </c>
      <c r="E2621" s="6" t="s">
        <v>715</v>
      </c>
      <c r="F2621" s="6" t="s">
        <v>13</v>
      </c>
      <c r="G2621" s="6"/>
      <c r="H2621" s="6"/>
      <c r="I2621" s="6" t="s">
        <v>319</v>
      </c>
      <c r="J2621" s="6"/>
      <c r="K2621" s="6"/>
      <c r="L2621" s="6" t="s">
        <v>716</v>
      </c>
      <c r="M2621" s="6"/>
      <c r="N2621" s="6" t="s">
        <v>717</v>
      </c>
      <c r="O2621" s="6" t="str">
        <f>HYPERLINK("https://ceds.ed.gov/cedselementdetails.aspx?termid=6089")</f>
        <v>https://ceds.ed.gov/cedselementdetails.aspx?termid=6089</v>
      </c>
      <c r="P2621" s="6" t="str">
        <f>HYPERLINK("https://ceds.ed.gov/elementComment.aspx?elementName=Assessment Item Body Slider Interaction XML &amp;elementID=6089", "Click here to submit comment")</f>
        <v>Click here to submit comment</v>
      </c>
    </row>
    <row r="2622" spans="1:16" ht="135">
      <c r="A2622" s="6" t="s">
        <v>6784</v>
      </c>
      <c r="B2622" s="6" t="s">
        <v>6836</v>
      </c>
      <c r="C2622" s="6" t="s">
        <v>6906</v>
      </c>
      <c r="D2622" s="6" t="s">
        <v>722</v>
      </c>
      <c r="E2622" s="6" t="s">
        <v>723</v>
      </c>
      <c r="F2622" s="6" t="s">
        <v>13</v>
      </c>
      <c r="G2622" s="6"/>
      <c r="H2622" s="6"/>
      <c r="I2622" s="6" t="s">
        <v>319</v>
      </c>
      <c r="J2622" s="6"/>
      <c r="K2622" s="6"/>
      <c r="L2622" s="6" t="s">
        <v>724</v>
      </c>
      <c r="M2622" s="6"/>
      <c r="N2622" s="6" t="s">
        <v>725</v>
      </c>
      <c r="O2622" s="6" t="str">
        <f>HYPERLINK("https://ceds.ed.gov/cedselementdetails.aspx?termid=6096")</f>
        <v>https://ceds.ed.gov/cedselementdetails.aspx?termid=6096</v>
      </c>
      <c r="P2622" s="6" t="str">
        <f>HYPERLINK("https://ceds.ed.gov/elementComment.aspx?elementName=Assessment Item Body Text Entry Interaction XML &amp;elementID=6096", "Click here to submit comment")</f>
        <v>Click here to submit comment</v>
      </c>
    </row>
    <row r="2623" spans="1:16" ht="105">
      <c r="A2623" s="6" t="s">
        <v>6784</v>
      </c>
      <c r="B2623" s="6" t="s">
        <v>6836</v>
      </c>
      <c r="C2623" s="6" t="s">
        <v>6906</v>
      </c>
      <c r="D2623" s="6" t="s">
        <v>726</v>
      </c>
      <c r="E2623" s="6" t="s">
        <v>727</v>
      </c>
      <c r="F2623" s="6" t="s">
        <v>13</v>
      </c>
      <c r="G2623" s="6"/>
      <c r="H2623" s="6"/>
      <c r="I2623" s="6" t="s">
        <v>319</v>
      </c>
      <c r="J2623" s="6"/>
      <c r="K2623" s="6"/>
      <c r="L2623" s="6" t="s">
        <v>728</v>
      </c>
      <c r="M2623" s="6"/>
      <c r="N2623" s="6" t="s">
        <v>729</v>
      </c>
      <c r="O2623" s="6" t="str">
        <f>HYPERLINK("https://ceds.ed.gov/cedselementdetails.aspx?termid=6099")</f>
        <v>https://ceds.ed.gov/cedselementdetails.aspx?termid=6099</v>
      </c>
      <c r="P2623" s="6" t="str">
        <f>HYPERLINK("https://ceds.ed.gov/elementComment.aspx?elementName=Assessment Item Body Upload Interaction XML &amp;elementID=6099", "Click here to submit comment")</f>
        <v>Click here to submit comment</v>
      </c>
    </row>
    <row r="2624" spans="1:16" ht="409.5">
      <c r="A2624" s="6" t="s">
        <v>6784</v>
      </c>
      <c r="B2624" s="6" t="s">
        <v>6836</v>
      </c>
      <c r="C2624" s="6" t="s">
        <v>6906</v>
      </c>
      <c r="D2624" s="6" t="s">
        <v>752</v>
      </c>
      <c r="E2624" s="6" t="s">
        <v>753</v>
      </c>
      <c r="F2624" s="7" t="s">
        <v>6384</v>
      </c>
      <c r="G2624" s="6"/>
      <c r="H2624" s="6"/>
      <c r="I2624" s="6"/>
      <c r="J2624" s="6"/>
      <c r="K2624" s="6"/>
      <c r="L2624" s="6" t="s">
        <v>754</v>
      </c>
      <c r="M2624" s="6"/>
      <c r="N2624" s="6" t="s">
        <v>755</v>
      </c>
      <c r="O2624" s="6" t="str">
        <f>HYPERLINK("https://ceds.ed.gov/cedselementdetails.aspx?termid=6117")</f>
        <v>https://ceds.ed.gov/cedselementdetails.aspx?termid=6117</v>
      </c>
      <c r="P2624" s="6" t="str">
        <f>HYPERLINK("https://ceds.ed.gov/elementComment.aspx?elementName=Assessment Item Interaction Type &amp;elementID=6117", "Click here to submit comment")</f>
        <v>Click here to submit comment</v>
      </c>
    </row>
    <row r="2625" spans="1:16" ht="45">
      <c r="A2625" s="6" t="s">
        <v>6784</v>
      </c>
      <c r="B2625" s="6" t="s">
        <v>6844</v>
      </c>
      <c r="C2625" s="6"/>
      <c r="D2625" s="6" t="s">
        <v>457</v>
      </c>
      <c r="E2625" s="6" t="s">
        <v>458</v>
      </c>
      <c r="F2625" s="6" t="s">
        <v>13</v>
      </c>
      <c r="G2625" s="6"/>
      <c r="H2625" s="6"/>
      <c r="I2625" s="6" t="s">
        <v>100</v>
      </c>
      <c r="J2625" s="6"/>
      <c r="K2625" s="6"/>
      <c r="L2625" s="6" t="s">
        <v>459</v>
      </c>
      <c r="M2625" s="6"/>
      <c r="N2625" s="6" t="s">
        <v>460</v>
      </c>
      <c r="O2625" s="6" t="str">
        <f>HYPERLINK("https://ceds.ed.gov/cedselementdetails.aspx?termid=6149")</f>
        <v>https://ceds.ed.gov/cedselementdetails.aspx?termid=6149</v>
      </c>
      <c r="P2625" s="6" t="str">
        <f>HYPERLINK("https://ceds.ed.gov/elementComment.aspx?elementName=Assessment Asset Identifier &amp;elementID=6149", "Click here to submit comment")</f>
        <v>Click here to submit comment</v>
      </c>
    </row>
    <row r="2626" spans="1:16" ht="135">
      <c r="A2626" s="6" t="s">
        <v>6784</v>
      </c>
      <c r="B2626" s="6" t="s">
        <v>6844</v>
      </c>
      <c r="C2626" s="6"/>
      <c r="D2626" s="6" t="s">
        <v>461</v>
      </c>
      <c r="E2626" s="6" t="s">
        <v>462</v>
      </c>
      <c r="F2626" s="7" t="s">
        <v>6378</v>
      </c>
      <c r="G2626" s="6"/>
      <c r="H2626" s="6"/>
      <c r="I2626" s="6"/>
      <c r="J2626" s="6"/>
      <c r="K2626" s="6"/>
      <c r="L2626" s="6" t="s">
        <v>463</v>
      </c>
      <c r="M2626" s="6"/>
      <c r="N2626" s="6" t="s">
        <v>464</v>
      </c>
      <c r="O2626" s="6" t="str">
        <f>HYPERLINK("https://ceds.ed.gov/cedselementdetails.aspx?termid=6150")</f>
        <v>https://ceds.ed.gov/cedselementdetails.aspx?termid=6150</v>
      </c>
      <c r="P2626" s="6" t="str">
        <f>HYPERLINK("https://ceds.ed.gov/elementComment.aspx?elementName=Assessment Asset Identifier Type &amp;elementID=6150", "Click here to submit comment")</f>
        <v>Click here to submit comment</v>
      </c>
    </row>
    <row r="2627" spans="1:16" ht="30">
      <c r="A2627" s="6" t="s">
        <v>6784</v>
      </c>
      <c r="B2627" s="6" t="s">
        <v>6844</v>
      </c>
      <c r="C2627" s="6"/>
      <c r="D2627" s="6" t="s">
        <v>465</v>
      </c>
      <c r="E2627" s="6" t="s">
        <v>466</v>
      </c>
      <c r="F2627" s="6" t="s">
        <v>13</v>
      </c>
      <c r="G2627" s="6"/>
      <c r="H2627" s="6"/>
      <c r="I2627" s="6" t="s">
        <v>106</v>
      </c>
      <c r="J2627" s="6"/>
      <c r="K2627" s="6"/>
      <c r="L2627" s="6" t="s">
        <v>467</v>
      </c>
      <c r="M2627" s="6"/>
      <c r="N2627" s="6" t="s">
        <v>468</v>
      </c>
      <c r="O2627" s="6" t="str">
        <f>HYPERLINK("https://ceds.ed.gov/cedselementdetails.aspx?termid=6151")</f>
        <v>https://ceds.ed.gov/cedselementdetails.aspx?termid=6151</v>
      </c>
      <c r="P2627" s="6" t="str">
        <f>HYPERLINK("https://ceds.ed.gov/elementComment.aspx?elementName=Assessment Asset Name &amp;elementID=6151", "Click here to submit comment")</f>
        <v>Click here to submit comment</v>
      </c>
    </row>
    <row r="2628" spans="1:16" ht="30">
      <c r="A2628" s="6" t="s">
        <v>6784</v>
      </c>
      <c r="B2628" s="6" t="s">
        <v>6844</v>
      </c>
      <c r="C2628" s="6"/>
      <c r="D2628" s="6" t="s">
        <v>469</v>
      </c>
      <c r="E2628" s="6" t="s">
        <v>470</v>
      </c>
      <c r="F2628" s="6" t="s">
        <v>13</v>
      </c>
      <c r="G2628" s="6"/>
      <c r="H2628" s="6"/>
      <c r="I2628" s="6" t="s">
        <v>106</v>
      </c>
      <c r="J2628" s="6"/>
      <c r="K2628" s="6"/>
      <c r="L2628" s="6" t="s">
        <v>471</v>
      </c>
      <c r="M2628" s="6"/>
      <c r="N2628" s="6" t="s">
        <v>472</v>
      </c>
      <c r="O2628" s="6" t="str">
        <f>HYPERLINK("https://ceds.ed.gov/cedselementdetails.aspx?termid=6152")</f>
        <v>https://ceds.ed.gov/cedselementdetails.aspx?termid=6152</v>
      </c>
      <c r="P2628" s="6" t="str">
        <f>HYPERLINK("https://ceds.ed.gov/elementComment.aspx?elementName=Assessment Asset Owner &amp;elementID=6152", "Click here to submit comment")</f>
        <v>Click here to submit comment</v>
      </c>
    </row>
    <row r="2629" spans="1:16" ht="409.5">
      <c r="A2629" s="6" t="s">
        <v>6784</v>
      </c>
      <c r="B2629" s="6" t="s">
        <v>6844</v>
      </c>
      <c r="C2629" s="6"/>
      <c r="D2629" s="6" t="s">
        <v>477</v>
      </c>
      <c r="E2629" s="6" t="s">
        <v>478</v>
      </c>
      <c r="F2629" s="7" t="s">
        <v>6379</v>
      </c>
      <c r="G2629" s="6"/>
      <c r="H2629" s="6"/>
      <c r="I2629" s="6"/>
      <c r="J2629" s="6"/>
      <c r="K2629" s="6" t="s">
        <v>479</v>
      </c>
      <c r="L2629" s="6" t="s">
        <v>480</v>
      </c>
      <c r="M2629" s="6"/>
      <c r="N2629" s="6" t="s">
        <v>481</v>
      </c>
      <c r="O2629" s="6" t="str">
        <f>HYPERLINK("https://ceds.ed.gov/cedselementdetails.aspx?termid=6147")</f>
        <v>https://ceds.ed.gov/cedselementdetails.aspx?termid=6147</v>
      </c>
      <c r="P2629" s="6" t="str">
        <f>HYPERLINK("https://ceds.ed.gov/elementComment.aspx?elementName=Assessment Asset Type &amp;elementID=6147", "Click here to submit comment")</f>
        <v>Click here to submit comment</v>
      </c>
    </row>
    <row r="2630" spans="1:16" ht="30">
      <c r="A2630" s="6" t="s">
        <v>6784</v>
      </c>
      <c r="B2630" s="6" t="s">
        <v>6844</v>
      </c>
      <c r="C2630" s="6"/>
      <c r="D2630" s="6" t="s">
        <v>473</v>
      </c>
      <c r="E2630" s="6" t="s">
        <v>474</v>
      </c>
      <c r="F2630" s="6" t="s">
        <v>13</v>
      </c>
      <c r="G2630" s="6"/>
      <c r="H2630" s="6"/>
      <c r="I2630" s="6" t="s">
        <v>73</v>
      </c>
      <c r="J2630" s="6"/>
      <c r="K2630" s="6"/>
      <c r="L2630" s="6" t="s">
        <v>475</v>
      </c>
      <c r="M2630" s="6"/>
      <c r="N2630" s="6" t="s">
        <v>476</v>
      </c>
      <c r="O2630" s="6" t="str">
        <f>HYPERLINK("https://ceds.ed.gov/cedselementdetails.aspx?termid=6148")</f>
        <v>https://ceds.ed.gov/cedselementdetails.aspx?termid=6148</v>
      </c>
      <c r="P2630" s="6" t="str">
        <f>HYPERLINK("https://ceds.ed.gov/elementComment.aspx?elementName=Assessment Asset Published Date &amp;elementID=6148", "Click here to submit comment")</f>
        <v>Click here to submit comment</v>
      </c>
    </row>
    <row r="2631" spans="1:16" ht="150">
      <c r="A2631" s="6" t="s">
        <v>6784</v>
      </c>
      <c r="B2631" s="6" t="s">
        <v>6844</v>
      </c>
      <c r="C2631" s="6"/>
      <c r="D2631" s="6" t="s">
        <v>482</v>
      </c>
      <c r="E2631" s="6" t="s">
        <v>483</v>
      </c>
      <c r="F2631" s="6" t="s">
        <v>13</v>
      </c>
      <c r="G2631" s="6"/>
      <c r="H2631" s="6"/>
      <c r="I2631" s="6" t="s">
        <v>100</v>
      </c>
      <c r="J2631" s="6"/>
      <c r="K2631" s="6" t="s">
        <v>484</v>
      </c>
      <c r="L2631" s="6" t="s">
        <v>485</v>
      </c>
      <c r="M2631" s="6"/>
      <c r="N2631" s="6" t="s">
        <v>486</v>
      </c>
      <c r="O2631" s="6" t="str">
        <f>HYPERLINK("https://ceds.ed.gov/cedselementdetails.aspx?termid=6146")</f>
        <v>https://ceds.ed.gov/cedselementdetails.aspx?termid=6146</v>
      </c>
      <c r="P2631" s="6" t="str">
        <f>HYPERLINK("https://ceds.ed.gov/elementComment.aspx?elementName=Assessment Asset Version &amp;elementID=6146", "Click here to submit comment")</f>
        <v>Click here to submit comment</v>
      </c>
    </row>
    <row r="2632" spans="1:16" ht="30">
      <c r="A2632" s="6" t="s">
        <v>6784</v>
      </c>
      <c r="B2632" s="6" t="s">
        <v>6844</v>
      </c>
      <c r="C2632" s="6"/>
      <c r="D2632" s="6" t="s">
        <v>453</v>
      </c>
      <c r="E2632" s="6" t="s">
        <v>454</v>
      </c>
      <c r="F2632" s="6" t="s">
        <v>13</v>
      </c>
      <c r="G2632" s="6"/>
      <c r="H2632" s="6"/>
      <c r="I2632" s="6" t="s">
        <v>319</v>
      </c>
      <c r="J2632" s="6"/>
      <c r="K2632" s="6"/>
      <c r="L2632" s="6" t="s">
        <v>455</v>
      </c>
      <c r="M2632" s="6"/>
      <c r="N2632" s="6" t="s">
        <v>456</v>
      </c>
      <c r="O2632" s="6" t="str">
        <f>HYPERLINK("https://ceds.ed.gov/cedselementdetails.aspx?termid=6153")</f>
        <v>https://ceds.ed.gov/cedselementdetails.aspx?termid=6153</v>
      </c>
      <c r="P2632" s="6" t="str">
        <f>HYPERLINK("https://ceds.ed.gov/elementComment.aspx?elementName=Assessment Asset Content XML &amp;elementID=6153", "Click here to submit comment")</f>
        <v>Click here to submit comment</v>
      </c>
    </row>
    <row r="2633" spans="1:16" ht="45">
      <c r="A2633" s="6" t="s">
        <v>6784</v>
      </c>
      <c r="B2633" s="6" t="s">
        <v>6844</v>
      </c>
      <c r="C2633" s="6"/>
      <c r="D2633" s="6" t="s">
        <v>445</v>
      </c>
      <c r="E2633" s="6" t="s">
        <v>446</v>
      </c>
      <c r="F2633" s="6" t="s">
        <v>13</v>
      </c>
      <c r="G2633" s="6"/>
      <c r="H2633" s="6"/>
      <c r="I2633" s="6" t="s">
        <v>319</v>
      </c>
      <c r="J2633" s="6"/>
      <c r="K2633" s="6"/>
      <c r="L2633" s="6" t="s">
        <v>447</v>
      </c>
      <c r="M2633" s="6"/>
      <c r="N2633" s="6" t="s">
        <v>448</v>
      </c>
      <c r="O2633" s="6" t="str">
        <f>HYPERLINK("https://ceds.ed.gov/cedselementdetails.aspx?termid=6154")</f>
        <v>https://ceds.ed.gov/cedselementdetails.aspx?termid=6154</v>
      </c>
      <c r="P2633" s="6" t="str">
        <f>HYPERLINK("https://ceds.ed.gov/elementComment.aspx?elementName=Assessment Asset Content Mime Type &amp;elementID=6154", "Click here to submit comment")</f>
        <v>Click here to submit comment</v>
      </c>
    </row>
    <row r="2634" spans="1:16" ht="45">
      <c r="A2634" s="6" t="s">
        <v>6784</v>
      </c>
      <c r="B2634" s="6" t="s">
        <v>6844</v>
      </c>
      <c r="C2634" s="6"/>
      <c r="D2634" s="6" t="s">
        <v>449</v>
      </c>
      <c r="E2634" s="6" t="s">
        <v>450</v>
      </c>
      <c r="F2634" s="6" t="s">
        <v>13</v>
      </c>
      <c r="G2634" s="6"/>
      <c r="H2634" s="6"/>
      <c r="I2634" s="6" t="s">
        <v>93</v>
      </c>
      <c r="J2634" s="6"/>
      <c r="K2634" s="6"/>
      <c r="L2634" s="6" t="s">
        <v>451</v>
      </c>
      <c r="M2634" s="6"/>
      <c r="N2634" s="6" t="s">
        <v>452</v>
      </c>
      <c r="O2634" s="6" t="str">
        <f>HYPERLINK("https://ceds.ed.gov/cedselementdetails.aspx?termid=6155")</f>
        <v>https://ceds.ed.gov/cedselementdetails.aspx?termid=6155</v>
      </c>
      <c r="P2634" s="6" t="str">
        <f>HYPERLINK("https://ceds.ed.gov/elementComment.aspx?elementName=Assessment Asset Content URL &amp;elementID=6155", "Click here to submit comment")</f>
        <v>Click here to submit comment</v>
      </c>
    </row>
    <row r="2635" spans="1:16" ht="90">
      <c r="A2635" s="6" t="s">
        <v>6784</v>
      </c>
      <c r="B2635" s="6" t="s">
        <v>6844</v>
      </c>
      <c r="C2635" s="6"/>
      <c r="D2635" s="6" t="s">
        <v>3406</v>
      </c>
      <c r="E2635" s="6" t="s">
        <v>3407</v>
      </c>
      <c r="F2635" s="5" t="s">
        <v>939</v>
      </c>
      <c r="G2635" s="6" t="s">
        <v>6214</v>
      </c>
      <c r="H2635" s="6" t="s">
        <v>66</v>
      </c>
      <c r="I2635" s="6"/>
      <c r="J2635" s="6" t="s">
        <v>2645</v>
      </c>
      <c r="K2635" s="6" t="s">
        <v>3408</v>
      </c>
      <c r="L2635" s="6" t="s">
        <v>3409</v>
      </c>
      <c r="M2635" s="6"/>
      <c r="N2635" s="6" t="s">
        <v>3410</v>
      </c>
      <c r="O2635" s="6" t="str">
        <f>HYPERLINK("https://ceds.ed.gov/cedselementdetails.aspx?termid=5317")</f>
        <v>https://ceds.ed.gov/cedselementdetails.aspx?termid=5317</v>
      </c>
      <c r="P2635" s="6" t="str">
        <f>HYPERLINK("https://ceds.ed.gov/elementComment.aspx?elementName=Language Code &amp;elementID=5317", "Click here to submit comment")</f>
        <v>Click here to submit comment</v>
      </c>
    </row>
    <row r="2636" spans="1:16" ht="45">
      <c r="A2636" s="6" t="s">
        <v>6784</v>
      </c>
      <c r="B2636" s="6" t="s">
        <v>6845</v>
      </c>
      <c r="C2636" s="6"/>
      <c r="D2636" s="6" t="s">
        <v>1302</v>
      </c>
      <c r="E2636" s="6" t="s">
        <v>1303</v>
      </c>
      <c r="F2636" s="6" t="s">
        <v>13</v>
      </c>
      <c r="G2636" s="6" t="s">
        <v>6064</v>
      </c>
      <c r="H2636" s="6"/>
      <c r="I2636" s="6" t="s">
        <v>100</v>
      </c>
      <c r="J2636" s="6"/>
      <c r="K2636" s="6"/>
      <c r="L2636" s="6" t="s">
        <v>1304</v>
      </c>
      <c r="M2636" s="6"/>
      <c r="N2636" s="6" t="s">
        <v>1305</v>
      </c>
      <c r="O2636" s="6" t="str">
        <f>HYPERLINK("https://ceds.ed.gov/cedselementdetails.aspx?termid=5366")</f>
        <v>https://ceds.ed.gov/cedselementdetails.aspx?termid=5366</v>
      </c>
      <c r="P2636" s="6" t="str">
        <f>HYPERLINK("https://ceds.ed.gov/elementComment.aspx?elementName=Assessment Subtest Identifier &amp;elementID=5366", "Click here to submit comment")</f>
        <v>Click here to submit comment</v>
      </c>
    </row>
    <row r="2637" spans="1:16" ht="75">
      <c r="A2637" s="6" t="s">
        <v>6784</v>
      </c>
      <c r="B2637" s="6" t="s">
        <v>6845</v>
      </c>
      <c r="C2637" s="6"/>
      <c r="D2637" s="6" t="s">
        <v>1306</v>
      </c>
      <c r="E2637" s="6" t="s">
        <v>1307</v>
      </c>
      <c r="F2637" s="6" t="s">
        <v>6065</v>
      </c>
      <c r="G2637" s="6"/>
      <c r="H2637" s="6"/>
      <c r="I2637" s="6"/>
      <c r="J2637" s="6"/>
      <c r="K2637" s="6"/>
      <c r="L2637" s="6" t="s">
        <v>1308</v>
      </c>
      <c r="M2637" s="6"/>
      <c r="N2637" s="6" t="s">
        <v>1309</v>
      </c>
      <c r="O2637" s="6" t="str">
        <f>HYPERLINK("https://ceds.ed.gov/cedselementdetails.aspx?termid=6016")</f>
        <v>https://ceds.ed.gov/cedselementdetails.aspx?termid=6016</v>
      </c>
      <c r="P2637" s="6" t="str">
        <f>HYPERLINK("https://ceds.ed.gov/elementComment.aspx?elementName=Assessment Subtest Identifier Type &amp;elementID=6016", "Click here to submit comment")</f>
        <v>Click here to submit comment</v>
      </c>
    </row>
    <row r="2638" spans="1:16" ht="165">
      <c r="A2638" s="6" t="s">
        <v>6784</v>
      </c>
      <c r="B2638" s="6" t="s">
        <v>6845</v>
      </c>
      <c r="C2638" s="6"/>
      <c r="D2638" s="6" t="s">
        <v>1379</v>
      </c>
      <c r="E2638" s="6" t="s">
        <v>1380</v>
      </c>
      <c r="F2638" s="6" t="s">
        <v>13</v>
      </c>
      <c r="G2638" s="6" t="s">
        <v>6073</v>
      </c>
      <c r="H2638" s="6"/>
      <c r="I2638" s="6" t="s">
        <v>106</v>
      </c>
      <c r="J2638" s="6"/>
      <c r="K2638" s="6"/>
      <c r="L2638" s="6" t="s">
        <v>1381</v>
      </c>
      <c r="M2638" s="6"/>
      <c r="N2638" s="6" t="s">
        <v>1382</v>
      </c>
      <c r="O2638" s="6" t="str">
        <f>HYPERLINK("https://ceds.ed.gov/cedselementdetails.aspx?termid=5275")</f>
        <v>https://ceds.ed.gov/cedselementdetails.aspx?termid=5275</v>
      </c>
      <c r="P2638" s="6" t="str">
        <f>HYPERLINK("https://ceds.ed.gov/elementComment.aspx?elementName=Assessment Subtest Title &amp;elementID=5275", "Click here to submit comment")</f>
        <v>Click here to submit comment</v>
      </c>
    </row>
    <row r="2639" spans="1:16" ht="45">
      <c r="A2639" s="6" t="s">
        <v>6784</v>
      </c>
      <c r="B2639" s="6" t="s">
        <v>6845</v>
      </c>
      <c r="C2639" s="6"/>
      <c r="D2639" s="6" t="s">
        <v>1294</v>
      </c>
      <c r="E2639" s="6" t="s">
        <v>1295</v>
      </c>
      <c r="F2639" s="6" t="s">
        <v>13</v>
      </c>
      <c r="G2639" s="6" t="s">
        <v>6063</v>
      </c>
      <c r="H2639" s="6"/>
      <c r="I2639" s="6" t="s">
        <v>100</v>
      </c>
      <c r="J2639" s="6"/>
      <c r="K2639" s="6"/>
      <c r="L2639" s="6" t="s">
        <v>1296</v>
      </c>
      <c r="M2639" s="6"/>
      <c r="N2639" s="6" t="s">
        <v>1297</v>
      </c>
      <c r="O2639" s="6" t="str">
        <f>HYPERLINK("https://ceds.ed.gov/cedselementdetails.aspx?termid=5367")</f>
        <v>https://ceds.ed.gov/cedselementdetails.aspx?termid=5367</v>
      </c>
      <c r="P2639" s="6" t="str">
        <f>HYPERLINK("https://ceds.ed.gov/elementComment.aspx?elementName=Assessment Subtest Abbreviation &amp;elementID=5367", "Click here to submit comment")</f>
        <v>Click here to submit comment</v>
      </c>
    </row>
    <row r="2640" spans="1:16" ht="150">
      <c r="A2640" s="6" t="s">
        <v>6784</v>
      </c>
      <c r="B2640" s="6" t="s">
        <v>6845</v>
      </c>
      <c r="C2640" s="6"/>
      <c r="D2640" s="6" t="s">
        <v>1298</v>
      </c>
      <c r="E2640" s="6" t="s">
        <v>1299</v>
      </c>
      <c r="F2640" s="6" t="s">
        <v>13</v>
      </c>
      <c r="G2640" s="6" t="s">
        <v>6006</v>
      </c>
      <c r="H2640" s="6"/>
      <c r="I2640" s="6" t="s">
        <v>106</v>
      </c>
      <c r="J2640" s="6"/>
      <c r="K2640" s="6"/>
      <c r="L2640" s="6" t="s">
        <v>1300</v>
      </c>
      <c r="M2640" s="6"/>
      <c r="N2640" s="6" t="s">
        <v>1301</v>
      </c>
      <c r="O2640" s="6" t="str">
        <f>HYPERLINK("https://ceds.ed.gov/cedselementdetails.aspx?termid=5274")</f>
        <v>https://ceds.ed.gov/cedselementdetails.aspx?termid=5274</v>
      </c>
      <c r="P2640" s="6" t="str">
        <f>HYPERLINK("https://ceds.ed.gov/elementComment.aspx?elementName=Assessment Subtest Description &amp;elementID=5274", "Click here to submit comment")</f>
        <v>Click here to submit comment</v>
      </c>
    </row>
    <row r="2641" spans="1:16" ht="45">
      <c r="A2641" s="6" t="s">
        <v>6784</v>
      </c>
      <c r="B2641" s="6" t="s">
        <v>6845</v>
      </c>
      <c r="C2641" s="6"/>
      <c r="D2641" s="6" t="s">
        <v>1383</v>
      </c>
      <c r="E2641" s="6" t="s">
        <v>1384</v>
      </c>
      <c r="F2641" s="6" t="s">
        <v>13</v>
      </c>
      <c r="G2641" s="6" t="s">
        <v>6064</v>
      </c>
      <c r="H2641" s="6"/>
      <c r="I2641" s="6" t="s">
        <v>100</v>
      </c>
      <c r="J2641" s="6"/>
      <c r="K2641" s="6"/>
      <c r="L2641" s="6" t="s">
        <v>1385</v>
      </c>
      <c r="M2641" s="6"/>
      <c r="N2641" s="6" t="s">
        <v>1386</v>
      </c>
      <c r="O2641" s="6" t="str">
        <f>HYPERLINK("https://ceds.ed.gov/cedselementdetails.aspx?termid=5379")</f>
        <v>https://ceds.ed.gov/cedselementdetails.aspx?termid=5379</v>
      </c>
      <c r="P2641" s="6" t="str">
        <f>HYPERLINK("https://ceds.ed.gov/elementComment.aspx?elementName=Assessment Subtest Version &amp;elementID=5379", "Click here to submit comment")</f>
        <v>Click here to submit comment</v>
      </c>
    </row>
    <row r="2642" spans="1:16" ht="45">
      <c r="A2642" s="6" t="s">
        <v>6784</v>
      </c>
      <c r="B2642" s="6" t="s">
        <v>6845</v>
      </c>
      <c r="C2642" s="6"/>
      <c r="D2642" s="6" t="s">
        <v>1323</v>
      </c>
      <c r="E2642" s="6" t="s">
        <v>1324</v>
      </c>
      <c r="F2642" s="6" t="s">
        <v>13</v>
      </c>
      <c r="G2642" s="6"/>
      <c r="H2642" s="6"/>
      <c r="I2642" s="6" t="s">
        <v>73</v>
      </c>
      <c r="J2642" s="6"/>
      <c r="K2642" s="6"/>
      <c r="L2642" s="6" t="s">
        <v>1325</v>
      </c>
      <c r="M2642" s="6"/>
      <c r="N2642" s="6" t="s">
        <v>1326</v>
      </c>
      <c r="O2642" s="6" t="str">
        <f>HYPERLINK("https://ceds.ed.gov/cedselementdetails.aspx?termid=6075")</f>
        <v>https://ceds.ed.gov/cedselementdetails.aspx?termid=6075</v>
      </c>
      <c r="P2642" s="6" t="str">
        <f>HYPERLINK("https://ceds.ed.gov/elementComment.aspx?elementName=Assessment Subtest Published Date &amp;elementID=6075", "Click here to submit comment")</f>
        <v>Click here to submit comment</v>
      </c>
    </row>
    <row r="2643" spans="1:16" ht="45">
      <c r="A2643" s="6" t="s">
        <v>6784</v>
      </c>
      <c r="B2643" s="6" t="s">
        <v>6845</v>
      </c>
      <c r="C2643" s="6"/>
      <c r="D2643" s="6" t="s">
        <v>1314</v>
      </c>
      <c r="E2643" s="6" t="s">
        <v>1315</v>
      </c>
      <c r="F2643" s="6" t="s">
        <v>13</v>
      </c>
      <c r="G2643" s="6" t="s">
        <v>5992</v>
      </c>
      <c r="H2643" s="6"/>
      <c r="I2643" s="6" t="s">
        <v>100</v>
      </c>
      <c r="J2643" s="6"/>
      <c r="K2643" s="6"/>
      <c r="L2643" s="6" t="s">
        <v>1316</v>
      </c>
      <c r="M2643" s="6"/>
      <c r="N2643" s="6" t="s">
        <v>1317</v>
      </c>
      <c r="O2643" s="6" t="str">
        <f>HYPERLINK("https://ceds.ed.gov/cedselementdetails.aspx?termid=5387")</f>
        <v>https://ceds.ed.gov/cedselementdetails.aspx?termid=5387</v>
      </c>
      <c r="P2643" s="6" t="str">
        <f>HYPERLINK("https://ceds.ed.gov/elementComment.aspx?elementName=Assessment Subtest Minimum Value &amp;elementID=5387", "Click here to submit comment")</f>
        <v>Click here to submit comment</v>
      </c>
    </row>
    <row r="2644" spans="1:16" ht="45">
      <c r="A2644" s="6" t="s">
        <v>6784</v>
      </c>
      <c r="B2644" s="6" t="s">
        <v>6845</v>
      </c>
      <c r="C2644" s="6"/>
      <c r="D2644" s="6" t="s">
        <v>1310</v>
      </c>
      <c r="E2644" s="6" t="s">
        <v>1311</v>
      </c>
      <c r="F2644" s="6" t="s">
        <v>13</v>
      </c>
      <c r="G2644" s="6" t="s">
        <v>5992</v>
      </c>
      <c r="H2644" s="6"/>
      <c r="I2644" s="6" t="s">
        <v>100</v>
      </c>
      <c r="J2644" s="6"/>
      <c r="K2644" s="6"/>
      <c r="L2644" s="6" t="s">
        <v>1312</v>
      </c>
      <c r="M2644" s="6"/>
      <c r="N2644" s="6" t="s">
        <v>1313</v>
      </c>
      <c r="O2644" s="6" t="str">
        <f>HYPERLINK("https://ceds.ed.gov/cedselementdetails.aspx?termid=5388")</f>
        <v>https://ceds.ed.gov/cedselementdetails.aspx?termid=5388</v>
      </c>
      <c r="P2644" s="6" t="str">
        <f>HYPERLINK("https://ceds.ed.gov/elementComment.aspx?elementName=Assessment Subtest Maximum Value &amp;elementID=5388", "Click here to submit comment")</f>
        <v>Click here to submit comment</v>
      </c>
    </row>
    <row r="2645" spans="1:16" ht="45">
      <c r="A2645" s="6" t="s">
        <v>6784</v>
      </c>
      <c r="B2645" s="6" t="s">
        <v>6845</v>
      </c>
      <c r="C2645" s="6"/>
      <c r="D2645" s="6" t="s">
        <v>1318</v>
      </c>
      <c r="E2645" s="6" t="s">
        <v>1319</v>
      </c>
      <c r="F2645" s="6" t="s">
        <v>13</v>
      </c>
      <c r="G2645" s="6" t="s">
        <v>6018</v>
      </c>
      <c r="H2645" s="6"/>
      <c r="I2645" s="6" t="s">
        <v>100</v>
      </c>
      <c r="J2645" s="6"/>
      <c r="K2645" s="6" t="s">
        <v>1320</v>
      </c>
      <c r="L2645" s="6" t="s">
        <v>1321</v>
      </c>
      <c r="M2645" s="6"/>
      <c r="N2645" s="6" t="s">
        <v>1322</v>
      </c>
      <c r="O2645" s="6" t="str">
        <f>HYPERLINK("https://ceds.ed.gov/cedselementdetails.aspx?termid=5389")</f>
        <v>https://ceds.ed.gov/cedselementdetails.aspx?termid=5389</v>
      </c>
      <c r="P2645" s="6" t="str">
        <f>HYPERLINK("https://ceds.ed.gov/elementComment.aspx?elementName=Assessment Subtest Optimal Value &amp;elementID=5389", "Click here to submit comment")</f>
        <v>Click here to submit comment</v>
      </c>
    </row>
    <row r="2646" spans="1:16" ht="405">
      <c r="A2646" s="6" t="s">
        <v>6784</v>
      </c>
      <c r="B2646" s="6" t="s">
        <v>6845</v>
      </c>
      <c r="C2646" s="6"/>
      <c r="D2646" s="6" t="s">
        <v>395</v>
      </c>
      <c r="E2646" s="6" t="s">
        <v>396</v>
      </c>
      <c r="F2646" s="7" t="s">
        <v>6375</v>
      </c>
      <c r="G2646" s="6" t="s">
        <v>5990</v>
      </c>
      <c r="H2646" s="6"/>
      <c r="I2646" s="6"/>
      <c r="J2646" s="6"/>
      <c r="K2646" s="6"/>
      <c r="L2646" s="6" t="s">
        <v>397</v>
      </c>
      <c r="M2646" s="6"/>
      <c r="N2646" s="6" t="s">
        <v>398</v>
      </c>
      <c r="O2646" s="6" t="str">
        <f>HYPERLINK("https://ceds.ed.gov/cedselementdetails.aspx?termid=5021")</f>
        <v>https://ceds.ed.gov/cedselementdetails.aspx?termid=5021</v>
      </c>
      <c r="P2646" s="6" t="str">
        <f>HYPERLINK("https://ceds.ed.gov/elementComment.aspx?elementName=Assessment Academic Subject &amp;elementID=5021", "Click here to submit comment")</f>
        <v>Click here to submit comment</v>
      </c>
    </row>
    <row r="2647" spans="1:16" ht="409.5">
      <c r="A2647" s="6" t="s">
        <v>6784</v>
      </c>
      <c r="B2647" s="6" t="s">
        <v>6845</v>
      </c>
      <c r="C2647" s="6"/>
      <c r="D2647" s="6" t="s">
        <v>1156</v>
      </c>
      <c r="E2647" s="6" t="s">
        <v>1157</v>
      </c>
      <c r="F2647" s="7" t="s">
        <v>6399</v>
      </c>
      <c r="G2647" s="6" t="s">
        <v>6000</v>
      </c>
      <c r="H2647" s="6"/>
      <c r="I2647" s="6"/>
      <c r="J2647" s="6"/>
      <c r="K2647" s="6" t="s">
        <v>1158</v>
      </c>
      <c r="L2647" s="6" t="s">
        <v>1159</v>
      </c>
      <c r="M2647" s="6"/>
      <c r="N2647" s="6" t="s">
        <v>1160</v>
      </c>
      <c r="O2647" s="6" t="str">
        <f>HYPERLINK("https://ceds.ed.gov/cedselementdetails.aspx?termid=5026")</f>
        <v>https://ceds.ed.gov/cedselementdetails.aspx?termid=5026</v>
      </c>
      <c r="P2647" s="6" t="str">
        <f>HYPERLINK("https://ceds.ed.gov/elementComment.aspx?elementName=Assessment Purpose &amp;elementID=5026", "Click here to submit comment")</f>
        <v>Click here to submit comment</v>
      </c>
    </row>
    <row r="2648" spans="1:16" ht="409.5">
      <c r="A2648" s="6" t="s">
        <v>6784</v>
      </c>
      <c r="B2648" s="6" t="s">
        <v>6845</v>
      </c>
      <c r="C2648" s="6"/>
      <c r="D2648" s="6" t="s">
        <v>1375</v>
      </c>
      <c r="E2648" s="6" t="s">
        <v>1376</v>
      </c>
      <c r="F2648" s="7" t="s">
        <v>6398</v>
      </c>
      <c r="G2648" s="6" t="s">
        <v>6064</v>
      </c>
      <c r="H2648" s="6"/>
      <c r="I2648" s="6"/>
      <c r="J2648" s="6"/>
      <c r="K2648" s="6"/>
      <c r="L2648" s="6" t="s">
        <v>1377</v>
      </c>
      <c r="M2648" s="6"/>
      <c r="N2648" s="6" t="s">
        <v>1378</v>
      </c>
      <c r="O2648" s="6" t="str">
        <f>HYPERLINK("https://ceds.ed.gov/cedselementdetails.aspx?termid=5368")</f>
        <v>https://ceds.ed.gov/cedselementdetails.aspx?termid=5368</v>
      </c>
      <c r="P2648" s="6" t="str">
        <f>HYPERLINK("https://ceds.ed.gov/elementComment.aspx?elementName=Assessment Subtest Score Metric Type &amp;elementID=5368", "Click here to submit comment")</f>
        <v>Click here to submit comment</v>
      </c>
    </row>
    <row r="2649" spans="1:16" ht="225">
      <c r="A2649" s="6" t="s">
        <v>6784</v>
      </c>
      <c r="B2649" s="6" t="s">
        <v>6845</v>
      </c>
      <c r="C2649" s="6"/>
      <c r="D2649" s="6" t="s">
        <v>487</v>
      </c>
      <c r="E2649" s="6" t="s">
        <v>488</v>
      </c>
      <c r="F2649" s="7" t="s">
        <v>6380</v>
      </c>
      <c r="G2649" s="6" t="s">
        <v>6000</v>
      </c>
      <c r="H2649" s="6"/>
      <c r="I2649" s="6"/>
      <c r="J2649" s="6"/>
      <c r="K2649" s="6"/>
      <c r="L2649" s="6" t="s">
        <v>489</v>
      </c>
      <c r="M2649" s="6"/>
      <c r="N2649" s="6" t="s">
        <v>490</v>
      </c>
      <c r="O2649" s="6" t="str">
        <f>HYPERLINK("https://ceds.ed.gov/cedselementdetails.aspx?termid=5598")</f>
        <v>https://ceds.ed.gov/cedselementdetails.aspx?termid=5598</v>
      </c>
      <c r="P2649" s="6" t="str">
        <f>HYPERLINK("https://ceds.ed.gov/elementComment.aspx?elementName=Assessment Content Standard Type &amp;elementID=5598", "Click here to submit comment")</f>
        <v>Click here to submit comment</v>
      </c>
    </row>
    <row r="2650" spans="1:16" ht="45">
      <c r="A2650" s="6" t="s">
        <v>6784</v>
      </c>
      <c r="B2650" s="6" t="s">
        <v>6845</v>
      </c>
      <c r="C2650" s="6"/>
      <c r="D2650" s="6" t="s">
        <v>1371</v>
      </c>
      <c r="E2650" s="6" t="s">
        <v>1372</v>
      </c>
      <c r="F2650" s="6" t="s">
        <v>13</v>
      </c>
      <c r="G2650" s="6"/>
      <c r="H2650" s="6"/>
      <c r="I2650" s="6" t="s">
        <v>319</v>
      </c>
      <c r="J2650" s="6"/>
      <c r="K2650" s="6"/>
      <c r="L2650" s="6" t="s">
        <v>1373</v>
      </c>
      <c r="M2650" s="6"/>
      <c r="N2650" s="6" t="s">
        <v>1374</v>
      </c>
      <c r="O2650" s="6" t="str">
        <f>HYPERLINK("https://ceds.ed.gov/cedselementdetails.aspx?termid=5695")</f>
        <v>https://ceds.ed.gov/cedselementdetails.aspx?termid=5695</v>
      </c>
      <c r="P2650" s="6" t="str">
        <f>HYPERLINK("https://ceds.ed.gov/elementComment.aspx?elementName=Assessment Subtest Rules &amp;elementID=5695", "Click here to submit comment")</f>
        <v>Click here to submit comment</v>
      </c>
    </row>
    <row r="2651" spans="1:16" ht="60">
      <c r="A2651" s="6" t="s">
        <v>6784</v>
      </c>
      <c r="B2651" s="6" t="s">
        <v>6845</v>
      </c>
      <c r="C2651" s="6"/>
      <c r="D2651" s="6" t="s">
        <v>573</v>
      </c>
      <c r="E2651" s="6" t="s">
        <v>574</v>
      </c>
      <c r="F2651" s="6" t="s">
        <v>13</v>
      </c>
      <c r="G2651" s="6"/>
      <c r="H2651" s="6"/>
      <c r="I2651" s="6" t="s">
        <v>575</v>
      </c>
      <c r="J2651" s="6"/>
      <c r="K2651" s="6"/>
      <c r="L2651" s="6" t="s">
        <v>576</v>
      </c>
      <c r="M2651" s="6"/>
      <c r="N2651" s="6" t="s">
        <v>577</v>
      </c>
      <c r="O2651" s="6" t="str">
        <f>HYPERLINK("https://ceds.ed.gov/cedselementdetails.aspx?termid=6180")</f>
        <v>https://ceds.ed.gov/cedselementdetails.aspx?termid=6180</v>
      </c>
      <c r="P2651" s="6" t="str">
        <f>HYPERLINK("https://ceds.ed.gov/elementComment.aspx?elementName=Assessment Form Subtest Tier &amp;elementID=6180", "Click here to submit comment")</f>
        <v>Click here to submit comment</v>
      </c>
    </row>
    <row r="2652" spans="1:16" ht="60">
      <c r="A2652" s="6" t="s">
        <v>6784</v>
      </c>
      <c r="B2652" s="6" t="s">
        <v>6845</v>
      </c>
      <c r="C2652" s="6"/>
      <c r="D2652" s="6" t="s">
        <v>556</v>
      </c>
      <c r="E2652" s="6" t="s">
        <v>557</v>
      </c>
      <c r="F2652" s="6" t="s">
        <v>5963</v>
      </c>
      <c r="G2652" s="6"/>
      <c r="H2652" s="6" t="s">
        <v>66</v>
      </c>
      <c r="I2652" s="6"/>
      <c r="J2652" s="6" t="s">
        <v>558</v>
      </c>
      <c r="K2652" s="6"/>
      <c r="L2652" s="6" t="s">
        <v>559</v>
      </c>
      <c r="M2652" s="6"/>
      <c r="N2652" s="6" t="s">
        <v>560</v>
      </c>
      <c r="O2652" s="6" t="str">
        <f>HYPERLINK("https://ceds.ed.gov/cedselementdetails.aspx?termid=6181")</f>
        <v>https://ceds.ed.gov/cedselementdetails.aspx?termid=6181</v>
      </c>
      <c r="P2652" s="6" t="str">
        <f>HYPERLINK("https://ceds.ed.gov/elementComment.aspx?elementName=Assessment Form Subtest Container Only &amp;elementID=6181", "Click here to submit comment")</f>
        <v>Click here to submit comment</v>
      </c>
    </row>
    <row r="2653" spans="1:16" ht="90">
      <c r="A2653" s="6" t="s">
        <v>6784</v>
      </c>
      <c r="B2653" s="6" t="s">
        <v>6846</v>
      </c>
      <c r="C2653" s="6"/>
      <c r="D2653" s="6" t="s">
        <v>1362</v>
      </c>
      <c r="E2653" s="6" t="s">
        <v>1363</v>
      </c>
      <c r="F2653" s="7" t="s">
        <v>6404</v>
      </c>
      <c r="G2653" s="6" t="s">
        <v>6069</v>
      </c>
      <c r="H2653" s="6"/>
      <c r="I2653" s="6"/>
      <c r="J2653" s="6"/>
      <c r="K2653" s="6"/>
      <c r="L2653" s="6" t="s">
        <v>1364</v>
      </c>
      <c r="M2653" s="6"/>
      <c r="N2653" s="6" t="s">
        <v>1365</v>
      </c>
      <c r="O2653" s="6" t="str">
        <f>HYPERLINK("https://ceds.ed.gov/cedselementdetails.aspx?termid=5564")</f>
        <v>https://ceds.ed.gov/cedselementdetails.aspx?termid=5564</v>
      </c>
      <c r="P2653" s="6" t="str">
        <f>HYPERLINK("https://ceds.ed.gov/elementComment.aspx?elementName=Assessment Subtest Result Pretest Outcome &amp;elementID=5564", "Click here to submit comment")</f>
        <v>Click here to submit comment</v>
      </c>
    </row>
    <row r="2654" spans="1:16" ht="195">
      <c r="A2654" s="6" t="s">
        <v>6784</v>
      </c>
      <c r="B2654" s="6" t="s">
        <v>6846</v>
      </c>
      <c r="C2654" s="6"/>
      <c r="D2654" s="6" t="s">
        <v>1366</v>
      </c>
      <c r="E2654" s="6" t="s">
        <v>1367</v>
      </c>
      <c r="F2654" s="6" t="s">
        <v>13</v>
      </c>
      <c r="G2654" s="6" t="s">
        <v>6071</v>
      </c>
      <c r="H2654" s="6"/>
      <c r="I2654" s="6" t="s">
        <v>1368</v>
      </c>
      <c r="J2654" s="6"/>
      <c r="K2654" s="6"/>
      <c r="L2654" s="6" t="s">
        <v>1369</v>
      </c>
      <c r="M2654" s="6"/>
      <c r="N2654" s="6" t="s">
        <v>1370</v>
      </c>
      <c r="O2654" s="6" t="str">
        <f>HYPERLINK("https://ceds.ed.gov/cedselementdetails.aspx?termid=5245")</f>
        <v>https://ceds.ed.gov/cedselementdetails.aspx?termid=5245</v>
      </c>
      <c r="P2654" s="6" t="str">
        <f>HYPERLINK("https://ceds.ed.gov/elementComment.aspx?elementName=Assessment Subtest Result Score Value &amp;elementID=5245", "Click here to submit comment")</f>
        <v>Click here to submit comment</v>
      </c>
    </row>
    <row r="2655" spans="1:16" ht="409.5">
      <c r="A2655" s="6" t="s">
        <v>6784</v>
      </c>
      <c r="B2655" s="6" t="s">
        <v>6846</v>
      </c>
      <c r="C2655" s="6"/>
      <c r="D2655" s="6" t="s">
        <v>1375</v>
      </c>
      <c r="E2655" s="6" t="s">
        <v>1376</v>
      </c>
      <c r="F2655" s="7" t="s">
        <v>6398</v>
      </c>
      <c r="G2655" s="6" t="s">
        <v>6064</v>
      </c>
      <c r="H2655" s="6"/>
      <c r="I2655" s="6"/>
      <c r="J2655" s="6"/>
      <c r="K2655" s="6"/>
      <c r="L2655" s="6" t="s">
        <v>1377</v>
      </c>
      <c r="M2655" s="6"/>
      <c r="N2655" s="6" t="s">
        <v>1378</v>
      </c>
      <c r="O2655" s="6" t="str">
        <f>HYPERLINK("https://ceds.ed.gov/cedselementdetails.aspx?termid=5368")</f>
        <v>https://ceds.ed.gov/cedselementdetails.aspx?termid=5368</v>
      </c>
      <c r="P2655" s="6" t="str">
        <f>HYPERLINK("https://ceds.ed.gov/elementComment.aspx?elementName=Assessment Subtest Score Metric Type &amp;elementID=5368", "Click here to submit comment")</f>
        <v>Click here to submit comment</v>
      </c>
    </row>
    <row r="2656" spans="1:16" ht="75">
      <c r="A2656" s="6" t="s">
        <v>6784</v>
      </c>
      <c r="B2656" s="6" t="s">
        <v>6846</v>
      </c>
      <c r="C2656" s="6"/>
      <c r="D2656" s="6" t="s">
        <v>1336</v>
      </c>
      <c r="E2656" s="6" t="s">
        <v>1337</v>
      </c>
      <c r="F2656" s="6" t="s">
        <v>13</v>
      </c>
      <c r="G2656" s="6" t="s">
        <v>493</v>
      </c>
      <c r="H2656" s="6"/>
      <c r="I2656" s="6" t="s">
        <v>93</v>
      </c>
      <c r="J2656" s="6"/>
      <c r="K2656" s="6"/>
      <c r="L2656" s="6" t="s">
        <v>1338</v>
      </c>
      <c r="M2656" s="6"/>
      <c r="N2656" s="6" t="s">
        <v>1339</v>
      </c>
      <c r="O2656" s="6" t="str">
        <f>HYPERLINK("https://ceds.ed.gov/cedselementdetails.aspx?termid=5890")</f>
        <v>https://ceds.ed.gov/cedselementdetails.aspx?termid=5890</v>
      </c>
      <c r="P2656" s="6" t="str">
        <f>HYPERLINK("https://ceds.ed.gov/elementComment.aspx?elementName=Assessment Subtest Result Descriptive Feedback &amp;elementID=5890", "Click here to submit comment")</f>
        <v>Click here to submit comment</v>
      </c>
    </row>
    <row r="2657" spans="1:16" ht="135">
      <c r="A2657" s="6" t="s">
        <v>6784</v>
      </c>
      <c r="B2657" s="6" t="s">
        <v>6846</v>
      </c>
      <c r="C2657" s="6"/>
      <c r="D2657" s="6" t="s">
        <v>1331</v>
      </c>
      <c r="E2657" s="6" t="s">
        <v>1332</v>
      </c>
      <c r="F2657" s="6" t="s">
        <v>13</v>
      </c>
      <c r="G2657" s="6"/>
      <c r="H2657" s="6"/>
      <c r="I2657" s="6" t="s">
        <v>73</v>
      </c>
      <c r="J2657" s="6"/>
      <c r="K2657" s="6" t="s">
        <v>1333</v>
      </c>
      <c r="L2657" s="6" t="s">
        <v>1334</v>
      </c>
      <c r="M2657" s="6"/>
      <c r="N2657" s="6" t="s">
        <v>1335</v>
      </c>
      <c r="O2657" s="6" t="str">
        <f>HYPERLINK("https://ceds.ed.gov/cedselementdetails.aspx?termid=5971")</f>
        <v>https://ceds.ed.gov/cedselementdetails.aspx?termid=5971</v>
      </c>
      <c r="P2657" s="6" t="str">
        <f>HYPERLINK("https://ceds.ed.gov/elementComment.aspx?elementName=Assessment Subtest Result Date Updated &amp;elementID=5971", "Click here to submit comment")</f>
        <v>Click here to submit comment</v>
      </c>
    </row>
    <row r="2658" spans="1:16" ht="45">
      <c r="A2658" s="6" t="s">
        <v>6784</v>
      </c>
      <c r="B2658" s="6" t="s">
        <v>6846</v>
      </c>
      <c r="C2658" s="6"/>
      <c r="D2658" s="6" t="s">
        <v>1327</v>
      </c>
      <c r="E2658" s="6" t="s">
        <v>1328</v>
      </c>
      <c r="F2658" s="6" t="s">
        <v>13</v>
      </c>
      <c r="G2658" s="6"/>
      <c r="H2658" s="6"/>
      <c r="I2658" s="6" t="s">
        <v>73</v>
      </c>
      <c r="J2658" s="6"/>
      <c r="K2658" s="6"/>
      <c r="L2658" s="6" t="s">
        <v>1329</v>
      </c>
      <c r="M2658" s="6"/>
      <c r="N2658" s="6" t="s">
        <v>1330</v>
      </c>
      <c r="O2658" s="6" t="str">
        <f>HYPERLINK("https://ceds.ed.gov/cedselementdetails.aspx?termid=5972")</f>
        <v>https://ceds.ed.gov/cedselementdetails.aspx?termid=5972</v>
      </c>
      <c r="P2658" s="6" t="str">
        <f>HYPERLINK("https://ceds.ed.gov/elementComment.aspx?elementName=Assessment Subtest Result Date Created &amp;elementID=5972", "Click here to submit comment")</f>
        <v>Click here to submit comment</v>
      </c>
    </row>
    <row r="2659" spans="1:16" ht="75">
      <c r="A2659" s="6" t="s">
        <v>6784</v>
      </c>
      <c r="B2659" s="6" t="s">
        <v>6846</v>
      </c>
      <c r="C2659" s="6"/>
      <c r="D2659" s="6" t="s">
        <v>1358</v>
      </c>
      <c r="E2659" s="6" t="s">
        <v>1359</v>
      </c>
      <c r="F2659" s="6" t="s">
        <v>5963</v>
      </c>
      <c r="G2659" s="6"/>
      <c r="H2659" s="6"/>
      <c r="I2659" s="6"/>
      <c r="J2659" s="6"/>
      <c r="K2659" s="6"/>
      <c r="L2659" s="6" t="s">
        <v>1360</v>
      </c>
      <c r="M2659" s="6"/>
      <c r="N2659" s="6" t="s">
        <v>1361</v>
      </c>
      <c r="O2659" s="6" t="str">
        <f>HYPERLINK("https://ceds.ed.gov/cedselementdetails.aspx?termid=6010")</f>
        <v>https://ceds.ed.gov/cedselementdetails.aspx?termid=6010</v>
      </c>
      <c r="P2659" s="6" t="str">
        <f>HYPERLINK("https://ceds.ed.gov/elementComment.aspx?elementName=Assessment Subtest Result Preliminary Indicator &amp;elementID=6010", "Click here to submit comment")</f>
        <v>Click here to submit comment</v>
      </c>
    </row>
    <row r="2660" spans="1:16" ht="60">
      <c r="A2660" s="6" t="s">
        <v>6784</v>
      </c>
      <c r="B2660" s="6" t="s">
        <v>6846</v>
      </c>
      <c r="C2660" s="6"/>
      <c r="D2660" s="6" t="s">
        <v>2180</v>
      </c>
      <c r="E2660" s="6" t="s">
        <v>2181</v>
      </c>
      <c r="F2660" s="6" t="s">
        <v>13</v>
      </c>
      <c r="G2660" s="6"/>
      <c r="H2660" s="6"/>
      <c r="I2660" s="6" t="s">
        <v>93</v>
      </c>
      <c r="J2660" s="6"/>
      <c r="K2660" s="6"/>
      <c r="L2660" s="6" t="s">
        <v>2182</v>
      </c>
      <c r="M2660" s="6"/>
      <c r="N2660" s="6" t="s">
        <v>2183</v>
      </c>
      <c r="O2660" s="6" t="str">
        <f>HYPERLINK("https://ceds.ed.gov/cedselementdetails.aspx?termid=6011")</f>
        <v>https://ceds.ed.gov/cedselementdetails.aspx?termid=6011</v>
      </c>
      <c r="P2660" s="6" t="str">
        <f>HYPERLINK("https://ceds.ed.gov/elementComment.aspx?elementName=Diagnostic Statement Source &amp;elementID=6011", "Click here to submit comment")</f>
        <v>Click here to submit comment</v>
      </c>
    </row>
    <row r="2661" spans="1:16" ht="120">
      <c r="A2661" s="6" t="s">
        <v>6784</v>
      </c>
      <c r="B2661" s="6" t="s">
        <v>6846</v>
      </c>
      <c r="C2661" s="6"/>
      <c r="D2661" s="6" t="s">
        <v>1354</v>
      </c>
      <c r="E2661" s="6" t="s">
        <v>1355</v>
      </c>
      <c r="F2661" s="6" t="s">
        <v>13</v>
      </c>
      <c r="G2661" s="6"/>
      <c r="H2661" s="6"/>
      <c r="I2661" s="6" t="s">
        <v>1173</v>
      </c>
      <c r="J2661" s="6"/>
      <c r="K2661" s="6"/>
      <c r="L2661" s="6" t="s">
        <v>1356</v>
      </c>
      <c r="M2661" s="6"/>
      <c r="N2661" s="6" t="s">
        <v>1357</v>
      </c>
      <c r="O2661" s="6" t="str">
        <f>HYPERLINK("https://ceds.ed.gov/cedselementdetails.aspx?termid=6012")</f>
        <v>https://ceds.ed.gov/cedselementdetails.aspx?termid=6012</v>
      </c>
      <c r="P2661" s="6" t="str">
        <f>HYPERLINK("https://ceds.ed.gov/elementComment.aspx?elementName=Assessment Subtest Result Number of Responses &amp;elementID=6012", "Click here to submit comment")</f>
        <v>Click here to submit comment</v>
      </c>
    </row>
    <row r="2662" spans="1:16" ht="120">
      <c r="A2662" s="6" t="s">
        <v>6784</v>
      </c>
      <c r="B2662" s="6" t="s">
        <v>6846</v>
      </c>
      <c r="C2662" s="6"/>
      <c r="D2662" s="6" t="s">
        <v>1340</v>
      </c>
      <c r="E2662" s="6" t="s">
        <v>1341</v>
      </c>
      <c r="F2662" s="6" t="s">
        <v>13</v>
      </c>
      <c r="G2662" s="6"/>
      <c r="H2662" s="6"/>
      <c r="I2662" s="6" t="s">
        <v>106</v>
      </c>
      <c r="J2662" s="6"/>
      <c r="K2662" s="6"/>
      <c r="L2662" s="6" t="s">
        <v>1342</v>
      </c>
      <c r="M2662" s="6"/>
      <c r="N2662" s="6" t="s">
        <v>1343</v>
      </c>
      <c r="O2662" s="6" t="str">
        <f>HYPERLINK("https://ceds.ed.gov/cedselementdetails.aspx?termid=6076")</f>
        <v>https://ceds.ed.gov/cedselementdetails.aspx?termid=6076</v>
      </c>
      <c r="P2662" s="6" t="str">
        <f>HYPERLINK("https://ceds.ed.gov/elementComment.aspx?elementName=Assessment Subtest Result Descriptive Feedback Source &amp;elementID=6076", "Click here to submit comment")</f>
        <v>Click here to submit comment</v>
      </c>
    </row>
    <row r="2663" spans="1:16" ht="120">
      <c r="A2663" s="6" t="s">
        <v>6784</v>
      </c>
      <c r="B2663" s="6" t="s">
        <v>6846</v>
      </c>
      <c r="C2663" s="6"/>
      <c r="D2663" s="6" t="s">
        <v>1344</v>
      </c>
      <c r="E2663" s="6" t="s">
        <v>1345</v>
      </c>
      <c r="F2663" s="6" t="s">
        <v>13</v>
      </c>
      <c r="G2663" s="6"/>
      <c r="H2663" s="6"/>
      <c r="I2663" s="6" t="s">
        <v>319</v>
      </c>
      <c r="J2663" s="6"/>
      <c r="K2663" s="6"/>
      <c r="L2663" s="6" t="s">
        <v>1346</v>
      </c>
      <c r="M2663" s="6"/>
      <c r="N2663" s="6" t="s">
        <v>1347</v>
      </c>
      <c r="O2663" s="6" t="str">
        <f>HYPERLINK("https://ceds.ed.gov/cedselementdetails.aspx?termid=6185")</f>
        <v>https://ceds.ed.gov/cedselementdetails.aspx?termid=6185</v>
      </c>
      <c r="P2663" s="6" t="str">
        <f>HYPERLINK("https://ceds.ed.gov/elementComment.aspx?elementName=Assessment Subtest Result Diagnostic Statement &amp;elementID=6185", "Click here to submit comment")</f>
        <v>Click here to submit comment</v>
      </c>
    </row>
    <row r="2664" spans="1:16" ht="60">
      <c r="A2664" s="6" t="s">
        <v>6784</v>
      </c>
      <c r="B2664" s="6" t="s">
        <v>6846</v>
      </c>
      <c r="C2664" s="6"/>
      <c r="D2664" s="6" t="s">
        <v>3322</v>
      </c>
      <c r="E2664" s="6" t="s">
        <v>3323</v>
      </c>
      <c r="F2664" s="6" t="s">
        <v>13</v>
      </c>
      <c r="G2664" s="6" t="s">
        <v>6018</v>
      </c>
      <c r="H2664" s="6"/>
      <c r="I2664" s="6" t="s">
        <v>745</v>
      </c>
      <c r="J2664" s="6"/>
      <c r="K2664" s="6"/>
      <c r="L2664" s="6" t="s">
        <v>3324</v>
      </c>
      <c r="M2664" s="6"/>
      <c r="N2664" s="6" t="s">
        <v>3325</v>
      </c>
      <c r="O2664" s="6" t="str">
        <f>HYPERLINK("https://ceds.ed.gov/cedselementdetails.aspx?termid=5369")</f>
        <v>https://ceds.ed.gov/cedselementdetails.aspx?termid=5369</v>
      </c>
      <c r="P2664" s="6" t="str">
        <f>HYPERLINK("https://ceds.ed.gov/elementComment.aspx?elementName=Instructional Recommendation &amp;elementID=5369", "Click here to submit comment")</f>
        <v>Click here to submit comment</v>
      </c>
    </row>
    <row r="2665" spans="1:16" ht="75">
      <c r="A2665" s="6" t="s">
        <v>6784</v>
      </c>
      <c r="B2665" s="6" t="s">
        <v>6847</v>
      </c>
      <c r="C2665" s="6"/>
      <c r="D2665" s="6" t="s">
        <v>1182</v>
      </c>
      <c r="E2665" s="6" t="s">
        <v>1183</v>
      </c>
      <c r="F2665" s="7" t="s">
        <v>6401</v>
      </c>
      <c r="G2665" s="6" t="s">
        <v>6051</v>
      </c>
      <c r="H2665" s="6"/>
      <c r="I2665" s="6"/>
      <c r="J2665" s="6"/>
      <c r="K2665" s="6"/>
      <c r="L2665" s="6" t="s">
        <v>1184</v>
      </c>
      <c r="M2665" s="6"/>
      <c r="N2665" s="6" t="s">
        <v>1185</v>
      </c>
      <c r="O2665" s="6" t="str">
        <f>HYPERLINK("https://ceds.ed.gov/cedselementdetails.aspx?termid=5025")</f>
        <v>https://ceds.ed.gov/cedselementdetails.aspx?termid=5025</v>
      </c>
      <c r="P2665" s="6" t="str">
        <f>HYPERLINK("https://ceds.ed.gov/elementComment.aspx?elementName=Assessment Registration Participation Indicator &amp;elementID=5025", "Click here to submit comment")</f>
        <v>Click here to submit comment</v>
      </c>
    </row>
    <row r="2666" spans="1:16" ht="375">
      <c r="A2666" s="6" t="s">
        <v>6784</v>
      </c>
      <c r="B2666" s="6" t="s">
        <v>6847</v>
      </c>
      <c r="C2666" s="6"/>
      <c r="D2666" s="6" t="s">
        <v>2847</v>
      </c>
      <c r="E2666" s="6" t="s">
        <v>2848</v>
      </c>
      <c r="F2666" s="7" t="s">
        <v>6520</v>
      </c>
      <c r="G2666" s="6" t="s">
        <v>6182</v>
      </c>
      <c r="H2666" s="6"/>
      <c r="I2666" s="6"/>
      <c r="J2666" s="6"/>
      <c r="K2666" s="6"/>
      <c r="L2666" s="6" t="s">
        <v>2849</v>
      </c>
      <c r="M2666" s="6"/>
      <c r="N2666" s="6" t="s">
        <v>2850</v>
      </c>
      <c r="O2666" s="6" t="str">
        <f>HYPERLINK("https://ceds.ed.gov/cedselementdetails.aspx?termid=5126")</f>
        <v>https://ceds.ed.gov/cedselementdetails.aspx?termid=5126</v>
      </c>
      <c r="P2666" s="6" t="str">
        <f>HYPERLINK("https://ceds.ed.gov/elementComment.aspx?elementName=Grade Level When Assessed &amp;elementID=5126", "Click here to submit comment")</f>
        <v>Click here to submit comment</v>
      </c>
    </row>
    <row r="2667" spans="1:16" ht="285">
      <c r="A2667" s="6" t="s">
        <v>6784</v>
      </c>
      <c r="B2667" s="6" t="s">
        <v>6847</v>
      </c>
      <c r="C2667" s="6"/>
      <c r="D2667" s="6" t="s">
        <v>399</v>
      </c>
      <c r="E2667" s="6" t="s">
        <v>400</v>
      </c>
      <c r="F2667" s="7" t="s">
        <v>6376</v>
      </c>
      <c r="G2667" s="6" t="s">
        <v>5992</v>
      </c>
      <c r="H2667" s="6" t="s">
        <v>3</v>
      </c>
      <c r="I2667" s="6"/>
      <c r="J2667" s="6"/>
      <c r="K2667" s="6"/>
      <c r="L2667" s="6" t="s">
        <v>401</v>
      </c>
      <c r="M2667" s="6"/>
      <c r="N2667" s="6" t="s">
        <v>402</v>
      </c>
      <c r="O2667" s="6" t="str">
        <f>HYPERLINK("https://ceds.ed.gov/cedselementdetails.aspx?termid=5374")</f>
        <v>https://ceds.ed.gov/cedselementdetails.aspx?termid=5374</v>
      </c>
      <c r="P2667" s="6" t="str">
        <f>HYPERLINK("https://ceds.ed.gov/elementComment.aspx?elementName=Assessment Accommodation Category &amp;elementID=5374", "Click here to submit comment")</f>
        <v>Click here to submit comment</v>
      </c>
    </row>
    <row r="2668" spans="1:16" ht="120">
      <c r="A2668" s="6" t="s">
        <v>6784</v>
      </c>
      <c r="B2668" s="6" t="s">
        <v>6847</v>
      </c>
      <c r="C2668" s="6"/>
      <c r="D2668" s="6" t="s">
        <v>4022</v>
      </c>
      <c r="E2668" s="6" t="s">
        <v>4023</v>
      </c>
      <c r="F2668" s="6" t="s">
        <v>13</v>
      </c>
      <c r="G2668" s="6" t="s">
        <v>6252</v>
      </c>
      <c r="H2668" s="6"/>
      <c r="I2668" s="6" t="s">
        <v>100</v>
      </c>
      <c r="J2668" s="6"/>
      <c r="K2668" s="6"/>
      <c r="L2668" s="6" t="s">
        <v>4024</v>
      </c>
      <c r="M2668" s="6" t="s">
        <v>4025</v>
      </c>
      <c r="N2668" s="6" t="s">
        <v>4026</v>
      </c>
      <c r="O2668" s="6" t="str">
        <f>HYPERLINK("https://ceds.ed.gov/cedselementdetails.aspx?termid=5153")</f>
        <v>https://ceds.ed.gov/cedselementdetails.aspx?termid=5153</v>
      </c>
      <c r="P2668" s="6" t="str">
        <f>HYPERLINK("https://ceds.ed.gov/elementComment.aspx?elementName=Local Education Agency Identifier &amp;elementID=5153", "Click here to submit comment")</f>
        <v>Click here to submit comment</v>
      </c>
    </row>
    <row r="2669" spans="1:16" ht="165">
      <c r="A2669" s="6" t="s">
        <v>6784</v>
      </c>
      <c r="B2669" s="6" t="s">
        <v>6847</v>
      </c>
      <c r="C2669" s="6"/>
      <c r="D2669" s="6" t="s">
        <v>5224</v>
      </c>
      <c r="E2669" s="6" t="s">
        <v>269</v>
      </c>
      <c r="F2669" s="6" t="s">
        <v>13</v>
      </c>
      <c r="G2669" s="6" t="s">
        <v>6308</v>
      </c>
      <c r="H2669" s="6"/>
      <c r="I2669" s="6" t="s">
        <v>100</v>
      </c>
      <c r="J2669" s="6"/>
      <c r="K2669" s="6"/>
      <c r="L2669" s="6" t="s">
        <v>5225</v>
      </c>
      <c r="M2669" s="6"/>
      <c r="N2669" s="6" t="s">
        <v>5226</v>
      </c>
      <c r="O2669" s="6" t="str">
        <f>HYPERLINK("https://ceds.ed.gov/cedselementdetails.aspx?termid=5155")</f>
        <v>https://ceds.ed.gov/cedselementdetails.aspx?termid=5155</v>
      </c>
      <c r="P2669" s="6" t="str">
        <f>HYPERLINK("https://ceds.ed.gov/elementComment.aspx?elementName=School Identifier &amp;elementID=5155", "Click here to submit comment")</f>
        <v>Click here to submit comment</v>
      </c>
    </row>
    <row r="2670" spans="1:16" ht="285">
      <c r="A2670" s="6" t="s">
        <v>6784</v>
      </c>
      <c r="B2670" s="6" t="s">
        <v>6847</v>
      </c>
      <c r="C2670" s="6"/>
      <c r="D2670" s="6" t="s">
        <v>4017</v>
      </c>
      <c r="E2670" s="6" t="s">
        <v>4018</v>
      </c>
      <c r="F2670" s="7" t="s">
        <v>6577</v>
      </c>
      <c r="G2670" s="6" t="s">
        <v>6252</v>
      </c>
      <c r="H2670" s="6"/>
      <c r="I2670" s="6"/>
      <c r="J2670" s="6"/>
      <c r="K2670" s="6"/>
      <c r="L2670" s="6" t="s">
        <v>4019</v>
      </c>
      <c r="M2670" s="6" t="s">
        <v>4020</v>
      </c>
      <c r="N2670" s="6" t="s">
        <v>4021</v>
      </c>
      <c r="O2670" s="6" t="str">
        <f>HYPERLINK("https://ceds.ed.gov/cedselementdetails.aspx?termid=5159")</f>
        <v>https://ceds.ed.gov/cedselementdetails.aspx?termid=5159</v>
      </c>
      <c r="P2670" s="6" t="str">
        <f>HYPERLINK("https://ceds.ed.gov/elementComment.aspx?elementName=Local Education Agency Identification System &amp;elementID=5159", "Click here to submit comment")</f>
        <v>Click here to submit comment</v>
      </c>
    </row>
    <row r="2671" spans="1:16" ht="360">
      <c r="A2671" s="6" t="s">
        <v>6784</v>
      </c>
      <c r="B2671" s="6" t="s">
        <v>6847</v>
      </c>
      <c r="C2671" s="6"/>
      <c r="D2671" s="6" t="s">
        <v>5221</v>
      </c>
      <c r="E2671" s="6" t="s">
        <v>265</v>
      </c>
      <c r="F2671" s="7" t="s">
        <v>6645</v>
      </c>
      <c r="G2671" s="6" t="s">
        <v>6308</v>
      </c>
      <c r="H2671" s="6"/>
      <c r="I2671" s="6"/>
      <c r="J2671" s="6"/>
      <c r="K2671" s="6"/>
      <c r="L2671" s="6" t="s">
        <v>5222</v>
      </c>
      <c r="M2671" s="6"/>
      <c r="N2671" s="6" t="s">
        <v>5223</v>
      </c>
      <c r="O2671" s="6" t="str">
        <f>HYPERLINK("https://ceds.ed.gov/cedselementdetails.aspx?termid=5161")</f>
        <v>https://ceds.ed.gov/cedselementdetails.aspx?termid=5161</v>
      </c>
      <c r="P2671" s="6" t="str">
        <f>HYPERLINK("https://ceds.ed.gov/elementComment.aspx?elementName=School Identification System &amp;elementID=5161", "Click here to submit comment")</f>
        <v>Click here to submit comment</v>
      </c>
    </row>
    <row r="2672" spans="1:16" ht="315">
      <c r="A2672" s="6" t="s">
        <v>6784</v>
      </c>
      <c r="B2672" s="6" t="s">
        <v>6847</v>
      </c>
      <c r="C2672" s="6"/>
      <c r="D2672" s="6" t="s">
        <v>1186</v>
      </c>
      <c r="E2672" s="6" t="s">
        <v>1187</v>
      </c>
      <c r="F2672" s="7" t="s">
        <v>6402</v>
      </c>
      <c r="G2672" s="6" t="s">
        <v>6052</v>
      </c>
      <c r="H2672" s="6"/>
      <c r="I2672" s="6"/>
      <c r="J2672" s="6"/>
      <c r="K2672" s="6" t="s">
        <v>1188</v>
      </c>
      <c r="L2672" s="6" t="s">
        <v>1189</v>
      </c>
      <c r="M2672" s="6"/>
      <c r="N2672" s="6" t="s">
        <v>1190</v>
      </c>
      <c r="O2672" s="6" t="str">
        <f>HYPERLINK("https://ceds.ed.gov/cedselementdetails.aspx?termid=5531")</f>
        <v>https://ceds.ed.gov/cedselementdetails.aspx?termid=5531</v>
      </c>
      <c r="P2672" s="6" t="str">
        <f>HYPERLINK("https://ceds.ed.gov/elementComment.aspx?elementName=Assessment Registration Reason Not Completing &amp;elementID=5531", "Click here to submit comment")</f>
        <v>Click here to submit comment</v>
      </c>
    </row>
    <row r="2673" spans="1:16" ht="45">
      <c r="A2673" s="6" t="s">
        <v>6784</v>
      </c>
      <c r="B2673" s="6" t="s">
        <v>6847</v>
      </c>
      <c r="C2673" s="6"/>
      <c r="D2673" s="6" t="s">
        <v>1161</v>
      </c>
      <c r="E2673" s="6" t="s">
        <v>1162</v>
      </c>
      <c r="F2673" s="6" t="s">
        <v>13</v>
      </c>
      <c r="G2673" s="6"/>
      <c r="H2673" s="6"/>
      <c r="I2673" s="6" t="s">
        <v>100</v>
      </c>
      <c r="J2673" s="6"/>
      <c r="K2673" s="6" t="s">
        <v>1163</v>
      </c>
      <c r="L2673" s="6" t="s">
        <v>1164</v>
      </c>
      <c r="M2673" s="6"/>
      <c r="N2673" s="6" t="s">
        <v>1165</v>
      </c>
      <c r="O2673" s="6" t="str">
        <f>HYPERLINK("https://ceds.ed.gov/cedselementdetails.aspx?termid=5889")</f>
        <v>https://ceds.ed.gov/cedselementdetails.aspx?termid=5889</v>
      </c>
      <c r="P2673" s="6" t="str">
        <f>HYPERLINK("https://ceds.ed.gov/elementComment.aspx?elementName=Assessment Registration Assignor Identifier &amp;elementID=5889", "Click here to submit comment")</f>
        <v>Click here to submit comment</v>
      </c>
    </row>
    <row r="2674" spans="1:16" ht="45">
      <c r="A2674" s="6" t="s">
        <v>6784</v>
      </c>
      <c r="B2674" s="6" t="s">
        <v>6847</v>
      </c>
      <c r="C2674" s="6"/>
      <c r="D2674" s="6" t="s">
        <v>1171</v>
      </c>
      <c r="E2674" s="6" t="s">
        <v>1172</v>
      </c>
      <c r="F2674" s="6" t="s">
        <v>13</v>
      </c>
      <c r="G2674" s="6"/>
      <c r="H2674" s="6"/>
      <c r="I2674" s="6" t="s">
        <v>1173</v>
      </c>
      <c r="J2674" s="6"/>
      <c r="K2674" s="6"/>
      <c r="L2674" s="6" t="s">
        <v>1174</v>
      </c>
      <c r="M2674" s="6"/>
      <c r="N2674" s="6" t="s">
        <v>1175</v>
      </c>
      <c r="O2674" s="6" t="str">
        <f>HYPERLINK("https://ceds.ed.gov/cedselementdetails.aspx?termid=6017")</f>
        <v>https://ceds.ed.gov/cedselementdetails.aspx?termid=6017</v>
      </c>
      <c r="P2674" s="6" t="str">
        <f>HYPERLINK("https://ceds.ed.gov/elementComment.aspx?elementName=Assessment Registration Days of Instruction &amp;elementID=6017", "Click here to submit comment")</f>
        <v>Click here to submit comment</v>
      </c>
    </row>
    <row r="2675" spans="1:16" ht="75">
      <c r="A2675" s="6" t="s">
        <v>6784</v>
      </c>
      <c r="B2675" s="6" t="s">
        <v>6847</v>
      </c>
      <c r="C2675" s="6"/>
      <c r="D2675" s="6" t="s">
        <v>1191</v>
      </c>
      <c r="E2675" s="6" t="s">
        <v>1192</v>
      </c>
      <c r="F2675" s="6" t="s">
        <v>5963</v>
      </c>
      <c r="G2675" s="6"/>
      <c r="H2675" s="6"/>
      <c r="I2675" s="6"/>
      <c r="J2675" s="6"/>
      <c r="K2675" s="6"/>
      <c r="L2675" s="6" t="s">
        <v>1193</v>
      </c>
      <c r="M2675" s="6"/>
      <c r="N2675" s="6" t="s">
        <v>1194</v>
      </c>
      <c r="O2675" s="6" t="str">
        <f>HYPERLINK("https://ceds.ed.gov/cedselementdetails.aspx?termid=6018")</f>
        <v>https://ceds.ed.gov/cedselementdetails.aspx?termid=6018</v>
      </c>
      <c r="P2675" s="6" t="str">
        <f>HYPERLINK("https://ceds.ed.gov/elementComment.aspx?elementName=Assessment Registration Retest Indicator &amp;elementID=6018", "Click here to submit comment")</f>
        <v>Click here to submit comment</v>
      </c>
    </row>
    <row r="2676" spans="1:16" ht="45">
      <c r="A2676" s="6" t="s">
        <v>6784</v>
      </c>
      <c r="B2676" s="6" t="s">
        <v>6847</v>
      </c>
      <c r="C2676" s="6"/>
      <c r="D2676" s="6" t="s">
        <v>1166</v>
      </c>
      <c r="E2676" s="6" t="s">
        <v>1167</v>
      </c>
      <c r="F2676" s="6" t="s">
        <v>13</v>
      </c>
      <c r="G2676" s="6"/>
      <c r="H2676" s="6"/>
      <c r="I2676" s="6" t="s">
        <v>1168</v>
      </c>
      <c r="J2676" s="6"/>
      <c r="K2676" s="6"/>
      <c r="L2676" s="6" t="s">
        <v>1169</v>
      </c>
      <c r="M2676" s="6"/>
      <c r="N2676" s="6" t="s">
        <v>1170</v>
      </c>
      <c r="O2676" s="6" t="str">
        <f>HYPERLINK("https://ceds.ed.gov/cedselementdetails.aspx?termid=6019")</f>
        <v>https://ceds.ed.gov/cedselementdetails.aspx?termid=6019</v>
      </c>
      <c r="P2676" s="6" t="str">
        <f>HYPERLINK("https://ceds.ed.gov/elementComment.aspx?elementName=Assessment Registration Creation Date &amp;elementID=6019", "Click here to submit comment")</f>
        <v>Click here to submit comment</v>
      </c>
    </row>
    <row r="2677" spans="1:16" ht="75">
      <c r="A2677" s="6" t="s">
        <v>6784</v>
      </c>
      <c r="B2677" s="6" t="s">
        <v>6847</v>
      </c>
      <c r="C2677" s="6"/>
      <c r="D2677" s="6" t="s">
        <v>1204</v>
      </c>
      <c r="E2677" s="6" t="s">
        <v>1205</v>
      </c>
      <c r="F2677" s="6" t="s">
        <v>13</v>
      </c>
      <c r="G2677" s="6"/>
      <c r="H2677" s="6"/>
      <c r="I2677" s="6" t="s">
        <v>93</v>
      </c>
      <c r="J2677" s="6"/>
      <c r="K2677" s="6" t="s">
        <v>1206</v>
      </c>
      <c r="L2677" s="6" t="s">
        <v>1207</v>
      </c>
      <c r="M2677" s="6"/>
      <c r="N2677" s="6" t="s">
        <v>1208</v>
      </c>
      <c r="O2677" s="6" t="str">
        <f>HYPERLINK("https://ceds.ed.gov/cedselementdetails.aspx?termid=6061")</f>
        <v>https://ceds.ed.gov/cedselementdetails.aspx?termid=6061</v>
      </c>
      <c r="P2677" s="6" t="str">
        <f>HYPERLINK("https://ceds.ed.gov/elementComment.aspx?elementName=Assessment Registration Testing Indicator &amp;elementID=6061", "Click here to submit comment")</f>
        <v>Click here to submit comment</v>
      </c>
    </row>
    <row r="2678" spans="1:16" ht="135">
      <c r="A2678" s="6" t="s">
        <v>6784</v>
      </c>
      <c r="B2678" s="6" t="s">
        <v>6847</v>
      </c>
      <c r="C2678" s="6"/>
      <c r="D2678" s="6" t="s">
        <v>1195</v>
      </c>
      <c r="E2678" s="6" t="s">
        <v>1196</v>
      </c>
      <c r="F2678" s="6" t="s">
        <v>13</v>
      </c>
      <c r="G2678" s="6"/>
      <c r="H2678" s="6"/>
      <c r="I2678" s="6" t="s">
        <v>73</v>
      </c>
      <c r="J2678" s="6"/>
      <c r="K2678" s="6"/>
      <c r="L2678" s="6" t="s">
        <v>1197</v>
      </c>
      <c r="M2678" s="6"/>
      <c r="N2678" s="6" t="s">
        <v>1198</v>
      </c>
      <c r="O2678" s="6" t="str">
        <f>HYPERLINK("https://ceds.ed.gov/cedselementdetails.aspx?termid=6062")</f>
        <v>https://ceds.ed.gov/cedselementdetails.aspx?termid=6062</v>
      </c>
      <c r="P2678" s="6" t="str">
        <f>HYPERLINK("https://ceds.ed.gov/elementComment.aspx?elementName=Assessment Registration Score Publish Date &amp;elementID=6062", "Click here to submit comment")</f>
        <v>Click here to submit comment</v>
      </c>
    </row>
    <row r="2679" spans="1:16" ht="409.5">
      <c r="A2679" s="6" t="s">
        <v>6784</v>
      </c>
      <c r="B2679" s="6" t="s">
        <v>6847</v>
      </c>
      <c r="C2679" s="6"/>
      <c r="D2679" s="6" t="s">
        <v>1176</v>
      </c>
      <c r="E2679" s="6" t="s">
        <v>1177</v>
      </c>
      <c r="F2679" s="7" t="s">
        <v>6400</v>
      </c>
      <c r="G2679" s="6"/>
      <c r="H2679" s="6" t="s">
        <v>66</v>
      </c>
      <c r="I2679" s="6"/>
      <c r="J2679" s="6" t="s">
        <v>1178</v>
      </c>
      <c r="K2679" s="6" t="s">
        <v>1179</v>
      </c>
      <c r="L2679" s="6" t="s">
        <v>1180</v>
      </c>
      <c r="M2679" s="6"/>
      <c r="N2679" s="6" t="s">
        <v>1181</v>
      </c>
      <c r="O2679" s="6" t="str">
        <f>HYPERLINK("https://ceds.ed.gov/cedselementdetails.aspx?termid=6063")</f>
        <v>https://ceds.ed.gov/cedselementdetails.aspx?termid=6063</v>
      </c>
      <c r="P2679" s="6" t="str">
        <f>HYPERLINK("https://ceds.ed.gov/elementComment.aspx?elementName=Assessment Registration Grade Level To Be Assessed &amp;elementID=6063", "Click here to submit comment")</f>
        <v>Click here to submit comment</v>
      </c>
    </row>
    <row r="2680" spans="1:16" ht="45">
      <c r="A2680" s="6" t="s">
        <v>6784</v>
      </c>
      <c r="B2680" s="6" t="s">
        <v>6847</v>
      </c>
      <c r="C2680" s="6"/>
      <c r="D2680" s="6" t="s">
        <v>403</v>
      </c>
      <c r="E2680" s="6" t="s">
        <v>404</v>
      </c>
      <c r="F2680" s="6" t="s">
        <v>13</v>
      </c>
      <c r="G2680" s="6"/>
      <c r="H2680" s="6"/>
      <c r="I2680" s="6" t="s">
        <v>100</v>
      </c>
      <c r="J2680" s="6"/>
      <c r="K2680" s="6"/>
      <c r="L2680" s="6" t="s">
        <v>405</v>
      </c>
      <c r="M2680" s="6"/>
      <c r="N2680" s="6" t="s">
        <v>406</v>
      </c>
      <c r="O2680" s="6" t="str">
        <f>HYPERLINK("https://ceds.ed.gov/cedselementdetails.aspx?termid=6116")</f>
        <v>https://ceds.ed.gov/cedselementdetails.aspx?termid=6116</v>
      </c>
      <c r="P2680" s="6" t="str">
        <f>HYPERLINK("https://ceds.ed.gov/elementComment.aspx?elementName=Assessment Accommodation Other Description &amp;elementID=6116", "Click here to submit comment")</f>
        <v>Click here to submit comment</v>
      </c>
    </row>
    <row r="2681" spans="1:16" ht="75">
      <c r="A2681" s="6" t="s">
        <v>6784</v>
      </c>
      <c r="B2681" s="6" t="s">
        <v>6847</v>
      </c>
      <c r="C2681" s="6"/>
      <c r="D2681" s="6" t="s">
        <v>1199</v>
      </c>
      <c r="E2681" s="6" t="s">
        <v>1200</v>
      </c>
      <c r="F2681" s="6" t="s">
        <v>13</v>
      </c>
      <c r="G2681" s="6"/>
      <c r="H2681" s="6"/>
      <c r="I2681" s="6" t="s">
        <v>100</v>
      </c>
      <c r="J2681" s="6"/>
      <c r="K2681" s="6" t="s">
        <v>1201</v>
      </c>
      <c r="L2681" s="6" t="s">
        <v>1202</v>
      </c>
      <c r="M2681" s="6"/>
      <c r="N2681" s="6" t="s">
        <v>1203</v>
      </c>
      <c r="O2681" s="6" t="str">
        <f>HYPERLINK("https://ceds.ed.gov/cedselementdetails.aspx?termid=6119")</f>
        <v>https://ceds.ed.gov/cedselementdetails.aspx?termid=6119</v>
      </c>
      <c r="P2681" s="6" t="str">
        <f>HYPERLINK("https://ceds.ed.gov/elementComment.aspx?elementName=Assessment Registration Test Attempt Identifier &amp;elementID=6119", "Click here to submit comment")</f>
        <v>Click here to submit comment</v>
      </c>
    </row>
    <row r="2682" spans="1:16" ht="165">
      <c r="A2682" s="6" t="s">
        <v>6784</v>
      </c>
      <c r="B2682" s="6" t="s">
        <v>6847</v>
      </c>
      <c r="C2682" s="6"/>
      <c r="D2682" s="6" t="s">
        <v>4975</v>
      </c>
      <c r="E2682" s="6" t="s">
        <v>4976</v>
      </c>
      <c r="F2682" s="7" t="s">
        <v>6636</v>
      </c>
      <c r="G2682" s="6"/>
      <c r="H2682" s="6"/>
      <c r="I2682" s="6"/>
      <c r="J2682" s="6"/>
      <c r="K2682" s="6"/>
      <c r="L2682" s="6" t="s">
        <v>4977</v>
      </c>
      <c r="M2682" s="6"/>
      <c r="N2682" s="6" t="s">
        <v>4978</v>
      </c>
      <c r="O2682" s="6" t="str">
        <f>HYPERLINK("https://ceds.ed.gov/cedselementdetails.aspx?termid=5228")</f>
        <v>https://ceds.ed.gov/cedselementdetails.aspx?termid=5228</v>
      </c>
      <c r="P2682" s="6" t="str">
        <f>HYPERLINK("https://ceds.ed.gov/elementComment.aspx?elementName=Reason Not Tested &amp;elementID=5228", "Click here to submit comment")</f>
        <v>Click here to submit comment</v>
      </c>
    </row>
    <row r="2683" spans="1:16" ht="165">
      <c r="A2683" s="6" t="s">
        <v>6784</v>
      </c>
      <c r="B2683" s="6" t="s">
        <v>6786</v>
      </c>
      <c r="C2683" s="6"/>
      <c r="D2683" s="6" t="s">
        <v>590</v>
      </c>
      <c r="E2683" s="6" t="s">
        <v>591</v>
      </c>
      <c r="F2683" s="6" t="s">
        <v>13</v>
      </c>
      <c r="G2683" s="6" t="s">
        <v>6015</v>
      </c>
      <c r="H2683" s="6"/>
      <c r="I2683" s="6" t="s">
        <v>100</v>
      </c>
      <c r="J2683" s="6"/>
      <c r="K2683" s="6"/>
      <c r="L2683" s="6" t="s">
        <v>592</v>
      </c>
      <c r="M2683" s="6"/>
      <c r="N2683" s="6" t="s">
        <v>593</v>
      </c>
      <c r="O2683" s="6" t="str">
        <f>HYPERLINK("https://ceds.ed.gov/cedselementdetails.aspx?termid=5152")</f>
        <v>https://ceds.ed.gov/cedselementdetails.aspx?termid=5152</v>
      </c>
      <c r="P2683" s="6" t="str">
        <f>HYPERLINK("https://ceds.ed.gov/elementComment.aspx?elementName=Assessment Identifier &amp;elementID=5152", "Click here to submit comment")</f>
        <v>Click here to submit comment</v>
      </c>
    </row>
    <row r="2684" spans="1:16" ht="240">
      <c r="A2684" s="6" t="s">
        <v>6784</v>
      </c>
      <c r="B2684" s="6" t="s">
        <v>6786</v>
      </c>
      <c r="C2684" s="6"/>
      <c r="D2684" s="6" t="s">
        <v>586</v>
      </c>
      <c r="E2684" s="6" t="s">
        <v>587</v>
      </c>
      <c r="F2684" s="7" t="s">
        <v>6382</v>
      </c>
      <c r="G2684" s="6" t="s">
        <v>6013</v>
      </c>
      <c r="H2684" s="6"/>
      <c r="I2684" s="6"/>
      <c r="J2684" s="6"/>
      <c r="K2684" s="6"/>
      <c r="L2684" s="6" t="s">
        <v>588</v>
      </c>
      <c r="M2684" s="6"/>
      <c r="N2684" s="6" t="s">
        <v>589</v>
      </c>
      <c r="O2684" s="6" t="str">
        <f>HYPERLINK("https://ceds.ed.gov/cedselementdetails.aspx?termid=5158")</f>
        <v>https://ceds.ed.gov/cedselementdetails.aspx?termid=5158</v>
      </c>
      <c r="P2684" s="6" t="str">
        <f>HYPERLINK("https://ceds.ed.gov/elementComment.aspx?elementName=Assessment Identification System &amp;elementID=5158", "Click here to submit comment")</f>
        <v>Click here to submit comment</v>
      </c>
    </row>
    <row r="2685" spans="1:16" ht="45">
      <c r="A2685" s="6" t="s">
        <v>6784</v>
      </c>
      <c r="B2685" s="6" t="s">
        <v>6786</v>
      </c>
      <c r="C2685" s="6"/>
      <c r="D2685" s="6" t="s">
        <v>429</v>
      </c>
      <c r="E2685" s="6" t="s">
        <v>430</v>
      </c>
      <c r="F2685" s="6" t="s">
        <v>13</v>
      </c>
      <c r="G2685" s="6"/>
      <c r="H2685" s="6"/>
      <c r="I2685" s="6" t="s">
        <v>100</v>
      </c>
      <c r="J2685" s="6"/>
      <c r="K2685" s="6"/>
      <c r="L2685" s="6" t="s">
        <v>431</v>
      </c>
      <c r="M2685" s="6"/>
      <c r="N2685" s="6" t="s">
        <v>432</v>
      </c>
      <c r="O2685" s="6" t="str">
        <f>HYPERLINK("https://ceds.ed.gov/cedselementdetails.aspx?termid=5978")</f>
        <v>https://ceds.ed.gov/cedselementdetails.aspx?termid=5978</v>
      </c>
      <c r="P2685" s="6" t="str">
        <f>HYPERLINK("https://ceds.ed.gov/elementComment.aspx?elementName=Assessment Administration Name &amp;elementID=5978", "Click here to submit comment")</f>
        <v>Click here to submit comment</v>
      </c>
    </row>
    <row r="2686" spans="1:16" ht="60">
      <c r="A2686" s="6" t="s">
        <v>6784</v>
      </c>
      <c r="B2686" s="6" t="s">
        <v>6786</v>
      </c>
      <c r="C2686" s="6"/>
      <c r="D2686" s="6" t="s">
        <v>433</v>
      </c>
      <c r="E2686" s="6" t="s">
        <v>434</v>
      </c>
      <c r="F2686" s="6" t="s">
        <v>13</v>
      </c>
      <c r="G2686" s="6"/>
      <c r="H2686" s="6"/>
      <c r="I2686" s="6" t="s">
        <v>106</v>
      </c>
      <c r="J2686" s="6"/>
      <c r="K2686" s="6"/>
      <c r="L2686" s="6" t="s">
        <v>435</v>
      </c>
      <c r="M2686" s="6"/>
      <c r="N2686" s="6" t="s">
        <v>436</v>
      </c>
      <c r="O2686" s="6" t="str">
        <f>HYPERLINK("https://ceds.ed.gov/cedselementdetails.aspx?termid=5967")</f>
        <v>https://ceds.ed.gov/cedselementdetails.aspx?termid=5967</v>
      </c>
      <c r="P2686" s="6" t="str">
        <f>HYPERLINK("https://ceds.ed.gov/elementComment.aspx?elementName=Assessment Administration Organization Name &amp;elementID=5967", "Click here to submit comment")</f>
        <v>Click here to submit comment</v>
      </c>
    </row>
    <row r="2687" spans="1:16" ht="45">
      <c r="A2687" s="6" t="s">
        <v>6784</v>
      </c>
      <c r="B2687" s="6" t="s">
        <v>6786</v>
      </c>
      <c r="C2687" s="6"/>
      <c r="D2687" s="6" t="s">
        <v>416</v>
      </c>
      <c r="E2687" s="6" t="s">
        <v>417</v>
      </c>
      <c r="F2687" s="6" t="s">
        <v>13</v>
      </c>
      <c r="G2687" s="6"/>
      <c r="H2687" s="6"/>
      <c r="I2687" s="6" t="s">
        <v>100</v>
      </c>
      <c r="J2687" s="6"/>
      <c r="K2687" s="6"/>
      <c r="L2687" s="6" t="s">
        <v>418</v>
      </c>
      <c r="M2687" s="6"/>
      <c r="N2687" s="6" t="s">
        <v>419</v>
      </c>
      <c r="O2687" s="6" t="str">
        <f>HYPERLINK("https://ceds.ed.gov/cedselementdetails.aspx?termid=5962")</f>
        <v>https://ceds.ed.gov/cedselementdetails.aspx?termid=5962</v>
      </c>
      <c r="P2687" s="6" t="str">
        <f>HYPERLINK("https://ceds.ed.gov/elementComment.aspx?elementName=Assessment Administration Code &amp;elementID=5962", "Click here to submit comment")</f>
        <v>Click here to submit comment</v>
      </c>
    </row>
    <row r="2688" spans="1:16" ht="45">
      <c r="A2688" s="6" t="s">
        <v>6784</v>
      </c>
      <c r="B2688" s="6" t="s">
        <v>6786</v>
      </c>
      <c r="C2688" s="6"/>
      <c r="D2688" s="6" t="s">
        <v>437</v>
      </c>
      <c r="E2688" s="6" t="s">
        <v>438</v>
      </c>
      <c r="F2688" s="6" t="s">
        <v>13</v>
      </c>
      <c r="G2688" s="6"/>
      <c r="H2688" s="6"/>
      <c r="I2688" s="6" t="s">
        <v>73</v>
      </c>
      <c r="J2688" s="6"/>
      <c r="K2688" s="6"/>
      <c r="L2688" s="6" t="s">
        <v>439</v>
      </c>
      <c r="M2688" s="6"/>
      <c r="N2688" s="6" t="s">
        <v>440</v>
      </c>
      <c r="O2688" s="6" t="str">
        <f>HYPERLINK("https://ceds.ed.gov/cedselementdetails.aspx?termid=5963")</f>
        <v>https://ceds.ed.gov/cedselementdetails.aspx?termid=5963</v>
      </c>
      <c r="P2688" s="6" t="str">
        <f>HYPERLINK("https://ceds.ed.gov/elementComment.aspx?elementName=Assessment Administration Start Date &amp;elementID=5963", "Click here to submit comment")</f>
        <v>Click here to submit comment</v>
      </c>
    </row>
    <row r="2689" spans="1:16" ht="45">
      <c r="A2689" s="6" t="s">
        <v>6784</v>
      </c>
      <c r="B2689" s="6" t="s">
        <v>6786</v>
      </c>
      <c r="C2689" s="6"/>
      <c r="D2689" s="6" t="s">
        <v>441</v>
      </c>
      <c r="E2689" s="6" t="s">
        <v>442</v>
      </c>
      <c r="F2689" s="6" t="s">
        <v>13</v>
      </c>
      <c r="G2689" s="6"/>
      <c r="H2689" s="6"/>
      <c r="I2689" s="6" t="s">
        <v>426</v>
      </c>
      <c r="J2689" s="6"/>
      <c r="K2689" s="6"/>
      <c r="L2689" s="6" t="s">
        <v>443</v>
      </c>
      <c r="M2689" s="6"/>
      <c r="N2689" s="6" t="s">
        <v>444</v>
      </c>
      <c r="O2689" s="6" t="str">
        <f>HYPERLINK("https://ceds.ed.gov/cedselementdetails.aspx?termid=5964")</f>
        <v>https://ceds.ed.gov/cedselementdetails.aspx?termid=5964</v>
      </c>
      <c r="P2689" s="6" t="str">
        <f>HYPERLINK("https://ceds.ed.gov/elementComment.aspx?elementName=Assessment Administration Start Time &amp;elementID=5964", "Click here to submit comment")</f>
        <v>Click here to submit comment</v>
      </c>
    </row>
    <row r="2690" spans="1:16" ht="45">
      <c r="A2690" s="6" t="s">
        <v>6784</v>
      </c>
      <c r="B2690" s="6" t="s">
        <v>6786</v>
      </c>
      <c r="C2690" s="6"/>
      <c r="D2690" s="6" t="s">
        <v>420</v>
      </c>
      <c r="E2690" s="6" t="s">
        <v>421</v>
      </c>
      <c r="F2690" s="6" t="s">
        <v>13</v>
      </c>
      <c r="G2690" s="6"/>
      <c r="H2690" s="6"/>
      <c r="I2690" s="6" t="s">
        <v>73</v>
      </c>
      <c r="J2690" s="6"/>
      <c r="K2690" s="6"/>
      <c r="L2690" s="6" t="s">
        <v>422</v>
      </c>
      <c r="M2690" s="6"/>
      <c r="N2690" s="6" t="s">
        <v>423</v>
      </c>
      <c r="O2690" s="6" t="str">
        <f>HYPERLINK("https://ceds.ed.gov/cedselementdetails.aspx?termid=5965")</f>
        <v>https://ceds.ed.gov/cedselementdetails.aspx?termid=5965</v>
      </c>
      <c r="P2690" s="6" t="str">
        <f>HYPERLINK("https://ceds.ed.gov/elementComment.aspx?elementName=Assessment Administration Finish Date &amp;elementID=5965", "Click here to submit comment")</f>
        <v>Click here to submit comment</v>
      </c>
    </row>
    <row r="2691" spans="1:16" ht="45">
      <c r="A2691" s="6" t="s">
        <v>6784</v>
      </c>
      <c r="B2691" s="6" t="s">
        <v>6786</v>
      </c>
      <c r="C2691" s="6"/>
      <c r="D2691" s="6" t="s">
        <v>424</v>
      </c>
      <c r="E2691" s="6" t="s">
        <v>425</v>
      </c>
      <c r="F2691" s="6" t="s">
        <v>13</v>
      </c>
      <c r="G2691" s="6"/>
      <c r="H2691" s="6"/>
      <c r="I2691" s="6" t="s">
        <v>426</v>
      </c>
      <c r="J2691" s="6"/>
      <c r="K2691" s="6"/>
      <c r="L2691" s="6" t="s">
        <v>427</v>
      </c>
      <c r="M2691" s="6"/>
      <c r="N2691" s="6" t="s">
        <v>428</v>
      </c>
      <c r="O2691" s="6" t="str">
        <f>HYPERLINK("https://ceds.ed.gov/cedselementdetails.aspx?termid=5966")</f>
        <v>https://ceds.ed.gov/cedselementdetails.aspx?termid=5966</v>
      </c>
      <c r="P2691" s="6" t="str">
        <f>HYPERLINK("https://ceds.ed.gov/elementComment.aspx?elementName=Assessment Administration Finish Time &amp;elementID=5966", "Click here to submit comment")</f>
        <v>Click here to submit comment</v>
      </c>
    </row>
    <row r="2692" spans="1:16" ht="45">
      <c r="A2692" s="6" t="s">
        <v>6784</v>
      </c>
      <c r="B2692" s="6" t="s">
        <v>6786</v>
      </c>
      <c r="C2692" s="6"/>
      <c r="D2692" s="6" t="s">
        <v>1224</v>
      </c>
      <c r="E2692" s="6" t="s">
        <v>1225</v>
      </c>
      <c r="F2692" s="6" t="s">
        <v>5963</v>
      </c>
      <c r="G2692" s="6" t="s">
        <v>5992</v>
      </c>
      <c r="H2692" s="6" t="s">
        <v>3</v>
      </c>
      <c r="I2692" s="6"/>
      <c r="J2692" s="6"/>
      <c r="K2692" s="6"/>
      <c r="L2692" s="6" t="s">
        <v>1226</v>
      </c>
      <c r="M2692" s="6"/>
      <c r="N2692" s="6" t="s">
        <v>1227</v>
      </c>
      <c r="O2692" s="6" t="str">
        <f>HYPERLINK("https://ceds.ed.gov/cedselementdetails.aspx?termid=5375")</f>
        <v>https://ceds.ed.gov/cedselementdetails.aspx?termid=5375</v>
      </c>
      <c r="P2692" s="6" t="str">
        <f>HYPERLINK("https://ceds.ed.gov/elementComment.aspx?elementName=Assessment Secure Indicator &amp;elementID=5375", "Click here to submit comment")</f>
        <v>Click here to submit comment</v>
      </c>
    </row>
    <row r="2693" spans="1:16" ht="285">
      <c r="A2693" s="6" t="s">
        <v>6784</v>
      </c>
      <c r="B2693" s="6" t="s">
        <v>6786</v>
      </c>
      <c r="C2693" s="6"/>
      <c r="D2693" s="6" t="s">
        <v>4017</v>
      </c>
      <c r="E2693" s="6" t="s">
        <v>4018</v>
      </c>
      <c r="F2693" s="7" t="s">
        <v>6577</v>
      </c>
      <c r="G2693" s="6" t="s">
        <v>6252</v>
      </c>
      <c r="H2693" s="6"/>
      <c r="I2693" s="6"/>
      <c r="J2693" s="6"/>
      <c r="K2693" s="6"/>
      <c r="L2693" s="6" t="s">
        <v>4019</v>
      </c>
      <c r="M2693" s="6" t="s">
        <v>4020</v>
      </c>
      <c r="N2693" s="6" t="s">
        <v>4021</v>
      </c>
      <c r="O2693" s="6" t="str">
        <f>HYPERLINK("https://ceds.ed.gov/cedselementdetails.aspx?termid=5159")</f>
        <v>https://ceds.ed.gov/cedselementdetails.aspx?termid=5159</v>
      </c>
      <c r="P2693" s="6" t="str">
        <f>HYPERLINK("https://ceds.ed.gov/elementComment.aspx?elementName=Local Education Agency Identification System &amp;elementID=5159", "Click here to submit comment")</f>
        <v>Click here to submit comment</v>
      </c>
    </row>
    <row r="2694" spans="1:16" ht="120">
      <c r="A2694" s="6" t="s">
        <v>6784</v>
      </c>
      <c r="B2694" s="6" t="s">
        <v>6786</v>
      </c>
      <c r="C2694" s="6"/>
      <c r="D2694" s="6" t="s">
        <v>4022</v>
      </c>
      <c r="E2694" s="6" t="s">
        <v>4023</v>
      </c>
      <c r="F2694" s="6" t="s">
        <v>13</v>
      </c>
      <c r="G2694" s="6" t="s">
        <v>6252</v>
      </c>
      <c r="H2694" s="6"/>
      <c r="I2694" s="6" t="s">
        <v>100</v>
      </c>
      <c r="J2694" s="6"/>
      <c r="K2694" s="6"/>
      <c r="L2694" s="6" t="s">
        <v>4024</v>
      </c>
      <c r="M2694" s="6" t="s">
        <v>4025</v>
      </c>
      <c r="N2694" s="6" t="s">
        <v>4026</v>
      </c>
      <c r="O2694" s="6" t="str">
        <f>HYPERLINK("https://ceds.ed.gov/cedselementdetails.aspx?termid=5153")</f>
        <v>https://ceds.ed.gov/cedselementdetails.aspx?termid=5153</v>
      </c>
      <c r="P2694" s="6" t="str">
        <f>HYPERLINK("https://ceds.ed.gov/elementComment.aspx?elementName=Local Education Agency Identifier &amp;elementID=5153", "Click here to submit comment")</f>
        <v>Click here to submit comment</v>
      </c>
    </row>
    <row r="2695" spans="1:16" ht="360">
      <c r="A2695" s="6" t="s">
        <v>6784</v>
      </c>
      <c r="B2695" s="6" t="s">
        <v>6786</v>
      </c>
      <c r="C2695" s="6"/>
      <c r="D2695" s="6" t="s">
        <v>5221</v>
      </c>
      <c r="E2695" s="6" t="s">
        <v>265</v>
      </c>
      <c r="F2695" s="7" t="s">
        <v>6645</v>
      </c>
      <c r="G2695" s="6" t="s">
        <v>6308</v>
      </c>
      <c r="H2695" s="6"/>
      <c r="I2695" s="6"/>
      <c r="J2695" s="6"/>
      <c r="K2695" s="6"/>
      <c r="L2695" s="6" t="s">
        <v>5222</v>
      </c>
      <c r="M2695" s="6"/>
      <c r="N2695" s="6" t="s">
        <v>5223</v>
      </c>
      <c r="O2695" s="6" t="str">
        <f>HYPERLINK("https://ceds.ed.gov/cedselementdetails.aspx?termid=5161")</f>
        <v>https://ceds.ed.gov/cedselementdetails.aspx?termid=5161</v>
      </c>
      <c r="P2695" s="6" t="str">
        <f>HYPERLINK("https://ceds.ed.gov/elementComment.aspx?elementName=School Identification System &amp;elementID=5161", "Click here to submit comment")</f>
        <v>Click here to submit comment</v>
      </c>
    </row>
    <row r="2696" spans="1:16" ht="165">
      <c r="A2696" s="6" t="s">
        <v>6784</v>
      </c>
      <c r="B2696" s="6" t="s">
        <v>6786</v>
      </c>
      <c r="C2696" s="6"/>
      <c r="D2696" s="6" t="s">
        <v>5224</v>
      </c>
      <c r="E2696" s="6" t="s">
        <v>269</v>
      </c>
      <c r="F2696" s="6" t="s">
        <v>13</v>
      </c>
      <c r="G2696" s="6" t="s">
        <v>6308</v>
      </c>
      <c r="H2696" s="6"/>
      <c r="I2696" s="6" t="s">
        <v>100</v>
      </c>
      <c r="J2696" s="6"/>
      <c r="K2696" s="6"/>
      <c r="L2696" s="6" t="s">
        <v>5225</v>
      </c>
      <c r="M2696" s="6"/>
      <c r="N2696" s="6" t="s">
        <v>5226</v>
      </c>
      <c r="O2696" s="6" t="str">
        <f>HYPERLINK("https://ceds.ed.gov/cedselementdetails.aspx?termid=5155")</f>
        <v>https://ceds.ed.gov/cedselementdetails.aspx?termid=5155</v>
      </c>
      <c r="P2696" s="6" t="str">
        <f>HYPERLINK("https://ceds.ed.gov/elementComment.aspx?elementName=School Identifier &amp;elementID=5155", "Click here to submit comment")</f>
        <v>Click here to submit comment</v>
      </c>
    </row>
    <row r="2697" spans="1:16" ht="75">
      <c r="A2697" s="6" t="s">
        <v>6784</v>
      </c>
      <c r="B2697" s="6" t="s">
        <v>6786</v>
      </c>
      <c r="C2697" s="6"/>
      <c r="D2697" s="6" t="s">
        <v>411</v>
      </c>
      <c r="E2697" s="6" t="s">
        <v>412</v>
      </c>
      <c r="F2697" s="6" t="s">
        <v>13</v>
      </c>
      <c r="G2697" s="6"/>
      <c r="H2697" s="6"/>
      <c r="I2697" s="6" t="s">
        <v>106</v>
      </c>
      <c r="J2697" s="6"/>
      <c r="K2697" s="6" t="s">
        <v>413</v>
      </c>
      <c r="L2697" s="6" t="s">
        <v>414</v>
      </c>
      <c r="M2697" s="6"/>
      <c r="N2697" s="6" t="s">
        <v>415</v>
      </c>
      <c r="O2697" s="6" t="str">
        <f>HYPERLINK("https://ceds.ed.gov/cedselementdetails.aspx?termid=5968")</f>
        <v>https://ceds.ed.gov/cedselementdetails.aspx?termid=5968</v>
      </c>
      <c r="P2697" s="6" t="str">
        <f>HYPERLINK("https://ceds.ed.gov/elementComment.aspx?elementName=Assessment Administration Assessment Family &amp;elementID=5968", "Click here to submit comment")</f>
        <v>Click here to submit comment</v>
      </c>
    </row>
    <row r="2698" spans="1:16" ht="45">
      <c r="A2698" s="6" t="s">
        <v>6784</v>
      </c>
      <c r="B2698" s="6" t="s">
        <v>6848</v>
      </c>
      <c r="C2698" s="6"/>
      <c r="D2698" s="6" t="s">
        <v>1000</v>
      </c>
      <c r="E2698" s="6" t="s">
        <v>1001</v>
      </c>
      <c r="F2698" s="5" t="s">
        <v>939</v>
      </c>
      <c r="G2698" s="6"/>
      <c r="H2698" s="6"/>
      <c r="I2698" s="6"/>
      <c r="J2698" s="6"/>
      <c r="K2698" s="6"/>
      <c r="L2698" s="6" t="s">
        <v>1002</v>
      </c>
      <c r="M2698" s="6"/>
      <c r="N2698" s="6" t="s">
        <v>1003</v>
      </c>
      <c r="O2698" s="6" t="str">
        <f>HYPERLINK("https://ceds.ed.gov/cedselementdetails.aspx?termid=6025")</f>
        <v>https://ceds.ed.gov/cedselementdetails.aspx?termid=6025</v>
      </c>
      <c r="P2698" s="6" t="str">
        <f>HYPERLINK("https://ceds.ed.gov/elementComment.aspx?elementName=Assessment Need Language Type &amp;elementID=6025", "Click here to submit comment")</f>
        <v>Click here to submit comment</v>
      </c>
    </row>
    <row r="2699" spans="1:16" ht="45">
      <c r="A2699" s="6" t="s">
        <v>6784</v>
      </c>
      <c r="B2699" s="6" t="s">
        <v>6848</v>
      </c>
      <c r="C2699" s="6"/>
      <c r="D2699" s="6" t="s">
        <v>1070</v>
      </c>
      <c r="E2699" s="6" t="s">
        <v>1071</v>
      </c>
      <c r="F2699" s="6" t="s">
        <v>13</v>
      </c>
      <c r="G2699" s="6"/>
      <c r="H2699" s="6"/>
      <c r="I2699" s="6" t="s">
        <v>319</v>
      </c>
      <c r="J2699" s="6"/>
      <c r="K2699" s="6"/>
      <c r="L2699" s="6" t="s">
        <v>1072</v>
      </c>
      <c r="M2699" s="6"/>
      <c r="N2699" s="6" t="s">
        <v>1073</v>
      </c>
      <c r="O2699" s="6" t="str">
        <f>HYPERLINK("https://ceds.ed.gov/cedselementdetails.aspx?termid=6101")</f>
        <v>https://ceds.ed.gov/cedselementdetails.aspx?termid=6101</v>
      </c>
      <c r="P2699" s="6" t="str">
        <f>HYPERLINK("https://ceds.ed.gov/elementComment.aspx?elementName=Assessment Need Type &amp;elementID=6101", "Click here to submit comment")</f>
        <v>Click here to submit comment</v>
      </c>
    </row>
    <row r="2700" spans="1:16" ht="60">
      <c r="A2700" s="6" t="s">
        <v>6784</v>
      </c>
      <c r="B2700" s="6" t="s">
        <v>6848</v>
      </c>
      <c r="C2700" s="6"/>
      <c r="D2700" s="6" t="s">
        <v>1142</v>
      </c>
      <c r="E2700" s="6" t="s">
        <v>1143</v>
      </c>
      <c r="F2700" s="6" t="s">
        <v>5963</v>
      </c>
      <c r="G2700" s="6"/>
      <c r="H2700" s="6"/>
      <c r="I2700" s="6"/>
      <c r="J2700" s="6"/>
      <c r="K2700" s="6" t="s">
        <v>1144</v>
      </c>
      <c r="L2700" s="6" t="s">
        <v>1145</v>
      </c>
      <c r="M2700" s="6"/>
      <c r="N2700" s="6" t="s">
        <v>1146</v>
      </c>
      <c r="O2700" s="6" t="str">
        <f>HYPERLINK("https://ceds.ed.gov/cedselementdetails.aspx?termid=6008")</f>
        <v>https://ceds.ed.gov/cedselementdetails.aspx?termid=6008</v>
      </c>
      <c r="P2700" s="6" t="str">
        <f>HYPERLINK("https://ceds.ed.gov/elementComment.aspx?elementName=Assessment Personal Needs Profile Activate By Default &amp;elementID=6008", "Click here to submit comment")</f>
        <v>Click here to submit comment</v>
      </c>
    </row>
    <row r="2701" spans="1:16" ht="60">
      <c r="A2701" s="6" t="s">
        <v>6784</v>
      </c>
      <c r="B2701" s="6" t="s">
        <v>6848</v>
      </c>
      <c r="C2701" s="6"/>
      <c r="D2701" s="6" t="s">
        <v>1147</v>
      </c>
      <c r="E2701" s="6" t="s">
        <v>1148</v>
      </c>
      <c r="F2701" s="6" t="s">
        <v>5963</v>
      </c>
      <c r="G2701" s="6"/>
      <c r="H2701" s="6"/>
      <c r="I2701" s="6"/>
      <c r="J2701" s="6"/>
      <c r="K2701" s="6" t="s">
        <v>1144</v>
      </c>
      <c r="L2701" s="6" t="s">
        <v>1149</v>
      </c>
      <c r="M2701" s="6"/>
      <c r="N2701" s="6" t="s">
        <v>1150</v>
      </c>
      <c r="O2701" s="6" t="str">
        <f>HYPERLINK("https://ceds.ed.gov/cedselementdetails.aspx?termid=6007")</f>
        <v>https://ceds.ed.gov/cedselementdetails.aspx?termid=6007</v>
      </c>
      <c r="P2701" s="6" t="str">
        <f>HYPERLINK("https://ceds.ed.gov/elementComment.aspx?elementName=Assessment Personal Needs Profile Assigned Support &amp;elementID=6007", "Click here to submit comment")</f>
        <v>Click here to submit comment</v>
      </c>
    </row>
    <row r="2702" spans="1:16" ht="90">
      <c r="A2702" s="6" t="s">
        <v>6784</v>
      </c>
      <c r="B2702" s="6" t="s">
        <v>6848</v>
      </c>
      <c r="C2702" s="6" t="s">
        <v>6907</v>
      </c>
      <c r="D2702" s="6" t="s">
        <v>946</v>
      </c>
      <c r="E2702" s="6" t="s">
        <v>947</v>
      </c>
      <c r="F2702" s="6" t="s">
        <v>6031</v>
      </c>
      <c r="G2702" s="6"/>
      <c r="H2702" s="6"/>
      <c r="I2702" s="6"/>
      <c r="J2702" s="6"/>
      <c r="K2702" s="6"/>
      <c r="L2702" s="6" t="s">
        <v>948</v>
      </c>
      <c r="M2702" s="6"/>
      <c r="N2702" s="6" t="s">
        <v>949</v>
      </c>
      <c r="O2702" s="6" t="str">
        <f>HYPERLINK("https://ceds.ed.gov/cedselementdetails.aspx?termid=6045")</f>
        <v>https://ceds.ed.gov/cedselementdetails.aspx?termid=6045</v>
      </c>
      <c r="P2702" s="6" t="str">
        <f>HYPERLINK("https://ceds.ed.gov/elementComment.aspx?elementName=Assessment Need Alternative Representation Type &amp;elementID=6045", "Click here to submit comment")</f>
        <v>Click here to submit comment</v>
      </c>
    </row>
    <row r="2703" spans="1:16" ht="75">
      <c r="A2703" s="6" t="s">
        <v>6784</v>
      </c>
      <c r="B2703" s="6" t="s">
        <v>6848</v>
      </c>
      <c r="C2703" s="6" t="s">
        <v>6907</v>
      </c>
      <c r="D2703" s="6" t="s">
        <v>972</v>
      </c>
      <c r="E2703" s="6" t="s">
        <v>973</v>
      </c>
      <c r="F2703" s="6" t="s">
        <v>5963</v>
      </c>
      <c r="G2703" s="6"/>
      <c r="H2703" s="6"/>
      <c r="I2703" s="6"/>
      <c r="J2703" s="6"/>
      <c r="K2703" s="6"/>
      <c r="L2703" s="6" t="s">
        <v>974</v>
      </c>
      <c r="M2703" s="6"/>
      <c r="N2703" s="6" t="s">
        <v>975</v>
      </c>
      <c r="O2703" s="6" t="str">
        <f>HYPERLINK("https://ceds.ed.gov/cedselementdetails.aspx?termid=6050")</f>
        <v>https://ceds.ed.gov/cedselementdetails.aspx?termid=6050</v>
      </c>
      <c r="P2703" s="6" t="str">
        <f>HYPERLINK("https://ceds.ed.gov/elementComment.aspx?elementName=Assessment Need Directions Only &amp;elementID=6050", "Click here to submit comment")</f>
        <v>Click here to submit comment</v>
      </c>
    </row>
    <row r="2704" spans="1:16" ht="90">
      <c r="A2704" s="6" t="s">
        <v>6784</v>
      </c>
      <c r="B2704" s="6" t="s">
        <v>6848</v>
      </c>
      <c r="C2704" s="6" t="s">
        <v>6907</v>
      </c>
      <c r="D2704" s="6" t="s">
        <v>980</v>
      </c>
      <c r="E2704" s="6" t="s">
        <v>981</v>
      </c>
      <c r="F2704" s="7" t="s">
        <v>6391</v>
      </c>
      <c r="G2704" s="6"/>
      <c r="H2704" s="6"/>
      <c r="I2704" s="6"/>
      <c r="J2704" s="6"/>
      <c r="K2704" s="6"/>
      <c r="L2704" s="6" t="s">
        <v>982</v>
      </c>
      <c r="M2704" s="6"/>
      <c r="N2704" s="6" t="s">
        <v>983</v>
      </c>
      <c r="O2704" s="6" t="str">
        <f>HYPERLINK("https://ceds.ed.gov/cedselementdetails.aspx?termid=6026")</f>
        <v>https://ceds.ed.gov/cedselementdetails.aspx?termid=6026</v>
      </c>
      <c r="P2704" s="6" t="str">
        <f>HYPERLINK("https://ceds.ed.gov/elementComment.aspx?elementName=Assessment Need Hazard Type &amp;elementID=6026", "Click here to submit comment")</f>
        <v>Click here to submit comment</v>
      </c>
    </row>
    <row r="2705" spans="1:16" ht="60">
      <c r="A2705" s="6" t="s">
        <v>6784</v>
      </c>
      <c r="B2705" s="6" t="s">
        <v>6848</v>
      </c>
      <c r="C2705" s="6" t="s">
        <v>6907</v>
      </c>
      <c r="D2705" s="6" t="s">
        <v>992</v>
      </c>
      <c r="E2705" s="6" t="s">
        <v>993</v>
      </c>
      <c r="F2705" s="5" t="s">
        <v>939</v>
      </c>
      <c r="G2705" s="6"/>
      <c r="H2705" s="6"/>
      <c r="I2705" s="6"/>
      <c r="J2705" s="6"/>
      <c r="K2705" s="6"/>
      <c r="L2705" s="6" t="s">
        <v>994</v>
      </c>
      <c r="M2705" s="6"/>
      <c r="N2705" s="6" t="s">
        <v>995</v>
      </c>
      <c r="O2705" s="6" t="str">
        <f>HYPERLINK("https://ceds.ed.gov/cedselementdetails.aspx?termid=6042")</f>
        <v>https://ceds.ed.gov/cedselementdetails.aspx?termid=6042</v>
      </c>
      <c r="P2705" s="6" t="str">
        <f>HYPERLINK("https://ceds.ed.gov/elementComment.aspx?elementName=Assessment Need Item Translation Display Language Type &amp;elementID=6042", "Click here to submit comment")</f>
        <v>Click here to submit comment</v>
      </c>
    </row>
    <row r="2706" spans="1:16" ht="60">
      <c r="A2706" s="6" t="s">
        <v>6784</v>
      </c>
      <c r="B2706" s="6" t="s">
        <v>6848</v>
      </c>
      <c r="C2706" s="6" t="s">
        <v>6907</v>
      </c>
      <c r="D2706" s="6" t="s">
        <v>996</v>
      </c>
      <c r="E2706" s="6" t="s">
        <v>997</v>
      </c>
      <c r="F2706" s="5" t="s">
        <v>939</v>
      </c>
      <c r="G2706" s="6"/>
      <c r="H2706" s="6"/>
      <c r="I2706" s="6"/>
      <c r="J2706" s="6"/>
      <c r="K2706" s="6"/>
      <c r="L2706" s="6" t="s">
        <v>998</v>
      </c>
      <c r="M2706" s="6"/>
      <c r="N2706" s="6" t="s">
        <v>999</v>
      </c>
      <c r="O2706" s="6" t="str">
        <f>HYPERLINK("https://ceds.ed.gov/cedselementdetails.aspx?termid=6043")</f>
        <v>https://ceds.ed.gov/cedselementdetails.aspx?termid=6043</v>
      </c>
      <c r="P2706" s="6" t="str">
        <f>HYPERLINK("https://ceds.ed.gov/elementComment.aspx?elementName=Assessment Need Keyword Translation Language Type &amp;elementID=6043", "Click here to submit comment")</f>
        <v>Click here to submit comment</v>
      </c>
    </row>
    <row r="2707" spans="1:16" ht="225">
      <c r="A2707" s="6" t="s">
        <v>6784</v>
      </c>
      <c r="B2707" s="6" t="s">
        <v>6848</v>
      </c>
      <c r="C2707" s="6" t="s">
        <v>6907</v>
      </c>
      <c r="D2707" s="6" t="s">
        <v>1057</v>
      </c>
      <c r="E2707" s="6" t="s">
        <v>1058</v>
      </c>
      <c r="F2707" s="7" t="s">
        <v>6395</v>
      </c>
      <c r="G2707" s="6"/>
      <c r="H2707" s="6"/>
      <c r="I2707" s="6"/>
      <c r="J2707" s="6"/>
      <c r="K2707" s="6"/>
      <c r="L2707" s="6" t="s">
        <v>1059</v>
      </c>
      <c r="M2707" s="6"/>
      <c r="N2707" s="6" t="s">
        <v>1060</v>
      </c>
      <c r="O2707" s="6" t="str">
        <f>HYPERLINK("https://ceds.ed.gov/cedselementdetails.aspx?termid=6027")</f>
        <v>https://ceds.ed.gov/cedselementdetails.aspx?termid=6027</v>
      </c>
      <c r="P2707" s="6" t="str">
        <f>HYPERLINK("https://ceds.ed.gov/elementComment.aspx?elementName=Assessment Need Support Tool Type &amp;elementID=6027", "Click here to submit comment")</f>
        <v>Click here to submit comment</v>
      </c>
    </row>
    <row r="2708" spans="1:16" ht="105">
      <c r="A2708" s="6" t="s">
        <v>6784</v>
      </c>
      <c r="B2708" s="6" t="s">
        <v>6848</v>
      </c>
      <c r="C2708" s="6" t="s">
        <v>6907</v>
      </c>
      <c r="D2708" s="6" t="s">
        <v>1078</v>
      </c>
      <c r="E2708" s="6" t="s">
        <v>1079</v>
      </c>
      <c r="F2708" s="7" t="s">
        <v>6397</v>
      </c>
      <c r="G2708" s="6"/>
      <c r="H2708" s="6"/>
      <c r="I2708" s="6"/>
      <c r="J2708" s="6"/>
      <c r="K2708" s="6"/>
      <c r="L2708" s="6" t="s">
        <v>1080</v>
      </c>
      <c r="M2708" s="6"/>
      <c r="N2708" s="6" t="s">
        <v>1081</v>
      </c>
      <c r="O2708" s="6" t="str">
        <f>HYPERLINK("https://ceds.ed.gov/cedselementdetails.aspx?termid=6049")</f>
        <v>https://ceds.ed.gov/cedselementdetails.aspx?termid=6049</v>
      </c>
      <c r="P2708" s="6" t="str">
        <f>HYPERLINK("https://ceds.ed.gov/elementComment.aspx?elementName=Assessment Need User Spoken Preference Type &amp;elementID=6049", "Click here to submit comment")</f>
        <v>Click here to submit comment</v>
      </c>
    </row>
    <row r="2709" spans="1:16" ht="105">
      <c r="A2709" s="6" t="s">
        <v>6784</v>
      </c>
      <c r="B2709" s="6" t="s">
        <v>6848</v>
      </c>
      <c r="C2709" s="6" t="s">
        <v>6908</v>
      </c>
      <c r="D2709" s="6" t="s">
        <v>1065</v>
      </c>
      <c r="E2709" s="6" t="s">
        <v>1066</v>
      </c>
      <c r="F2709" s="6" t="s">
        <v>13</v>
      </c>
      <c r="G2709" s="6"/>
      <c r="H2709" s="6"/>
      <c r="I2709" s="6" t="s">
        <v>1067</v>
      </c>
      <c r="J2709" s="6"/>
      <c r="K2709" s="6"/>
      <c r="L2709" s="6" t="s">
        <v>1068</v>
      </c>
      <c r="M2709" s="6"/>
      <c r="N2709" s="6" t="s">
        <v>1069</v>
      </c>
      <c r="O2709" s="6" t="str">
        <f>HYPERLINK("https://ceds.ed.gov/cedselementdetails.aspx?termid=6055")</f>
        <v>https://ceds.ed.gov/cedselementdetails.aspx?termid=6055</v>
      </c>
      <c r="P2709" s="6" t="str">
        <f>HYPERLINK("https://ceds.ed.gov/elementComment.aspx?elementName=Assessment Need Time Multiplier &amp;elementID=6055", "Click here to submit comment")</f>
        <v>Click here to submit comment</v>
      </c>
    </row>
    <row r="2710" spans="1:16" ht="45">
      <c r="A2710" s="6" t="s">
        <v>6784</v>
      </c>
      <c r="B2710" s="6" t="s">
        <v>6848</v>
      </c>
      <c r="C2710" s="6" t="s">
        <v>6909</v>
      </c>
      <c r="D2710" s="6" t="s">
        <v>955</v>
      </c>
      <c r="E2710" s="6" t="s">
        <v>956</v>
      </c>
      <c r="F2710" s="6" t="s">
        <v>13</v>
      </c>
      <c r="G2710" s="6"/>
      <c r="H2710" s="6"/>
      <c r="I2710" s="6" t="s">
        <v>957</v>
      </c>
      <c r="J2710" s="6"/>
      <c r="K2710" s="6"/>
      <c r="L2710" s="6" t="s">
        <v>958</v>
      </c>
      <c r="M2710" s="6"/>
      <c r="N2710" s="6" t="s">
        <v>959</v>
      </c>
      <c r="O2710" s="6" t="str">
        <f>HYPERLINK("https://ceds.ed.gov/cedselementdetails.aspx?termid=6040")</f>
        <v>https://ceds.ed.gov/cedselementdetails.aspx?termid=6040</v>
      </c>
      <c r="P2710" s="6" t="str">
        <f>HYPERLINK("https://ceds.ed.gov/elementComment.aspx?elementName=Assessment Need Braille Dot Pressure &amp;elementID=6040", "Click here to submit comment")</f>
        <v>Click here to submit comment</v>
      </c>
    </row>
    <row r="2711" spans="1:16" ht="60">
      <c r="A2711" s="6" t="s">
        <v>6784</v>
      </c>
      <c r="B2711" s="6" t="s">
        <v>6848</v>
      </c>
      <c r="C2711" s="6" t="s">
        <v>6909</v>
      </c>
      <c r="D2711" s="6" t="s">
        <v>960</v>
      </c>
      <c r="E2711" s="6" t="s">
        <v>961</v>
      </c>
      <c r="F2711" s="6" t="s">
        <v>6035</v>
      </c>
      <c r="G2711" s="6"/>
      <c r="H2711" s="6"/>
      <c r="I2711" s="6"/>
      <c r="J2711" s="6"/>
      <c r="K2711" s="6"/>
      <c r="L2711" s="6" t="s">
        <v>962</v>
      </c>
      <c r="M2711" s="6"/>
      <c r="N2711" s="6" t="s">
        <v>963</v>
      </c>
      <c r="O2711" s="6" t="str">
        <f>HYPERLINK("https://ceds.ed.gov/cedselementdetails.aspx?termid=6035")</f>
        <v>https://ceds.ed.gov/cedselementdetails.aspx?termid=6035</v>
      </c>
      <c r="P2711" s="6" t="str">
        <f>HYPERLINK("https://ceds.ed.gov/elementComment.aspx?elementName=Assessment Need Braille Grade Type &amp;elementID=6035", "Click here to submit comment")</f>
        <v>Click here to submit comment</v>
      </c>
    </row>
    <row r="2712" spans="1:16" ht="105">
      <c r="A2712" s="6" t="s">
        <v>6784</v>
      </c>
      <c r="B2712" s="6" t="s">
        <v>6848</v>
      </c>
      <c r="C2712" s="6" t="s">
        <v>6909</v>
      </c>
      <c r="D2712" s="6" t="s">
        <v>964</v>
      </c>
      <c r="E2712" s="6" t="s">
        <v>965</v>
      </c>
      <c r="F2712" s="6" t="s">
        <v>6036</v>
      </c>
      <c r="G2712" s="6"/>
      <c r="H2712" s="6"/>
      <c r="I2712" s="6"/>
      <c r="J2712" s="6"/>
      <c r="K2712" s="6"/>
      <c r="L2712" s="6" t="s">
        <v>966</v>
      </c>
      <c r="M2712" s="6"/>
      <c r="N2712" s="6" t="s">
        <v>967</v>
      </c>
      <c r="O2712" s="6" t="str">
        <f>HYPERLINK("https://ceds.ed.gov/cedselementdetails.aspx?termid=6038")</f>
        <v>https://ceds.ed.gov/cedselementdetails.aspx?termid=6038</v>
      </c>
      <c r="P2712" s="6" t="str">
        <f>HYPERLINK("https://ceds.ed.gov/elementComment.aspx?elementName=Assessment Need Braille Mark Type &amp;elementID=6038", "Click here to submit comment")</f>
        <v>Click here to submit comment</v>
      </c>
    </row>
    <row r="2713" spans="1:16" ht="60">
      <c r="A2713" s="6" t="s">
        <v>6784</v>
      </c>
      <c r="B2713" s="6" t="s">
        <v>6848</v>
      </c>
      <c r="C2713" s="6" t="s">
        <v>6909</v>
      </c>
      <c r="D2713" s="6" t="s">
        <v>968</v>
      </c>
      <c r="E2713" s="6" t="s">
        <v>969</v>
      </c>
      <c r="F2713" s="6" t="s">
        <v>6037</v>
      </c>
      <c r="G2713" s="6"/>
      <c r="H2713" s="6"/>
      <c r="I2713" s="6"/>
      <c r="J2713" s="6"/>
      <c r="K2713" s="6"/>
      <c r="L2713" s="6" t="s">
        <v>970</v>
      </c>
      <c r="M2713" s="6"/>
      <c r="N2713" s="6" t="s">
        <v>971</v>
      </c>
      <c r="O2713" s="6" t="str">
        <f>HYPERLINK("https://ceds.ed.gov/cedselementdetails.aspx?termid=6041")</f>
        <v>https://ceds.ed.gov/cedselementdetails.aspx?termid=6041</v>
      </c>
      <c r="P2713" s="6" t="str">
        <f>HYPERLINK("https://ceds.ed.gov/elementComment.aspx?elementName=Assessment Need Braille Status Cell Type &amp;elementID=6041", "Click here to submit comment")</f>
        <v>Click here to submit comment</v>
      </c>
    </row>
    <row r="2714" spans="1:16" ht="60">
      <c r="A2714" s="6" t="s">
        <v>6784</v>
      </c>
      <c r="B2714" s="6" t="s">
        <v>6848</v>
      </c>
      <c r="C2714" s="6" t="s">
        <v>6909</v>
      </c>
      <c r="D2714" s="6" t="s">
        <v>988</v>
      </c>
      <c r="E2714" s="6" t="s">
        <v>989</v>
      </c>
      <c r="F2714" s="6" t="s">
        <v>5963</v>
      </c>
      <c r="G2714" s="6"/>
      <c r="H2714" s="6"/>
      <c r="I2714" s="6"/>
      <c r="J2714" s="6"/>
      <c r="K2714" s="6"/>
      <c r="L2714" s="6" t="s">
        <v>990</v>
      </c>
      <c r="M2714" s="6"/>
      <c r="N2714" s="6" t="s">
        <v>991</v>
      </c>
      <c r="O2714" s="6" t="str">
        <f>HYPERLINK("https://ceds.ed.gov/cedselementdetails.aspx?termid=6033")</f>
        <v>https://ceds.ed.gov/cedselementdetails.aspx?termid=6033</v>
      </c>
      <c r="P2714" s="6" t="str">
        <f>HYPERLINK("https://ceds.ed.gov/elementComment.aspx?elementName=Assessment Need Invert Color Choice &amp;elementID=6033", "Click here to submit comment")</f>
        <v>Click here to submit comment</v>
      </c>
    </row>
    <row r="2715" spans="1:16" ht="60">
      <c r="A2715" s="6" t="s">
        <v>6784</v>
      </c>
      <c r="B2715" s="6" t="s">
        <v>6848</v>
      </c>
      <c r="C2715" s="6" t="s">
        <v>6909</v>
      </c>
      <c r="D2715" s="6" t="s">
        <v>1004</v>
      </c>
      <c r="E2715" s="6" t="s">
        <v>1005</v>
      </c>
      <c r="F2715" s="6" t="s">
        <v>13</v>
      </c>
      <c r="G2715" s="6"/>
      <c r="H2715" s="6"/>
      <c r="I2715" s="6" t="s">
        <v>952</v>
      </c>
      <c r="J2715" s="6"/>
      <c r="K2715" s="6"/>
      <c r="L2715" s="6" t="s">
        <v>1006</v>
      </c>
      <c r="M2715" s="6"/>
      <c r="N2715" s="6" t="s">
        <v>1007</v>
      </c>
      <c r="O2715" s="6" t="str">
        <f>HYPERLINK("https://ceds.ed.gov/cedselementdetails.aspx?termid=6056")</f>
        <v>https://ceds.ed.gov/cedselementdetails.aspx?termid=6056</v>
      </c>
      <c r="P2715" s="6" t="str">
        <f>HYPERLINK("https://ceds.ed.gov/elementComment.aspx?elementName=Assessment Need Line Reader Highlight Color &amp;elementID=6056", "Click here to submit comment")</f>
        <v>Click here to submit comment</v>
      </c>
    </row>
    <row r="2716" spans="1:16" ht="105">
      <c r="A2716" s="6" t="s">
        <v>6784</v>
      </c>
      <c r="B2716" s="6" t="s">
        <v>6848</v>
      </c>
      <c r="C2716" s="6" t="s">
        <v>6909</v>
      </c>
      <c r="D2716" s="6" t="s">
        <v>1008</v>
      </c>
      <c r="E2716" s="6" t="s">
        <v>1009</v>
      </c>
      <c r="F2716" s="7" t="s">
        <v>6392</v>
      </c>
      <c r="G2716" s="6"/>
      <c r="H2716" s="6"/>
      <c r="I2716" s="6"/>
      <c r="J2716" s="6"/>
      <c r="K2716" s="6"/>
      <c r="L2716" s="6" t="s">
        <v>1010</v>
      </c>
      <c r="M2716" s="6"/>
      <c r="N2716" s="6" t="s">
        <v>1011</v>
      </c>
      <c r="O2716" s="6" t="str">
        <f>HYPERLINK("https://ceds.ed.gov/cedselementdetails.aspx?termid=6029")</f>
        <v>https://ceds.ed.gov/cedselementdetails.aspx?termid=6029</v>
      </c>
      <c r="P2716" s="6" t="str">
        <f>HYPERLINK("https://ceds.ed.gov/elementComment.aspx?elementName=Assessment Need Link Indication Type &amp;elementID=6029", "Click here to submit comment")</f>
        <v>Click here to submit comment</v>
      </c>
    </row>
    <row r="2717" spans="1:16" ht="60">
      <c r="A2717" s="6" t="s">
        <v>6784</v>
      </c>
      <c r="B2717" s="6" t="s">
        <v>6848</v>
      </c>
      <c r="C2717" s="6" t="s">
        <v>6909</v>
      </c>
      <c r="D2717" s="6" t="s">
        <v>1012</v>
      </c>
      <c r="E2717" s="6" t="s">
        <v>1013</v>
      </c>
      <c r="F2717" s="6" t="s">
        <v>13</v>
      </c>
      <c r="G2717" s="6"/>
      <c r="H2717" s="6"/>
      <c r="I2717" s="6" t="s">
        <v>957</v>
      </c>
      <c r="J2717" s="6"/>
      <c r="K2717" s="6"/>
      <c r="L2717" s="6" t="s">
        <v>1014</v>
      </c>
      <c r="M2717" s="6"/>
      <c r="N2717" s="6" t="s">
        <v>1015</v>
      </c>
      <c r="O2717" s="6" t="str">
        <f>HYPERLINK("https://ceds.ed.gov/cedselementdetails.aspx?termid=6034")</f>
        <v>https://ceds.ed.gov/cedselementdetails.aspx?termid=6034</v>
      </c>
      <c r="P2717" s="6" t="str">
        <f>HYPERLINK("https://ceds.ed.gov/elementComment.aspx?elementName=Assessment Need Magnification &amp;elementID=6034", "Click here to submit comment")</f>
        <v>Click here to submit comment</v>
      </c>
    </row>
    <row r="2718" spans="1:16" ht="75">
      <c r="A2718" s="6" t="s">
        <v>6784</v>
      </c>
      <c r="B2718" s="6" t="s">
        <v>6848</v>
      </c>
      <c r="C2718" s="6" t="s">
        <v>6909</v>
      </c>
      <c r="D2718" s="6" t="s">
        <v>1016</v>
      </c>
      <c r="E2718" s="6" t="s">
        <v>1017</v>
      </c>
      <c r="F2718" s="7" t="s">
        <v>6393</v>
      </c>
      <c r="G2718" s="6"/>
      <c r="H2718" s="6"/>
      <c r="I2718" s="6"/>
      <c r="J2718" s="6"/>
      <c r="K2718" s="6"/>
      <c r="L2718" s="6" t="s">
        <v>1018</v>
      </c>
      <c r="M2718" s="6"/>
      <c r="N2718" s="6" t="s">
        <v>1019</v>
      </c>
      <c r="O2718" s="6" t="str">
        <f>HYPERLINK("https://ceds.ed.gov/cedselementdetails.aspx?termid=6051")</f>
        <v>https://ceds.ed.gov/cedselementdetails.aspx?termid=6051</v>
      </c>
      <c r="P2718" s="6" t="str">
        <f>HYPERLINK("https://ceds.ed.gov/elementComment.aspx?elementName=Assessment Need Masking Type &amp;elementID=6051", "Click here to submit comment")</f>
        <v>Click here to submit comment</v>
      </c>
    </row>
    <row r="2719" spans="1:16" ht="45">
      <c r="A2719" s="6" t="s">
        <v>6784</v>
      </c>
      <c r="B2719" s="6" t="s">
        <v>6848</v>
      </c>
      <c r="C2719" s="6" t="s">
        <v>6909</v>
      </c>
      <c r="D2719" s="6" t="s">
        <v>1020</v>
      </c>
      <c r="E2719" s="6" t="s">
        <v>1021</v>
      </c>
      <c r="F2719" s="6" t="s">
        <v>13</v>
      </c>
      <c r="G2719" s="6"/>
      <c r="H2719" s="6"/>
      <c r="I2719" s="6" t="s">
        <v>1022</v>
      </c>
      <c r="J2719" s="6"/>
      <c r="K2719" s="6"/>
      <c r="L2719" s="6" t="s">
        <v>1023</v>
      </c>
      <c r="M2719" s="6"/>
      <c r="N2719" s="6" t="s">
        <v>1024</v>
      </c>
      <c r="O2719" s="6" t="str">
        <f>HYPERLINK("https://ceds.ed.gov/cedselementdetails.aspx?termid=6037")</f>
        <v>https://ceds.ed.gov/cedselementdetails.aspx?termid=6037</v>
      </c>
      <c r="P2719" s="6" t="str">
        <f>HYPERLINK("https://ceds.ed.gov/elementComment.aspx?elementName=Assessment Need Number of Braille Cells &amp;elementID=6037", "Click here to submit comment")</f>
        <v>Click here to submit comment</v>
      </c>
    </row>
    <row r="2720" spans="1:16" ht="45">
      <c r="A2720" s="6" t="s">
        <v>6784</v>
      </c>
      <c r="B2720" s="6" t="s">
        <v>6848</v>
      </c>
      <c r="C2720" s="6" t="s">
        <v>6909</v>
      </c>
      <c r="D2720" s="6" t="s">
        <v>1025</v>
      </c>
      <c r="E2720" s="6" t="s">
        <v>1026</v>
      </c>
      <c r="F2720" s="6" t="s">
        <v>6040</v>
      </c>
      <c r="G2720" s="6"/>
      <c r="H2720" s="6"/>
      <c r="I2720" s="6"/>
      <c r="J2720" s="6"/>
      <c r="K2720" s="6"/>
      <c r="L2720" s="6" t="s">
        <v>1027</v>
      </c>
      <c r="M2720" s="6"/>
      <c r="N2720" s="6" t="s">
        <v>1028</v>
      </c>
      <c r="O2720" s="6" t="str">
        <f>HYPERLINK("https://ceds.ed.gov/cedselementdetails.aspx?termid=6036")</f>
        <v>https://ceds.ed.gov/cedselementdetails.aspx?termid=6036</v>
      </c>
      <c r="P2720" s="6" t="str">
        <f>HYPERLINK("https://ceds.ed.gov/elementComment.aspx?elementName=Assessment Need Number of Braille Dots Type &amp;elementID=6036", "Click here to submit comment")</f>
        <v>Click here to submit comment</v>
      </c>
    </row>
    <row r="2721" spans="1:16" ht="45">
      <c r="A2721" s="6" t="s">
        <v>6784</v>
      </c>
      <c r="B2721" s="6" t="s">
        <v>6848</v>
      </c>
      <c r="C2721" s="6" t="s">
        <v>6909</v>
      </c>
      <c r="D2721" s="6" t="s">
        <v>1033</v>
      </c>
      <c r="E2721" s="6" t="s">
        <v>1034</v>
      </c>
      <c r="F2721" s="6" t="s">
        <v>13</v>
      </c>
      <c r="G2721" s="6"/>
      <c r="H2721" s="6"/>
      <c r="I2721" s="6" t="s">
        <v>957</v>
      </c>
      <c r="J2721" s="6"/>
      <c r="K2721" s="6"/>
      <c r="L2721" s="6" t="s">
        <v>1035</v>
      </c>
      <c r="M2721" s="6"/>
      <c r="N2721" s="6" t="s">
        <v>1036</v>
      </c>
      <c r="O2721" s="6" t="str">
        <f>HYPERLINK("https://ceds.ed.gov/cedselementdetails.aspx?termid=6031")</f>
        <v>https://ceds.ed.gov/cedselementdetails.aspx?termid=6031</v>
      </c>
      <c r="P2721" s="6" t="str">
        <f>HYPERLINK("https://ceds.ed.gov/elementComment.aspx?elementName=Assessment Need Pitch &amp;elementID=6031", "Click here to submit comment")</f>
        <v>Click here to submit comment</v>
      </c>
    </row>
    <row r="2722" spans="1:16" ht="60">
      <c r="A2722" s="6" t="s">
        <v>6784</v>
      </c>
      <c r="B2722" s="6" t="s">
        <v>6848</v>
      </c>
      <c r="C2722" s="6" t="s">
        <v>6909</v>
      </c>
      <c r="D2722" s="6" t="s">
        <v>1037</v>
      </c>
      <c r="E2722" s="6" t="s">
        <v>1038</v>
      </c>
      <c r="F2722" s="6" t="s">
        <v>5963</v>
      </c>
      <c r="G2722" s="6"/>
      <c r="H2722" s="6"/>
      <c r="I2722" s="6"/>
      <c r="J2722" s="6"/>
      <c r="K2722" s="6"/>
      <c r="L2722" s="6" t="s">
        <v>1039</v>
      </c>
      <c r="M2722" s="6"/>
      <c r="N2722" s="6" t="s">
        <v>1040</v>
      </c>
      <c r="O2722" s="6" t="str">
        <f>HYPERLINK("https://ceds.ed.gov/cedselementdetails.aspx?termid=6048")</f>
        <v>https://ceds.ed.gov/cedselementdetails.aspx?termid=6048</v>
      </c>
      <c r="P2722" s="6" t="str">
        <f>HYPERLINK("https://ceds.ed.gov/elementComment.aspx?elementName=Assessment Need Read At Start Preference &amp;elementID=6048", "Click here to submit comment")</f>
        <v>Click here to submit comment</v>
      </c>
    </row>
    <row r="2723" spans="1:16" ht="75">
      <c r="A2723" s="6" t="s">
        <v>6784</v>
      </c>
      <c r="B2723" s="6" t="s">
        <v>6848</v>
      </c>
      <c r="C2723" s="6" t="s">
        <v>6909</v>
      </c>
      <c r="D2723" s="6" t="s">
        <v>1041</v>
      </c>
      <c r="E2723" s="6" t="s">
        <v>1042</v>
      </c>
      <c r="F2723" s="7" t="s">
        <v>6394</v>
      </c>
      <c r="G2723" s="6"/>
      <c r="H2723" s="6"/>
      <c r="I2723" s="6"/>
      <c r="J2723" s="6"/>
      <c r="K2723" s="6"/>
      <c r="L2723" s="6" t="s">
        <v>1043</v>
      </c>
      <c r="M2723" s="6"/>
      <c r="N2723" s="6" t="s">
        <v>1044</v>
      </c>
      <c r="O2723" s="6" t="str">
        <f>HYPERLINK("https://ceds.ed.gov/cedselementdetails.aspx?termid=6044")</f>
        <v>https://ceds.ed.gov/cedselementdetails.aspx?termid=6044</v>
      </c>
      <c r="P2723" s="6" t="str">
        <f>HYPERLINK("https://ceds.ed.gov/elementComment.aspx?elementName=Assessment Need Signing Type &amp;elementID=6044", "Click here to submit comment")</f>
        <v>Click here to submit comment</v>
      </c>
    </row>
    <row r="2724" spans="1:16" ht="105">
      <c r="A2724" s="6" t="s">
        <v>6784</v>
      </c>
      <c r="B2724" s="6" t="s">
        <v>6848</v>
      </c>
      <c r="C2724" s="6" t="s">
        <v>6909</v>
      </c>
      <c r="D2724" s="6" t="s">
        <v>1045</v>
      </c>
      <c r="E2724" s="6" t="s">
        <v>1046</v>
      </c>
      <c r="F2724" s="6" t="s">
        <v>13</v>
      </c>
      <c r="G2724" s="6"/>
      <c r="H2724" s="6"/>
      <c r="I2724" s="6" t="s">
        <v>93</v>
      </c>
      <c r="J2724" s="6"/>
      <c r="K2724" s="6"/>
      <c r="L2724" s="6" t="s">
        <v>1047</v>
      </c>
      <c r="M2724" s="6"/>
      <c r="N2724" s="6" t="s">
        <v>1048</v>
      </c>
      <c r="O2724" s="6" t="str">
        <f>HYPERLINK("https://ceds.ed.gov/cedselementdetails.aspx?termid=6053")</f>
        <v>https://ceds.ed.gov/cedselementdetails.aspx?termid=6053</v>
      </c>
      <c r="P2724" s="6" t="str">
        <f>HYPERLINK("https://ceds.ed.gov/elementComment.aspx?elementName=Assessment Need Sound File URL &amp;elementID=6053", "Click here to submit comment")</f>
        <v>Click here to submit comment</v>
      </c>
    </row>
    <row r="2725" spans="1:16" ht="45">
      <c r="A2725" s="6" t="s">
        <v>6784</v>
      </c>
      <c r="B2725" s="6" t="s">
        <v>6848</v>
      </c>
      <c r="C2725" s="6" t="s">
        <v>6909</v>
      </c>
      <c r="D2725" s="6" t="s">
        <v>1049</v>
      </c>
      <c r="E2725" s="6" t="s">
        <v>1050</v>
      </c>
      <c r="F2725" s="6" t="s">
        <v>13</v>
      </c>
      <c r="G2725" s="6"/>
      <c r="H2725" s="6"/>
      <c r="I2725" s="6" t="s">
        <v>1022</v>
      </c>
      <c r="J2725" s="6"/>
      <c r="K2725" s="6"/>
      <c r="L2725" s="6" t="s">
        <v>1051</v>
      </c>
      <c r="M2725" s="6"/>
      <c r="N2725" s="6" t="s">
        <v>1052</v>
      </c>
      <c r="O2725" s="6" t="str">
        <f>HYPERLINK("https://ceds.ed.gov/cedselementdetails.aspx?termid=6030")</f>
        <v>https://ceds.ed.gov/cedselementdetails.aspx?termid=6030</v>
      </c>
      <c r="P2725" s="6" t="str">
        <f>HYPERLINK("https://ceds.ed.gov/elementComment.aspx?elementName=Assessment Need Speech Rate &amp;elementID=6030", "Click here to submit comment")</f>
        <v>Click here to submit comment</v>
      </c>
    </row>
    <row r="2726" spans="1:16" ht="45">
      <c r="A2726" s="6" t="s">
        <v>6784</v>
      </c>
      <c r="B2726" s="6" t="s">
        <v>6848</v>
      </c>
      <c r="C2726" s="6" t="s">
        <v>6909</v>
      </c>
      <c r="D2726" s="6" t="s">
        <v>1053</v>
      </c>
      <c r="E2726" s="6" t="s">
        <v>1054</v>
      </c>
      <c r="F2726" s="6" t="s">
        <v>6041</v>
      </c>
      <c r="G2726" s="6"/>
      <c r="H2726" s="6"/>
      <c r="I2726" s="6"/>
      <c r="J2726" s="6"/>
      <c r="K2726" s="6"/>
      <c r="L2726" s="6" t="s">
        <v>1055</v>
      </c>
      <c r="M2726" s="6"/>
      <c r="N2726" s="6" t="s">
        <v>1056</v>
      </c>
      <c r="O2726" s="6" t="str">
        <f>HYPERLINK("https://ceds.ed.gov/cedselementdetails.aspx?termid=6046")</f>
        <v>https://ceds.ed.gov/cedselementdetails.aspx?termid=6046</v>
      </c>
      <c r="P2726" s="6" t="str">
        <f>HYPERLINK("https://ceds.ed.gov/elementComment.aspx?elementName=Assessment Need Spoken Source Preference Type &amp;elementID=6046", "Click here to submit comment")</f>
        <v>Click here to submit comment</v>
      </c>
    </row>
    <row r="2727" spans="1:16" ht="105">
      <c r="A2727" s="6" t="s">
        <v>6784</v>
      </c>
      <c r="B2727" s="6" t="s">
        <v>6848</v>
      </c>
      <c r="C2727" s="6" t="s">
        <v>6909</v>
      </c>
      <c r="D2727" s="6" t="s">
        <v>1061</v>
      </c>
      <c r="E2727" s="6" t="s">
        <v>1062</v>
      </c>
      <c r="F2727" s="6" t="s">
        <v>13</v>
      </c>
      <c r="G2727" s="6"/>
      <c r="H2727" s="6"/>
      <c r="I2727" s="6" t="s">
        <v>319</v>
      </c>
      <c r="J2727" s="6"/>
      <c r="K2727" s="6"/>
      <c r="L2727" s="6" t="s">
        <v>1063</v>
      </c>
      <c r="M2727" s="6"/>
      <c r="N2727" s="6" t="s">
        <v>1064</v>
      </c>
      <c r="O2727" s="6" t="str">
        <f>HYPERLINK("https://ceds.ed.gov/cedselementdetails.aspx?termid=6052")</f>
        <v>https://ceds.ed.gov/cedselementdetails.aspx?termid=6052</v>
      </c>
      <c r="P2727" s="6" t="str">
        <f>HYPERLINK("https://ceds.ed.gov/elementComment.aspx?elementName=Assessment Need Text Messaging String &amp;elementID=6052", "Click here to submit comment")</f>
        <v>Click here to submit comment</v>
      </c>
    </row>
    <row r="2728" spans="1:16" ht="90">
      <c r="A2728" s="6" t="s">
        <v>6784</v>
      </c>
      <c r="B2728" s="6" t="s">
        <v>6848</v>
      </c>
      <c r="C2728" s="6" t="s">
        <v>6909</v>
      </c>
      <c r="D2728" s="6" t="s">
        <v>1074</v>
      </c>
      <c r="E2728" s="6" t="s">
        <v>1075</v>
      </c>
      <c r="F2728" s="7" t="s">
        <v>6396</v>
      </c>
      <c r="G2728" s="6"/>
      <c r="H2728" s="6"/>
      <c r="I2728" s="6"/>
      <c r="J2728" s="6"/>
      <c r="K2728" s="6"/>
      <c r="L2728" s="6" t="s">
        <v>1076</v>
      </c>
      <c r="M2728" s="6"/>
      <c r="N2728" s="6" t="s">
        <v>1077</v>
      </c>
      <c r="O2728" s="6" t="str">
        <f>HYPERLINK("https://ceds.ed.gov/cedselementdetails.aspx?termid=6028")</f>
        <v>https://ceds.ed.gov/cedselementdetails.aspx?termid=6028</v>
      </c>
      <c r="P2728" s="6" t="str">
        <f>HYPERLINK("https://ceds.ed.gov/elementComment.aspx?elementName=Assessment Need Usage Type &amp;elementID=6028", "Click here to submit comment")</f>
        <v>Click here to submit comment</v>
      </c>
    </row>
    <row r="2729" spans="1:16" ht="45">
      <c r="A2729" s="6" t="s">
        <v>6784</v>
      </c>
      <c r="B2729" s="6" t="s">
        <v>6848</v>
      </c>
      <c r="C2729" s="6" t="s">
        <v>6909</v>
      </c>
      <c r="D2729" s="6" t="s">
        <v>1082</v>
      </c>
      <c r="E2729" s="6" t="s">
        <v>1083</v>
      </c>
      <c r="F2729" s="6" t="s">
        <v>13</v>
      </c>
      <c r="G2729" s="6"/>
      <c r="H2729" s="6"/>
      <c r="I2729" s="6" t="s">
        <v>957</v>
      </c>
      <c r="J2729" s="6"/>
      <c r="K2729" s="6"/>
      <c r="L2729" s="6" t="s">
        <v>1084</v>
      </c>
      <c r="M2729" s="6"/>
      <c r="N2729" s="6" t="s">
        <v>1085</v>
      </c>
      <c r="O2729" s="6" t="str">
        <f>HYPERLINK("https://ceds.ed.gov/cedselementdetails.aspx?termid=6032")</f>
        <v>https://ceds.ed.gov/cedselementdetails.aspx?termid=6032</v>
      </c>
      <c r="P2729" s="6" t="str">
        <f>HYPERLINK("https://ceds.ed.gov/elementComment.aspx?elementName=Assessment Need Volume &amp;elementID=6032", "Click here to submit comment")</f>
        <v>Click here to submit comment</v>
      </c>
    </row>
    <row r="2730" spans="1:16" ht="60">
      <c r="A2730" s="6" t="s">
        <v>6784</v>
      </c>
      <c r="B2730" s="6" t="s">
        <v>6848</v>
      </c>
      <c r="C2730" s="6" t="s">
        <v>6910</v>
      </c>
      <c r="D2730" s="6" t="s">
        <v>950</v>
      </c>
      <c r="E2730" s="6" t="s">
        <v>951</v>
      </c>
      <c r="F2730" s="6" t="s">
        <v>13</v>
      </c>
      <c r="G2730" s="6"/>
      <c r="H2730" s="6"/>
      <c r="I2730" s="6" t="s">
        <v>952</v>
      </c>
      <c r="J2730" s="6"/>
      <c r="K2730" s="6"/>
      <c r="L2730" s="6" t="s">
        <v>953</v>
      </c>
      <c r="M2730" s="6"/>
      <c r="N2730" s="6" t="s">
        <v>954</v>
      </c>
      <c r="O2730" s="6" t="str">
        <f>HYPERLINK("https://ceds.ed.gov/cedselementdetails.aspx?termid=6059")</f>
        <v>https://ceds.ed.gov/cedselementdetails.aspx?termid=6059</v>
      </c>
      <c r="P2730" s="6" t="str">
        <f>HYPERLINK("https://ceds.ed.gov/elementComment.aspx?elementName=Assessment Need Background Color &amp;elementID=6059", "Click here to submit comment")</f>
        <v>Click here to submit comment</v>
      </c>
    </row>
    <row r="2731" spans="1:16" ht="60">
      <c r="A2731" s="6" t="s">
        <v>6784</v>
      </c>
      <c r="B2731" s="6" t="s">
        <v>6848</v>
      </c>
      <c r="C2731" s="6" t="s">
        <v>6910</v>
      </c>
      <c r="D2731" s="6" t="s">
        <v>976</v>
      </c>
      <c r="E2731" s="6" t="s">
        <v>977</v>
      </c>
      <c r="F2731" s="6" t="s">
        <v>13</v>
      </c>
      <c r="G2731" s="6"/>
      <c r="H2731" s="6"/>
      <c r="I2731" s="6" t="s">
        <v>952</v>
      </c>
      <c r="J2731" s="6"/>
      <c r="K2731" s="6"/>
      <c r="L2731" s="6" t="s">
        <v>978</v>
      </c>
      <c r="M2731" s="6"/>
      <c r="N2731" s="6" t="s">
        <v>979</v>
      </c>
      <c r="O2731" s="6" t="str">
        <f>HYPERLINK("https://ceds.ed.gov/cedselementdetails.aspx?termid=6058")</f>
        <v>https://ceds.ed.gov/cedselementdetails.aspx?termid=6058</v>
      </c>
      <c r="P2731" s="6" t="str">
        <f>HYPERLINK("https://ceds.ed.gov/elementComment.aspx?elementName=Assessment Need Foreground Color &amp;elementID=6058", "Click here to submit comment")</f>
        <v>Click here to submit comment</v>
      </c>
    </row>
    <row r="2732" spans="1:16" ht="60">
      <c r="A2732" s="6" t="s">
        <v>6784</v>
      </c>
      <c r="B2732" s="6" t="s">
        <v>6848</v>
      </c>
      <c r="C2732" s="6" t="s">
        <v>6910</v>
      </c>
      <c r="D2732" s="6" t="s">
        <v>984</v>
      </c>
      <c r="E2732" s="6" t="s">
        <v>985</v>
      </c>
      <c r="F2732" s="6" t="s">
        <v>6038</v>
      </c>
      <c r="G2732" s="6"/>
      <c r="H2732" s="6"/>
      <c r="I2732" s="6"/>
      <c r="J2732" s="6"/>
      <c r="K2732" s="6"/>
      <c r="L2732" s="6" t="s">
        <v>986</v>
      </c>
      <c r="M2732" s="6"/>
      <c r="N2732" s="6" t="s">
        <v>987</v>
      </c>
      <c r="O2732" s="6" t="str">
        <f>HYPERLINK("https://ceds.ed.gov/cedselementdetails.aspx?termid=6060")</f>
        <v>https://ceds.ed.gov/cedselementdetails.aspx?termid=6060</v>
      </c>
      <c r="P2732" s="6" t="str">
        <f>HYPERLINK("https://ceds.ed.gov/elementComment.aspx?elementName=Assessment Need Increased Whitespacing Type &amp;elementID=6060", "Click here to submit comment")</f>
        <v>Click here to submit comment</v>
      </c>
    </row>
    <row r="2733" spans="1:16" ht="60">
      <c r="A2733" s="6" t="s">
        <v>6784</v>
      </c>
      <c r="B2733" s="6" t="s">
        <v>6848</v>
      </c>
      <c r="C2733" s="6" t="s">
        <v>6910</v>
      </c>
      <c r="D2733" s="6" t="s">
        <v>1029</v>
      </c>
      <c r="E2733" s="6" t="s">
        <v>1030</v>
      </c>
      <c r="F2733" s="6" t="s">
        <v>13</v>
      </c>
      <c r="G2733" s="6"/>
      <c r="H2733" s="6"/>
      <c r="I2733" s="6" t="s">
        <v>952</v>
      </c>
      <c r="J2733" s="6"/>
      <c r="K2733" s="6"/>
      <c r="L2733" s="6" t="s">
        <v>1031</v>
      </c>
      <c r="M2733" s="6"/>
      <c r="N2733" s="6" t="s">
        <v>1032</v>
      </c>
      <c r="O2733" s="6" t="str">
        <f>HYPERLINK("https://ceds.ed.gov/cedselementdetails.aspx?termid=6057")</f>
        <v>https://ceds.ed.gov/cedselementdetails.aspx?termid=6057</v>
      </c>
      <c r="P2733" s="6" t="str">
        <f>HYPERLINK("https://ceds.ed.gov/elementComment.aspx?elementName=Assessment Need Overlay Color &amp;elementID=6057", "Click here to submit comment")</f>
        <v>Click here to submit comment</v>
      </c>
    </row>
    <row r="2734" spans="1:16" ht="285">
      <c r="A2734" s="6" t="s">
        <v>6784</v>
      </c>
      <c r="B2734" s="6" t="s">
        <v>6853</v>
      </c>
      <c r="C2734" s="6"/>
      <c r="D2734" s="6" t="s">
        <v>399</v>
      </c>
      <c r="E2734" s="6" t="s">
        <v>400</v>
      </c>
      <c r="F2734" s="7" t="s">
        <v>6376</v>
      </c>
      <c r="G2734" s="6" t="s">
        <v>5992</v>
      </c>
      <c r="H2734" s="6" t="s">
        <v>3</v>
      </c>
      <c r="I2734" s="6"/>
      <c r="J2734" s="6"/>
      <c r="K2734" s="6"/>
      <c r="L2734" s="6" t="s">
        <v>401</v>
      </c>
      <c r="M2734" s="6"/>
      <c r="N2734" s="6" t="s">
        <v>402</v>
      </c>
      <c r="O2734" s="6" t="str">
        <f>HYPERLINK("https://ceds.ed.gov/cedselementdetails.aspx?termid=5374")</f>
        <v>https://ceds.ed.gov/cedselementdetails.aspx?termid=5374</v>
      </c>
      <c r="P2734" s="6" t="str">
        <f>HYPERLINK("https://ceds.ed.gov/elementComment.aspx?elementName=Assessment Accommodation Category &amp;elementID=5374", "Click here to submit comment")</f>
        <v>Click here to submit comment</v>
      </c>
    </row>
    <row r="2735" spans="1:16" ht="45">
      <c r="A2735" s="6" t="s">
        <v>6784</v>
      </c>
      <c r="B2735" s="6" t="s">
        <v>6853</v>
      </c>
      <c r="C2735" s="6"/>
      <c r="D2735" s="6" t="s">
        <v>403</v>
      </c>
      <c r="E2735" s="6" t="s">
        <v>404</v>
      </c>
      <c r="F2735" s="6" t="s">
        <v>13</v>
      </c>
      <c r="G2735" s="6"/>
      <c r="H2735" s="6"/>
      <c r="I2735" s="6" t="s">
        <v>100</v>
      </c>
      <c r="J2735" s="6"/>
      <c r="K2735" s="6"/>
      <c r="L2735" s="6" t="s">
        <v>405</v>
      </c>
      <c r="M2735" s="6"/>
      <c r="N2735" s="6" t="s">
        <v>406</v>
      </c>
      <c r="O2735" s="6" t="str">
        <f>HYPERLINK("https://ceds.ed.gov/cedselementdetails.aspx?termid=6116")</f>
        <v>https://ceds.ed.gov/cedselementdetails.aspx?termid=6116</v>
      </c>
      <c r="P2735" s="6" t="str">
        <f>HYPERLINK("https://ceds.ed.gov/elementComment.aspx?elementName=Assessment Accommodation Other Description &amp;elementID=6116", "Click here to submit comment")</f>
        <v>Click here to submit comment</v>
      </c>
    </row>
    <row r="2736" spans="1:16" ht="409.5">
      <c r="A2736" s="6" t="s">
        <v>6784</v>
      </c>
      <c r="B2736" s="6" t="s">
        <v>6853</v>
      </c>
      <c r="C2736" s="6"/>
      <c r="D2736" s="6" t="s">
        <v>407</v>
      </c>
      <c r="E2736" s="6" t="s">
        <v>408</v>
      </c>
      <c r="F2736" s="7" t="s">
        <v>6377</v>
      </c>
      <c r="G2736" s="6" t="s">
        <v>5992</v>
      </c>
      <c r="H2736" s="6"/>
      <c r="I2736" s="6"/>
      <c r="J2736" s="6"/>
      <c r="K2736" s="6"/>
      <c r="L2736" s="6" t="s">
        <v>409</v>
      </c>
      <c r="M2736" s="6"/>
      <c r="N2736" s="6" t="s">
        <v>410</v>
      </c>
      <c r="O2736" s="6" t="str">
        <f>HYPERLINK("https://ceds.ed.gov/cedselementdetails.aspx?termid=5376")</f>
        <v>https://ceds.ed.gov/cedselementdetails.aspx?termid=5376</v>
      </c>
      <c r="P2736" s="6" t="str">
        <f>HYPERLINK("https://ceds.ed.gov/elementComment.aspx?elementName=Assessment Accommodation Type &amp;elementID=5376", "Click here to submit comment")</f>
        <v>Click here to submit comment</v>
      </c>
    </row>
    <row r="2737" spans="1:16" ht="60">
      <c r="A2737" s="6" t="s">
        <v>6784</v>
      </c>
      <c r="B2737" s="6" t="s">
        <v>6853</v>
      </c>
      <c r="C2737" s="6"/>
      <c r="D2737" s="6" t="s">
        <v>1090</v>
      </c>
      <c r="E2737" s="6" t="s">
        <v>1091</v>
      </c>
      <c r="F2737" s="6" t="s">
        <v>13</v>
      </c>
      <c r="G2737" s="6"/>
      <c r="H2737" s="6"/>
      <c r="I2737" s="6" t="s">
        <v>93</v>
      </c>
      <c r="J2737" s="6"/>
      <c r="K2737" s="6" t="s">
        <v>1092</v>
      </c>
      <c r="L2737" s="6" t="s">
        <v>1093</v>
      </c>
      <c r="M2737" s="6"/>
      <c r="N2737" s="6" t="s">
        <v>1094</v>
      </c>
      <c r="O2737" s="6" t="str">
        <f>HYPERLINK("https://ceds.ed.gov/cedselementdetails.aspx?termid=6006")</f>
        <v>https://ceds.ed.gov/cedselementdetails.aspx?termid=6006</v>
      </c>
      <c r="P2737" s="6" t="str">
        <f>HYPERLINK("https://ceds.ed.gov/elementComment.aspx?elementName=Assessment Participant Session Delivery Device Details &amp;elementID=6006", "Click here to submit comment")</f>
        <v>Click here to submit comment</v>
      </c>
    </row>
    <row r="2738" spans="1:16" ht="45">
      <c r="A2738" s="6" t="s">
        <v>6784</v>
      </c>
      <c r="B2738" s="6" t="s">
        <v>6853</v>
      </c>
      <c r="C2738" s="6"/>
      <c r="D2738" s="6" t="s">
        <v>1095</v>
      </c>
      <c r="E2738" s="6" t="s">
        <v>1096</v>
      </c>
      <c r="F2738" s="5" t="s">
        <v>939</v>
      </c>
      <c r="G2738" s="6" t="s">
        <v>5992</v>
      </c>
      <c r="H2738" s="6"/>
      <c r="I2738" s="6"/>
      <c r="J2738" s="6"/>
      <c r="K2738" s="6"/>
      <c r="L2738" s="6" t="s">
        <v>1097</v>
      </c>
      <c r="M2738" s="6"/>
      <c r="N2738" s="6" t="s">
        <v>1098</v>
      </c>
      <c r="O2738" s="6" t="str">
        <f>HYPERLINK("https://ceds.ed.gov/cedselementdetails.aspx?termid=5370")</f>
        <v>https://ceds.ed.gov/cedselementdetails.aspx?termid=5370</v>
      </c>
      <c r="P2738" s="6" t="str">
        <f>HYPERLINK("https://ceds.ed.gov/elementComment.aspx?elementName=Assessment Participant Session Language &amp;elementID=5370", "Click here to submit comment")</f>
        <v>Click here to submit comment</v>
      </c>
    </row>
    <row r="2739" spans="1:16" ht="120">
      <c r="A2739" s="6" t="s">
        <v>6784</v>
      </c>
      <c r="B2739" s="6" t="s">
        <v>6853</v>
      </c>
      <c r="C2739" s="6"/>
      <c r="D2739" s="6" t="s">
        <v>1099</v>
      </c>
      <c r="E2739" s="6" t="s">
        <v>1100</v>
      </c>
      <c r="F2739" s="6" t="s">
        <v>6044</v>
      </c>
      <c r="G2739" s="6" t="s">
        <v>6018</v>
      </c>
      <c r="H2739" s="6"/>
      <c r="I2739" s="6"/>
      <c r="J2739" s="6"/>
      <c r="K2739" s="6"/>
      <c r="L2739" s="6" t="s">
        <v>1101</v>
      </c>
      <c r="M2739" s="6"/>
      <c r="N2739" s="6" t="s">
        <v>1102</v>
      </c>
      <c r="O2739" s="6" t="str">
        <f>HYPERLINK("https://ceds.ed.gov/cedselementdetails.aspx?termid=5377")</f>
        <v>https://ceds.ed.gov/cedselementdetails.aspx?termid=5377</v>
      </c>
      <c r="P2739" s="6" t="str">
        <f>HYPERLINK("https://ceds.ed.gov/elementComment.aspx?elementName=Assessment Participant Session Platform Type &amp;elementID=5377", "Click here to submit comment")</f>
        <v>Click here to submit comment</v>
      </c>
    </row>
    <row r="2740" spans="1:16" ht="135">
      <c r="A2740" s="6" t="s">
        <v>6784</v>
      </c>
      <c r="B2740" s="6" t="s">
        <v>6853</v>
      </c>
      <c r="C2740" s="6"/>
      <c r="D2740" s="6" t="s">
        <v>1103</v>
      </c>
      <c r="E2740" s="6" t="s">
        <v>1104</v>
      </c>
      <c r="F2740" s="6" t="s">
        <v>13</v>
      </c>
      <c r="G2740" s="6"/>
      <c r="H2740" s="6"/>
      <c r="I2740" s="6" t="s">
        <v>1105</v>
      </c>
      <c r="J2740" s="6"/>
      <c r="K2740" s="6" t="s">
        <v>1106</v>
      </c>
      <c r="L2740" s="6" t="s">
        <v>1107</v>
      </c>
      <c r="M2740" s="6"/>
      <c r="N2740" s="6" t="s">
        <v>1108</v>
      </c>
      <c r="O2740" s="6" t="str">
        <f>HYPERLINK("https://ceds.ed.gov/cedselementdetails.aspx?termid=6112")</f>
        <v>https://ceds.ed.gov/cedselementdetails.aspx?termid=6112</v>
      </c>
      <c r="P2740" s="6" t="str">
        <f>HYPERLINK("https://ceds.ed.gov/elementComment.aspx?elementName=Assessment Participant Session Platform User Agent &amp;elementID=6112", "Click here to submit comment")</f>
        <v>Click here to submit comment</v>
      </c>
    </row>
    <row r="2741" spans="1:16" ht="75">
      <c r="A2741" s="6" t="s">
        <v>6784</v>
      </c>
      <c r="B2741" s="6" t="s">
        <v>6853</v>
      </c>
      <c r="C2741" s="6"/>
      <c r="D2741" s="6" t="s">
        <v>1109</v>
      </c>
      <c r="E2741" s="6" t="s">
        <v>1110</v>
      </c>
      <c r="F2741" s="6" t="s">
        <v>13</v>
      </c>
      <c r="G2741" s="6"/>
      <c r="H2741" s="6"/>
      <c r="I2741" s="6" t="s">
        <v>319</v>
      </c>
      <c r="J2741" s="6"/>
      <c r="K2741" s="6"/>
      <c r="L2741" s="6" t="s">
        <v>1111</v>
      </c>
      <c r="M2741" s="6"/>
      <c r="N2741" s="6" t="s">
        <v>1112</v>
      </c>
      <c r="O2741" s="6" t="str">
        <f>HYPERLINK("https://ceds.ed.gov/cedselementdetails.aspx?termid=6102")</f>
        <v>https://ceds.ed.gov/cedselementdetails.aspx?termid=6102</v>
      </c>
      <c r="P2741" s="6" t="str">
        <f>HYPERLINK("https://ceds.ed.gov/elementComment.aspx?elementName=Assessment Participant Session Security Issue &amp;elementID=6102", "Click here to submit comment")</f>
        <v>Click here to submit comment</v>
      </c>
    </row>
    <row r="2742" spans="1:16" ht="45">
      <c r="A2742" s="6" t="s">
        <v>6784</v>
      </c>
      <c r="B2742" s="6" t="s">
        <v>6853</v>
      </c>
      <c r="C2742" s="6"/>
      <c r="D2742" s="6" t="s">
        <v>1113</v>
      </c>
      <c r="E2742" s="6" t="s">
        <v>1114</v>
      </c>
      <c r="F2742" s="6" t="s">
        <v>13</v>
      </c>
      <c r="G2742" s="6" t="s">
        <v>5992</v>
      </c>
      <c r="H2742" s="6"/>
      <c r="I2742" s="6" t="s">
        <v>100</v>
      </c>
      <c r="J2742" s="6"/>
      <c r="K2742" s="6"/>
      <c r="L2742" s="6" t="s">
        <v>1115</v>
      </c>
      <c r="M2742" s="6"/>
      <c r="N2742" s="6" t="s">
        <v>1116</v>
      </c>
      <c r="O2742" s="6" t="str">
        <f>HYPERLINK("https://ceds.ed.gov/cedselementdetails.aspx?termid=5398")</f>
        <v>https://ceds.ed.gov/cedselementdetails.aspx?termid=5398</v>
      </c>
      <c r="P2742" s="6" t="str">
        <f>HYPERLINK("https://ceds.ed.gov/elementComment.aspx?elementName=Assessment Participant Session Time Assessed &amp;elementID=5398", "Click here to submit comment")</f>
        <v>Click here to submit comment</v>
      </c>
    </row>
    <row r="2743" spans="1:16" ht="90">
      <c r="A2743" s="6" t="s">
        <v>6784</v>
      </c>
      <c r="B2743" s="6" t="s">
        <v>6853</v>
      </c>
      <c r="C2743" s="6"/>
      <c r="D2743" s="6" t="s">
        <v>1228</v>
      </c>
      <c r="E2743" s="6" t="s">
        <v>1229</v>
      </c>
      <c r="F2743" s="6" t="s">
        <v>13</v>
      </c>
      <c r="G2743" s="6"/>
      <c r="H2743" s="6"/>
      <c r="I2743" s="6" t="s">
        <v>1168</v>
      </c>
      <c r="J2743" s="6"/>
      <c r="K2743" s="6" t="s">
        <v>1230</v>
      </c>
      <c r="L2743" s="6" t="s">
        <v>1231</v>
      </c>
      <c r="M2743" s="6"/>
      <c r="N2743" s="6" t="s">
        <v>1232</v>
      </c>
      <c r="O2743" s="6" t="str">
        <f>HYPERLINK("https://ceds.ed.gov/cedselementdetails.aspx?termid=6024")</f>
        <v>https://ceds.ed.gov/cedselementdetails.aspx?termid=6024</v>
      </c>
      <c r="P2743" s="6" t="str">
        <f>HYPERLINK("https://ceds.ed.gov/elementComment.aspx?elementName=Assessment Session Actual End Date Time &amp;elementID=6024", "Click here to submit comment")</f>
        <v>Click here to submit comment</v>
      </c>
    </row>
    <row r="2744" spans="1:16" ht="90">
      <c r="A2744" s="6" t="s">
        <v>6784</v>
      </c>
      <c r="B2744" s="6" t="s">
        <v>6853</v>
      </c>
      <c r="C2744" s="6"/>
      <c r="D2744" s="6" t="s">
        <v>1233</v>
      </c>
      <c r="E2744" s="6" t="s">
        <v>1234</v>
      </c>
      <c r="F2744" s="6" t="s">
        <v>13</v>
      </c>
      <c r="G2744" s="6"/>
      <c r="H2744" s="6"/>
      <c r="I2744" s="6" t="s">
        <v>1168</v>
      </c>
      <c r="J2744" s="6"/>
      <c r="K2744" s="6" t="s">
        <v>1235</v>
      </c>
      <c r="L2744" s="6" t="s">
        <v>1236</v>
      </c>
      <c r="M2744" s="6"/>
      <c r="N2744" s="6" t="s">
        <v>1237</v>
      </c>
      <c r="O2744" s="6" t="str">
        <f>HYPERLINK("https://ceds.ed.gov/cedselementdetails.aspx?termid=6023")</f>
        <v>https://ceds.ed.gov/cedselementdetails.aspx?termid=6023</v>
      </c>
      <c r="P2744" s="6" t="str">
        <f>HYPERLINK("https://ceds.ed.gov/elementComment.aspx?elementName=Assessment Session Actual Start Date Time &amp;elementID=6023", "Click here to submit comment")</f>
        <v>Click here to submit comment</v>
      </c>
    </row>
    <row r="2745" spans="1:16" ht="45">
      <c r="A2745" s="6" t="s">
        <v>6784</v>
      </c>
      <c r="B2745" s="6" t="s">
        <v>6853</v>
      </c>
      <c r="C2745" s="6"/>
      <c r="D2745" s="6" t="s">
        <v>1247</v>
      </c>
      <c r="E2745" s="6" t="s">
        <v>1248</v>
      </c>
      <c r="F2745" s="6" t="s">
        <v>13</v>
      </c>
      <c r="G2745" s="6" t="s">
        <v>5992</v>
      </c>
      <c r="H2745" s="6"/>
      <c r="I2745" s="6" t="s">
        <v>1249</v>
      </c>
      <c r="J2745" s="6"/>
      <c r="K2745" s="6"/>
      <c r="L2745" s="6" t="s">
        <v>1250</v>
      </c>
      <c r="M2745" s="6"/>
      <c r="N2745" s="6" t="s">
        <v>1251</v>
      </c>
      <c r="O2745" s="6" t="str">
        <f>HYPERLINK("https://ceds.ed.gov/cedselementdetails.aspx?termid=5590")</f>
        <v>https://ceds.ed.gov/cedselementdetails.aspx?termid=5590</v>
      </c>
      <c r="P2745" s="6" t="str">
        <f>HYPERLINK("https://ceds.ed.gov/elementComment.aspx?elementName=Assessment Session Location &amp;elementID=5590", "Click here to submit comment")</f>
        <v>Click here to submit comment</v>
      </c>
    </row>
    <row r="2746" spans="1:16" ht="150">
      <c r="A2746" s="6" t="s">
        <v>6784</v>
      </c>
      <c r="B2746" s="6" t="s">
        <v>6853</v>
      </c>
      <c r="C2746" s="6"/>
      <c r="D2746" s="6" t="s">
        <v>1265</v>
      </c>
      <c r="E2746" s="6" t="s">
        <v>1266</v>
      </c>
      <c r="F2746" s="6" t="s">
        <v>13</v>
      </c>
      <c r="G2746" s="6"/>
      <c r="H2746" s="6"/>
      <c r="I2746" s="6" t="s">
        <v>93</v>
      </c>
      <c r="J2746" s="6"/>
      <c r="K2746" s="6" t="s">
        <v>835</v>
      </c>
      <c r="L2746" s="6" t="s">
        <v>1267</v>
      </c>
      <c r="M2746" s="6"/>
      <c r="N2746" s="6" t="s">
        <v>1268</v>
      </c>
      <c r="O2746" s="6" t="str">
        <f>HYPERLINK("https://ceds.ed.gov/cedselementdetails.aspx?termid=5969")</f>
        <v>https://ceds.ed.gov/cedselementdetails.aspx?termid=5969</v>
      </c>
      <c r="P2746" s="6" t="str">
        <f>HYPERLINK("https://ceds.ed.gov/elementComment.aspx?elementName=Assessment Session Security Issue &amp;elementID=5969", "Click here to submit comment")</f>
        <v>Click here to submit comment</v>
      </c>
    </row>
    <row r="2747" spans="1:16" ht="409.5">
      <c r="A2747" s="6" t="s">
        <v>6784</v>
      </c>
      <c r="B2747" s="6" t="s">
        <v>6853</v>
      </c>
      <c r="C2747" s="6"/>
      <c r="D2747" s="6" t="s">
        <v>1269</v>
      </c>
      <c r="E2747" s="6" t="s">
        <v>1270</v>
      </c>
      <c r="F2747" s="7" t="s">
        <v>6403</v>
      </c>
      <c r="G2747" s="6" t="s">
        <v>5992</v>
      </c>
      <c r="H2747" s="6"/>
      <c r="I2747" s="6"/>
      <c r="J2747" s="6"/>
      <c r="K2747" s="6"/>
      <c r="L2747" s="6" t="s">
        <v>1271</v>
      </c>
      <c r="M2747" s="6"/>
      <c r="N2747" s="6" t="s">
        <v>1272</v>
      </c>
      <c r="O2747" s="6" t="str">
        <f>HYPERLINK("https://ceds.ed.gov/cedselementdetails.aspx?termid=5380")</f>
        <v>https://ceds.ed.gov/cedselementdetails.aspx?termid=5380</v>
      </c>
      <c r="P2747" s="6" t="str">
        <f>HYPERLINK("https://ceds.ed.gov/elementComment.aspx?elementName=Assessment Session Special Circumstance Type &amp;elementID=5380", "Click here to submit comment")</f>
        <v>Click here to submit comment</v>
      </c>
    </row>
    <row r="2748" spans="1:16" ht="90">
      <c r="A2748" s="6" t="s">
        <v>6784</v>
      </c>
      <c r="B2748" s="6" t="s">
        <v>6853</v>
      </c>
      <c r="C2748" s="6"/>
      <c r="D2748" s="6" t="s">
        <v>1273</v>
      </c>
      <c r="E2748" s="6" t="s">
        <v>1274</v>
      </c>
      <c r="F2748" s="6" t="s">
        <v>13</v>
      </c>
      <c r="G2748" s="6"/>
      <c r="H2748" s="6"/>
      <c r="I2748" s="6" t="s">
        <v>106</v>
      </c>
      <c r="J2748" s="6"/>
      <c r="K2748" s="6"/>
      <c r="L2748" s="6" t="s">
        <v>1275</v>
      </c>
      <c r="M2748" s="6"/>
      <c r="N2748" s="6" t="s">
        <v>1276</v>
      </c>
      <c r="O2748" s="6" t="str">
        <f>HYPERLINK("https://ceds.ed.gov/cedselementdetails.aspx?termid=6077")</f>
        <v>https://ceds.ed.gov/cedselementdetails.aspx?termid=6077</v>
      </c>
      <c r="P2748" s="6" t="str">
        <f>HYPERLINK("https://ceds.ed.gov/elementComment.aspx?elementName=Assessment Session Special Event Description &amp;elementID=6077", "Click here to submit comment")</f>
        <v>Click here to submit comment</v>
      </c>
    </row>
    <row r="2749" spans="1:16" ht="30">
      <c r="A2749" s="6" t="s">
        <v>6784</v>
      </c>
      <c r="B2749" s="6" t="s">
        <v>6854</v>
      </c>
      <c r="C2749" s="6"/>
      <c r="D2749" s="6" t="s">
        <v>143</v>
      </c>
      <c r="E2749" s="6" t="s">
        <v>144</v>
      </c>
      <c r="F2749" s="6" t="s">
        <v>13</v>
      </c>
      <c r="G2749" s="6"/>
      <c r="H2749" s="6"/>
      <c r="I2749" s="6" t="s">
        <v>93</v>
      </c>
      <c r="J2749" s="6"/>
      <c r="K2749" s="6"/>
      <c r="L2749" s="6" t="s">
        <v>145</v>
      </c>
      <c r="M2749" s="6"/>
      <c r="N2749" s="6" t="s">
        <v>146</v>
      </c>
      <c r="O2749" s="6" t="str">
        <f>HYPERLINK("https://ceds.ed.gov/cedselementdetails.aspx?termid=5893")</f>
        <v>https://ceds.ed.gov/cedselementdetails.aspx?termid=5893</v>
      </c>
      <c r="P2749" s="6" t="str">
        <f>HYPERLINK("https://ceds.ed.gov/elementComment.aspx?elementName=Achievement Title &amp;elementID=5893", "Click here to submit comment")</f>
        <v>Click here to submit comment</v>
      </c>
    </row>
    <row r="2750" spans="1:16" ht="30">
      <c r="A2750" s="6" t="s">
        <v>6784</v>
      </c>
      <c r="B2750" s="6" t="s">
        <v>6854</v>
      </c>
      <c r="C2750" s="6"/>
      <c r="D2750" s="6" t="s">
        <v>122</v>
      </c>
      <c r="E2750" s="6" t="s">
        <v>123</v>
      </c>
      <c r="F2750" s="6" t="s">
        <v>13</v>
      </c>
      <c r="G2750" s="6"/>
      <c r="H2750" s="6"/>
      <c r="I2750" s="6" t="s">
        <v>93</v>
      </c>
      <c r="J2750" s="6"/>
      <c r="K2750" s="6"/>
      <c r="L2750" s="6" t="s">
        <v>124</v>
      </c>
      <c r="M2750" s="6"/>
      <c r="N2750" s="6" t="s">
        <v>125</v>
      </c>
      <c r="O2750" s="6" t="str">
        <f>HYPERLINK("https://ceds.ed.gov/cedselementdetails.aspx?termid=5895")</f>
        <v>https://ceds.ed.gov/cedselementdetails.aspx?termid=5895</v>
      </c>
      <c r="P2750" s="6" t="str">
        <f>HYPERLINK("https://ceds.ed.gov/elementComment.aspx?elementName=Achievement Description &amp;elementID=5895", "Click here to submit comment")</f>
        <v>Click here to submit comment</v>
      </c>
    </row>
    <row r="2751" spans="1:16" ht="30">
      <c r="A2751" s="6" t="s">
        <v>6784</v>
      </c>
      <c r="B2751" s="6" t="s">
        <v>6854</v>
      </c>
      <c r="C2751" s="6"/>
      <c r="D2751" s="6" t="s">
        <v>139</v>
      </c>
      <c r="E2751" s="6" t="s">
        <v>140</v>
      </c>
      <c r="F2751" s="6" t="s">
        <v>13</v>
      </c>
      <c r="G2751" s="6"/>
      <c r="H2751" s="6"/>
      <c r="I2751" s="6" t="s">
        <v>73</v>
      </c>
      <c r="J2751" s="6"/>
      <c r="K2751" s="6"/>
      <c r="L2751" s="6" t="s">
        <v>141</v>
      </c>
      <c r="M2751" s="6"/>
      <c r="N2751" s="6" t="s">
        <v>142</v>
      </c>
      <c r="O2751" s="6" t="str">
        <f>HYPERLINK("https://ceds.ed.gov/cedselementdetails.aspx?termid=6120")</f>
        <v>https://ceds.ed.gov/cedselementdetails.aspx?termid=6120</v>
      </c>
      <c r="P2751" s="6" t="str">
        <f>HYPERLINK("https://ceds.ed.gov/elementComment.aspx?elementName=Achievement Start Date &amp;elementID=6120", "Click here to submit comment")</f>
        <v>Click here to submit comment</v>
      </c>
    </row>
    <row r="2752" spans="1:16" ht="45">
      <c r="A2752" s="6" t="s">
        <v>6784</v>
      </c>
      <c r="B2752" s="6" t="s">
        <v>6854</v>
      </c>
      <c r="C2752" s="6"/>
      <c r="D2752" s="6" t="s">
        <v>126</v>
      </c>
      <c r="E2752" s="6" t="s">
        <v>127</v>
      </c>
      <c r="F2752" s="6" t="s">
        <v>13</v>
      </c>
      <c r="G2752" s="6"/>
      <c r="H2752" s="6"/>
      <c r="I2752" s="6" t="s">
        <v>73</v>
      </c>
      <c r="J2752" s="6"/>
      <c r="K2752" s="6"/>
      <c r="L2752" s="6" t="s">
        <v>128</v>
      </c>
      <c r="M2752" s="6"/>
      <c r="N2752" s="6" t="s">
        <v>129</v>
      </c>
      <c r="O2752" s="6" t="str">
        <f>HYPERLINK("https://ceds.ed.gov/cedselementdetails.aspx?termid=6121")</f>
        <v>https://ceds.ed.gov/cedselementdetails.aspx?termid=6121</v>
      </c>
      <c r="P2752" s="6" t="str">
        <f>HYPERLINK("https://ceds.ed.gov/elementComment.aspx?elementName=Achievement End Date &amp;elementID=6121", "Click here to submit comment")</f>
        <v>Click here to submit comment</v>
      </c>
    </row>
    <row r="2753" spans="1:16" ht="45">
      <c r="A2753" s="6" t="s">
        <v>6784</v>
      </c>
      <c r="B2753" s="6" t="s">
        <v>6854</v>
      </c>
      <c r="C2753" s="6"/>
      <c r="D2753" s="6" t="s">
        <v>86</v>
      </c>
      <c r="E2753" s="6" t="s">
        <v>87</v>
      </c>
      <c r="F2753" s="6" t="s">
        <v>13</v>
      </c>
      <c r="G2753" s="6"/>
      <c r="H2753" s="6"/>
      <c r="I2753" s="6" t="s">
        <v>88</v>
      </c>
      <c r="J2753" s="6"/>
      <c r="K2753" s="6"/>
      <c r="L2753" s="6" t="s">
        <v>89</v>
      </c>
      <c r="M2753" s="6"/>
      <c r="N2753" s="6" t="s">
        <v>90</v>
      </c>
      <c r="O2753" s="6" t="str">
        <f>HYPERLINK("https://ceds.ed.gov/cedselementdetails.aspx?termid=5898")</f>
        <v>https://ceds.ed.gov/cedselementdetails.aspx?termid=5898</v>
      </c>
      <c r="P2753" s="6" t="str">
        <f>HYPERLINK("https://ceds.ed.gov/elementComment.aspx?elementName=Achievement Award Issuer Name &amp;elementID=5898", "Click here to submit comment")</f>
        <v>Click here to submit comment</v>
      </c>
    </row>
    <row r="2754" spans="1:16" ht="45">
      <c r="A2754" s="6" t="s">
        <v>6784</v>
      </c>
      <c r="B2754" s="6" t="s">
        <v>6854</v>
      </c>
      <c r="C2754" s="6"/>
      <c r="D2754" s="6" t="s">
        <v>91</v>
      </c>
      <c r="E2754" s="6" t="s">
        <v>92</v>
      </c>
      <c r="F2754" s="6" t="s">
        <v>13</v>
      </c>
      <c r="G2754" s="6"/>
      <c r="H2754" s="6" t="s">
        <v>66</v>
      </c>
      <c r="I2754" s="6" t="s">
        <v>93</v>
      </c>
      <c r="J2754" s="6" t="s">
        <v>94</v>
      </c>
      <c r="K2754" s="6" t="s">
        <v>95</v>
      </c>
      <c r="L2754" s="6" t="s">
        <v>96</v>
      </c>
      <c r="M2754" s="6"/>
      <c r="N2754" s="6" t="s">
        <v>97</v>
      </c>
      <c r="O2754" s="6" t="str">
        <f>HYPERLINK("https://ceds.ed.gov/cedselementdetails.aspx?termid=5900")</f>
        <v>https://ceds.ed.gov/cedselementdetails.aspx?termid=5900</v>
      </c>
      <c r="P2754" s="6" t="str">
        <f>HYPERLINK("https://ceds.ed.gov/elementComment.aspx?elementName=Achievement Award Issuer Origin URL &amp;elementID=5900", "Click here to submit comment")</f>
        <v>Click here to submit comment</v>
      </c>
    </row>
    <row r="2755" spans="1:16" ht="75">
      <c r="A2755" s="6" t="s">
        <v>6784</v>
      </c>
      <c r="B2755" s="6" t="s">
        <v>6854</v>
      </c>
      <c r="C2755" s="6"/>
      <c r="D2755" s="6" t="s">
        <v>98</v>
      </c>
      <c r="E2755" s="6" t="s">
        <v>99</v>
      </c>
      <c r="F2755" s="6" t="s">
        <v>13</v>
      </c>
      <c r="G2755" s="6"/>
      <c r="H2755" s="6"/>
      <c r="I2755" s="6" t="s">
        <v>100</v>
      </c>
      <c r="J2755" s="6"/>
      <c r="K2755" s="6" t="s">
        <v>101</v>
      </c>
      <c r="L2755" s="6" t="s">
        <v>102</v>
      </c>
      <c r="M2755" s="6"/>
      <c r="N2755" s="6" t="s">
        <v>103</v>
      </c>
      <c r="O2755" s="6" t="str">
        <f>HYPERLINK("https://ceds.ed.gov/cedselementdetails.aspx?termid=6211")</f>
        <v>https://ceds.ed.gov/cedselementdetails.aspx?termid=6211</v>
      </c>
      <c r="P2755" s="6" t="str">
        <f>HYPERLINK("https://ceds.ed.gov/elementComment.aspx?elementName=Achievement Category System &amp;elementID=6211", "Click here to submit comment")</f>
        <v>Click here to submit comment</v>
      </c>
    </row>
    <row r="2756" spans="1:16" ht="270">
      <c r="A2756" s="6" t="s">
        <v>6784</v>
      </c>
      <c r="B2756" s="6" t="s">
        <v>6854</v>
      </c>
      <c r="C2756" s="6"/>
      <c r="D2756" s="6" t="s">
        <v>104</v>
      </c>
      <c r="E2756" s="6" t="s">
        <v>105</v>
      </c>
      <c r="F2756" s="6" t="s">
        <v>13</v>
      </c>
      <c r="G2756" s="6"/>
      <c r="H2756" s="6"/>
      <c r="I2756" s="6" t="s">
        <v>106</v>
      </c>
      <c r="J2756" s="6"/>
      <c r="K2756" s="6" t="s">
        <v>107</v>
      </c>
      <c r="L2756" s="6" t="s">
        <v>108</v>
      </c>
      <c r="M2756" s="6"/>
      <c r="N2756" s="6" t="s">
        <v>109</v>
      </c>
      <c r="O2756" s="6" t="str">
        <f>HYPERLINK("https://ceds.ed.gov/cedselementdetails.aspx?termid=5892")</f>
        <v>https://ceds.ed.gov/cedselementdetails.aspx?termid=5892</v>
      </c>
      <c r="P2756" s="6" t="str">
        <f>HYPERLINK("https://ceds.ed.gov/elementComment.aspx?elementName=Achievement Category Type &amp;elementID=5892", "Click here to submit comment")</f>
        <v>Click here to submit comment</v>
      </c>
    </row>
    <row r="2757" spans="1:16" ht="60">
      <c r="A2757" s="6" t="s">
        <v>6784</v>
      </c>
      <c r="B2757" s="6" t="s">
        <v>6854</v>
      </c>
      <c r="C2757" s="6"/>
      <c r="D2757" s="6" t="s">
        <v>134</v>
      </c>
      <c r="E2757" s="6" t="s">
        <v>135</v>
      </c>
      <c r="F2757" s="6" t="s">
        <v>13</v>
      </c>
      <c r="G2757" s="6"/>
      <c r="H2757" s="6"/>
      <c r="I2757" s="6" t="s">
        <v>93</v>
      </c>
      <c r="J2757" s="6"/>
      <c r="K2757" s="6" t="s">
        <v>136</v>
      </c>
      <c r="L2757" s="6" t="s">
        <v>137</v>
      </c>
      <c r="M2757" s="6"/>
      <c r="N2757" s="6" t="s">
        <v>138</v>
      </c>
      <c r="O2757" s="6" t="str">
        <f>HYPERLINK("https://ceds.ed.gov/cedselementdetails.aspx?termid=5894")</f>
        <v>https://ceds.ed.gov/cedselementdetails.aspx?termid=5894</v>
      </c>
      <c r="P2757" s="6" t="str">
        <f>HYPERLINK("https://ceds.ed.gov/elementComment.aspx?elementName=Achievement Image URL &amp;elementID=5894", "Click here to submit comment")</f>
        <v>Click here to submit comment</v>
      </c>
    </row>
    <row r="2758" spans="1:16" ht="30">
      <c r="A2758" s="6" t="s">
        <v>6784</v>
      </c>
      <c r="B2758" s="6" t="s">
        <v>6854</v>
      </c>
      <c r="C2758" s="6"/>
      <c r="D2758" s="6" t="s">
        <v>110</v>
      </c>
      <c r="E2758" s="6" t="s">
        <v>111</v>
      </c>
      <c r="F2758" s="6" t="s">
        <v>13</v>
      </c>
      <c r="G2758" s="6"/>
      <c r="H2758" s="6"/>
      <c r="I2758" s="6" t="s">
        <v>93</v>
      </c>
      <c r="J2758" s="6"/>
      <c r="K2758" s="6"/>
      <c r="L2758" s="6" t="s">
        <v>112</v>
      </c>
      <c r="M2758" s="6"/>
      <c r="N2758" s="6" t="s">
        <v>113</v>
      </c>
      <c r="O2758" s="6" t="str">
        <f>HYPERLINK("https://ceds.ed.gov/cedselementdetails.aspx?termid=5896")</f>
        <v>https://ceds.ed.gov/cedselementdetails.aspx?termid=5896</v>
      </c>
      <c r="P2758" s="6" t="str">
        <f>HYPERLINK("https://ceds.ed.gov/elementComment.aspx?elementName=Achievement Criteria &amp;elementID=5896", "Click here to submit comment")</f>
        <v>Click here to submit comment</v>
      </c>
    </row>
    <row r="2759" spans="1:16" ht="75">
      <c r="A2759" s="6" t="s">
        <v>6784</v>
      </c>
      <c r="B2759" s="6" t="s">
        <v>6854</v>
      </c>
      <c r="C2759" s="6"/>
      <c r="D2759" s="6" t="s">
        <v>114</v>
      </c>
      <c r="E2759" s="6" t="s">
        <v>115</v>
      </c>
      <c r="F2759" s="6" t="s">
        <v>13</v>
      </c>
      <c r="G2759" s="6"/>
      <c r="H2759" s="6"/>
      <c r="I2759" s="6" t="s">
        <v>93</v>
      </c>
      <c r="J2759" s="6"/>
      <c r="K2759" s="6"/>
      <c r="L2759" s="6" t="s">
        <v>116</v>
      </c>
      <c r="M2759" s="6"/>
      <c r="N2759" s="6" t="s">
        <v>117</v>
      </c>
      <c r="O2759" s="6" t="str">
        <f>HYPERLINK("https://ceds.ed.gov/cedselementdetails.aspx?termid=6113")</f>
        <v>https://ceds.ed.gov/cedselementdetails.aspx?termid=6113</v>
      </c>
      <c r="P2759" s="6" t="str">
        <f>HYPERLINK("https://ceds.ed.gov/elementComment.aspx?elementName=Achievement Criteria URL &amp;elementID=6113", "Click here to submit comment")</f>
        <v>Click here to submit comment</v>
      </c>
    </row>
    <row r="2760" spans="1:16" ht="60">
      <c r="A2760" s="6" t="s">
        <v>6784</v>
      </c>
      <c r="B2760" s="6" t="s">
        <v>6854</v>
      </c>
      <c r="C2760" s="6"/>
      <c r="D2760" s="6" t="s">
        <v>130</v>
      </c>
      <c r="E2760" s="6" t="s">
        <v>131</v>
      </c>
      <c r="F2760" s="6" t="s">
        <v>13</v>
      </c>
      <c r="G2760" s="6"/>
      <c r="H2760" s="6"/>
      <c r="I2760" s="6" t="s">
        <v>93</v>
      </c>
      <c r="J2760" s="6"/>
      <c r="K2760" s="6"/>
      <c r="L2760" s="6" t="s">
        <v>132</v>
      </c>
      <c r="M2760" s="6"/>
      <c r="N2760" s="6" t="s">
        <v>133</v>
      </c>
      <c r="O2760" s="6" t="str">
        <f>HYPERLINK("https://ceds.ed.gov/cedselementdetails.aspx?termid=5901")</f>
        <v>https://ceds.ed.gov/cedselementdetails.aspx?termid=5901</v>
      </c>
      <c r="P2760" s="6" t="str">
        <f>HYPERLINK("https://ceds.ed.gov/elementComment.aspx?elementName=Achievement Evidence Statement &amp;elementID=5901", "Click here to submit comment")</f>
        <v>Click here to submit comment</v>
      </c>
    </row>
    <row r="2761" spans="1:16" ht="45">
      <c r="A2761" s="6" t="s">
        <v>6784</v>
      </c>
      <c r="B2761" s="6" t="s">
        <v>6855</v>
      </c>
      <c r="C2761" s="6"/>
      <c r="D2761" s="6" t="s">
        <v>3524</v>
      </c>
      <c r="E2761" s="6" t="s">
        <v>3525</v>
      </c>
      <c r="F2761" s="6" t="s">
        <v>13</v>
      </c>
      <c r="G2761" s="6"/>
      <c r="H2761" s="6"/>
      <c r="I2761" s="6" t="s">
        <v>93</v>
      </c>
      <c r="J2761" s="6"/>
      <c r="K2761" s="6"/>
      <c r="L2761" s="6" t="s">
        <v>3526</v>
      </c>
      <c r="M2761" s="6"/>
      <c r="N2761" s="6" t="s">
        <v>3527</v>
      </c>
      <c r="O2761" s="6" t="str">
        <f>HYPERLINK("https://ceds.ed.gov/cedselementdetails.aspx?termid=5903")</f>
        <v>https://ceds.ed.gov/cedselementdetails.aspx?termid=5903</v>
      </c>
      <c r="P2761" s="6" t="str">
        <f>HYPERLINK("https://ceds.ed.gov/elementComment.aspx?elementName=Learning Goal Description &amp;elementID=5903", "Click here to submit comment")</f>
        <v>Click here to submit comment</v>
      </c>
    </row>
    <row r="2762" spans="1:16" ht="135">
      <c r="A2762" s="6" t="s">
        <v>6784</v>
      </c>
      <c r="B2762" s="6" t="s">
        <v>6855</v>
      </c>
      <c r="C2762" s="6"/>
      <c r="D2762" s="6" t="s">
        <v>3536</v>
      </c>
      <c r="E2762" s="6" t="s">
        <v>3537</v>
      </c>
      <c r="F2762" s="6" t="s">
        <v>13</v>
      </c>
      <c r="G2762" s="6"/>
      <c r="H2762" s="6"/>
      <c r="I2762" s="6" t="s">
        <v>93</v>
      </c>
      <c r="J2762" s="6"/>
      <c r="K2762" s="6"/>
      <c r="L2762" s="6" t="s">
        <v>3538</v>
      </c>
      <c r="M2762" s="6"/>
      <c r="N2762" s="6" t="s">
        <v>3539</v>
      </c>
      <c r="O2762" s="6" t="str">
        <f>HYPERLINK("https://ceds.ed.gov/cedselementdetails.aspx?termid=5902")</f>
        <v>https://ceds.ed.gov/cedselementdetails.aspx?termid=5902</v>
      </c>
      <c r="P2762" s="6" t="str">
        <f>HYPERLINK("https://ceds.ed.gov/elementComment.aspx?elementName=Learning Goal Success Criteria &amp;elementID=5902", "Click here to submit comment")</f>
        <v>Click here to submit comment</v>
      </c>
    </row>
    <row r="2763" spans="1:16" ht="45">
      <c r="A2763" s="6" t="s">
        <v>6784</v>
      </c>
      <c r="B2763" s="6" t="s">
        <v>6911</v>
      </c>
      <c r="C2763" s="6" t="s">
        <v>6912</v>
      </c>
      <c r="D2763" s="6" t="s">
        <v>3731</v>
      </c>
      <c r="E2763" s="6" t="s">
        <v>3732</v>
      </c>
      <c r="F2763" s="6" t="s">
        <v>13</v>
      </c>
      <c r="G2763" s="6"/>
      <c r="H2763" s="6"/>
      <c r="I2763" s="6" t="s">
        <v>1440</v>
      </c>
      <c r="J2763" s="6"/>
      <c r="K2763" s="6"/>
      <c r="L2763" s="6" t="s">
        <v>3733</v>
      </c>
      <c r="M2763" s="6"/>
      <c r="N2763" s="6" t="s">
        <v>3734</v>
      </c>
      <c r="O2763" s="6" t="str">
        <f>HYPERLINK("https://ceds.ed.gov/cedselementdetails.aspx?termid=5673")</f>
        <v>https://ceds.ed.gov/cedselementdetails.aspx?termid=5673</v>
      </c>
      <c r="P2763" s="6" t="str">
        <f>HYPERLINK("https://ceds.ed.gov/elementComment.aspx?elementName=Learning Standard Document Creator &amp;elementID=5673", "Click here to submit comment")</f>
        <v>Click here to submit comment</v>
      </c>
    </row>
    <row r="2764" spans="1:16" ht="45">
      <c r="A2764" s="6" t="s">
        <v>6784</v>
      </c>
      <c r="B2764" s="6" t="s">
        <v>6911</v>
      </c>
      <c r="C2764" s="6" t="s">
        <v>6912</v>
      </c>
      <c r="D2764" s="6" t="s">
        <v>3735</v>
      </c>
      <c r="E2764" s="6" t="s">
        <v>3736</v>
      </c>
      <c r="F2764" s="6" t="s">
        <v>13</v>
      </c>
      <c r="G2764" s="6"/>
      <c r="H2764" s="6"/>
      <c r="I2764" s="6" t="s">
        <v>93</v>
      </c>
      <c r="J2764" s="6"/>
      <c r="K2764" s="6"/>
      <c r="L2764" s="6" t="s">
        <v>3737</v>
      </c>
      <c r="M2764" s="6"/>
      <c r="N2764" s="6" t="s">
        <v>3738</v>
      </c>
      <c r="O2764" s="6" t="str">
        <f>HYPERLINK("https://ceds.ed.gov/cedselementdetails.aspx?termid=5674")</f>
        <v>https://ceds.ed.gov/cedselementdetails.aspx?termid=5674</v>
      </c>
      <c r="P2764" s="6" t="str">
        <f>HYPERLINK("https://ceds.ed.gov/elementComment.aspx?elementName=Learning Standard Document Description &amp;elementID=5674", "Click here to submit comment")</f>
        <v>Click here to submit comment</v>
      </c>
    </row>
    <row r="2765" spans="1:16" ht="45">
      <c r="A2765" s="6" t="s">
        <v>6784</v>
      </c>
      <c r="B2765" s="6" t="s">
        <v>6911</v>
      </c>
      <c r="C2765" s="6" t="s">
        <v>6912</v>
      </c>
      <c r="D2765" s="6" t="s">
        <v>3739</v>
      </c>
      <c r="E2765" s="6" t="s">
        <v>3740</v>
      </c>
      <c r="F2765" s="6" t="s">
        <v>13</v>
      </c>
      <c r="G2765" s="6" t="s">
        <v>493</v>
      </c>
      <c r="H2765" s="6"/>
      <c r="I2765" s="6" t="s">
        <v>93</v>
      </c>
      <c r="J2765" s="6"/>
      <c r="K2765" s="6"/>
      <c r="L2765" s="6" t="s">
        <v>3741</v>
      </c>
      <c r="M2765" s="6"/>
      <c r="N2765" s="6" t="s">
        <v>3742</v>
      </c>
      <c r="O2765" s="6" t="str">
        <f>HYPERLINK("https://ceds.ed.gov/cedselementdetails.aspx?termid=5670")</f>
        <v>https://ceds.ed.gov/cedselementdetails.aspx?termid=5670</v>
      </c>
      <c r="P2765" s="6" t="str">
        <f>HYPERLINK("https://ceds.ed.gov/elementComment.aspx?elementName=Learning Standard Document Identifier URI &amp;elementID=5670", "Click here to submit comment")</f>
        <v>Click here to submit comment</v>
      </c>
    </row>
    <row r="2766" spans="1:16" ht="60">
      <c r="A2766" s="6" t="s">
        <v>6784</v>
      </c>
      <c r="B2766" s="6" t="s">
        <v>6911</v>
      </c>
      <c r="C2766" s="6" t="s">
        <v>6912</v>
      </c>
      <c r="D2766" s="6" t="s">
        <v>3743</v>
      </c>
      <c r="E2766" s="6" t="s">
        <v>3744</v>
      </c>
      <c r="F2766" s="6" t="s">
        <v>13</v>
      </c>
      <c r="G2766" s="6"/>
      <c r="H2766" s="6"/>
      <c r="I2766" s="6" t="s">
        <v>1440</v>
      </c>
      <c r="J2766" s="6"/>
      <c r="K2766" s="6"/>
      <c r="L2766" s="6" t="s">
        <v>3745</v>
      </c>
      <c r="M2766" s="6"/>
      <c r="N2766" s="6" t="s">
        <v>3746</v>
      </c>
      <c r="O2766" s="6" t="str">
        <f>HYPERLINK("https://ceds.ed.gov/cedselementdetails.aspx?termid=5676")</f>
        <v>https://ceds.ed.gov/cedselementdetails.aspx?termid=5676</v>
      </c>
      <c r="P2766" s="6" t="str">
        <f>HYPERLINK("https://ceds.ed.gov/elementComment.aspx?elementName=Learning Standard Document Jurisdiction &amp;elementID=5676", "Click here to submit comment")</f>
        <v>Click here to submit comment</v>
      </c>
    </row>
    <row r="2767" spans="1:16" ht="90">
      <c r="A2767" s="6" t="s">
        <v>6784</v>
      </c>
      <c r="B2767" s="6" t="s">
        <v>6911</v>
      </c>
      <c r="C2767" s="6" t="s">
        <v>6912</v>
      </c>
      <c r="D2767" s="6" t="s">
        <v>3755</v>
      </c>
      <c r="E2767" s="6" t="s">
        <v>3756</v>
      </c>
      <c r="F2767" s="6" t="s">
        <v>6242</v>
      </c>
      <c r="G2767" s="6"/>
      <c r="H2767" s="6"/>
      <c r="I2767" s="6"/>
      <c r="J2767" s="6"/>
      <c r="K2767" s="6"/>
      <c r="L2767" s="6" t="s">
        <v>3757</v>
      </c>
      <c r="M2767" s="6"/>
      <c r="N2767" s="6" t="s">
        <v>3758</v>
      </c>
      <c r="O2767" s="6" t="str">
        <f>HYPERLINK("https://ceds.ed.gov/cedselementdetails.aspx?termid=5675")</f>
        <v>https://ceds.ed.gov/cedselementdetails.aspx?termid=5675</v>
      </c>
      <c r="P2767" s="6" t="str">
        <f>HYPERLINK("https://ceds.ed.gov/elementComment.aspx?elementName=Learning Standard Document Publication Status &amp;elementID=5675", "Click here to submit comment")</f>
        <v>Click here to submit comment</v>
      </c>
    </row>
    <row r="2768" spans="1:16" ht="30">
      <c r="A2768" s="6" t="s">
        <v>6784</v>
      </c>
      <c r="B2768" s="6" t="s">
        <v>6911</v>
      </c>
      <c r="C2768" s="6" t="s">
        <v>6912</v>
      </c>
      <c r="D2768" s="6" t="s">
        <v>3771</v>
      </c>
      <c r="E2768" s="6" t="s">
        <v>3772</v>
      </c>
      <c r="F2768" s="6" t="s">
        <v>13</v>
      </c>
      <c r="G2768" s="6" t="s">
        <v>493</v>
      </c>
      <c r="H2768" s="6"/>
      <c r="I2768" s="6" t="s">
        <v>100</v>
      </c>
      <c r="J2768" s="6"/>
      <c r="K2768" s="6"/>
      <c r="L2768" s="6" t="s">
        <v>3773</v>
      </c>
      <c r="M2768" s="6"/>
      <c r="N2768" s="6" t="s">
        <v>3774</v>
      </c>
      <c r="O2768" s="6" t="str">
        <f>HYPERLINK("https://ceds.ed.gov/cedselementdetails.aspx?termid=5679")</f>
        <v>https://ceds.ed.gov/cedselementdetails.aspx?termid=5679</v>
      </c>
      <c r="P2768" s="6" t="str">
        <f>HYPERLINK("https://ceds.ed.gov/elementComment.aspx?elementName=Learning Standard Document Subject &amp;elementID=5679", "Click here to submit comment")</f>
        <v>Click here to submit comment</v>
      </c>
    </row>
    <row r="2769" spans="1:16" ht="30">
      <c r="A2769" s="6" t="s">
        <v>6784</v>
      </c>
      <c r="B2769" s="6" t="s">
        <v>6911</v>
      </c>
      <c r="C2769" s="6" t="s">
        <v>6912</v>
      </c>
      <c r="D2769" s="6" t="s">
        <v>3775</v>
      </c>
      <c r="E2769" s="6" t="s">
        <v>3776</v>
      </c>
      <c r="F2769" s="6" t="s">
        <v>13</v>
      </c>
      <c r="G2769" s="6" t="s">
        <v>493</v>
      </c>
      <c r="H2769" s="6"/>
      <c r="I2769" s="6" t="s">
        <v>1440</v>
      </c>
      <c r="J2769" s="6"/>
      <c r="K2769" s="6"/>
      <c r="L2769" s="6" t="s">
        <v>3777</v>
      </c>
      <c r="M2769" s="6"/>
      <c r="N2769" s="6" t="s">
        <v>3778</v>
      </c>
      <c r="O2769" s="6" t="str">
        <f>HYPERLINK("https://ceds.ed.gov/cedselementdetails.aspx?termid=5671")</f>
        <v>https://ceds.ed.gov/cedselementdetails.aspx?termid=5671</v>
      </c>
      <c r="P2769" s="6" t="str">
        <f>HYPERLINK("https://ceds.ed.gov/elementComment.aspx?elementName=Learning Standard Document Title &amp;elementID=5671", "Click here to submit comment")</f>
        <v>Click here to submit comment</v>
      </c>
    </row>
    <row r="2770" spans="1:16" ht="60">
      <c r="A2770" s="6" t="s">
        <v>6784</v>
      </c>
      <c r="B2770" s="6" t="s">
        <v>6911</v>
      </c>
      <c r="C2770" s="6" t="s">
        <v>6912</v>
      </c>
      <c r="D2770" s="6" t="s">
        <v>3779</v>
      </c>
      <c r="E2770" s="6" t="s">
        <v>3780</v>
      </c>
      <c r="F2770" s="6" t="s">
        <v>13</v>
      </c>
      <c r="G2770" s="6"/>
      <c r="H2770" s="6"/>
      <c r="I2770" s="6" t="s">
        <v>73</v>
      </c>
      <c r="J2770" s="6"/>
      <c r="K2770" s="6"/>
      <c r="L2770" s="6" t="s">
        <v>3781</v>
      </c>
      <c r="M2770" s="6"/>
      <c r="N2770" s="6" t="s">
        <v>3782</v>
      </c>
      <c r="O2770" s="6" t="str">
        <f>HYPERLINK("https://ceds.ed.gov/cedselementdetails.aspx?termid=5678")</f>
        <v>https://ceds.ed.gov/cedselementdetails.aspx?termid=5678</v>
      </c>
      <c r="P2770" s="6" t="str">
        <f>HYPERLINK("https://ceds.ed.gov/elementComment.aspx?elementName=Learning Standard Document Valid End Date &amp;elementID=5678", "Click here to submit comment")</f>
        <v>Click here to submit comment</v>
      </c>
    </row>
    <row r="2771" spans="1:16" ht="60">
      <c r="A2771" s="6" t="s">
        <v>6784</v>
      </c>
      <c r="B2771" s="6" t="s">
        <v>6911</v>
      </c>
      <c r="C2771" s="6" t="s">
        <v>6912</v>
      </c>
      <c r="D2771" s="6" t="s">
        <v>3783</v>
      </c>
      <c r="E2771" s="6" t="s">
        <v>3784</v>
      </c>
      <c r="F2771" s="6" t="s">
        <v>13</v>
      </c>
      <c r="G2771" s="6"/>
      <c r="H2771" s="6"/>
      <c r="I2771" s="6" t="s">
        <v>73</v>
      </c>
      <c r="J2771" s="6"/>
      <c r="K2771" s="6"/>
      <c r="L2771" s="6" t="s">
        <v>3785</v>
      </c>
      <c r="M2771" s="6"/>
      <c r="N2771" s="6" t="s">
        <v>3786</v>
      </c>
      <c r="O2771" s="6" t="str">
        <f>HYPERLINK("https://ceds.ed.gov/cedselementdetails.aspx?termid=5677")</f>
        <v>https://ceds.ed.gov/cedselementdetails.aspx?termid=5677</v>
      </c>
      <c r="P2771" s="6" t="str">
        <f>HYPERLINK("https://ceds.ed.gov/elementComment.aspx?elementName=Learning Standard Document Valid Start Date &amp;elementID=5677", "Click here to submit comment")</f>
        <v>Click here to submit comment</v>
      </c>
    </row>
    <row r="2772" spans="1:16" ht="30">
      <c r="A2772" s="6" t="s">
        <v>6784</v>
      </c>
      <c r="B2772" s="6" t="s">
        <v>6911</v>
      </c>
      <c r="C2772" s="6" t="s">
        <v>6912</v>
      </c>
      <c r="D2772" s="6" t="s">
        <v>3787</v>
      </c>
      <c r="E2772" s="6" t="s">
        <v>3788</v>
      </c>
      <c r="F2772" s="6" t="s">
        <v>13</v>
      </c>
      <c r="G2772" s="6" t="s">
        <v>493</v>
      </c>
      <c r="H2772" s="6"/>
      <c r="I2772" s="6" t="s">
        <v>100</v>
      </c>
      <c r="J2772" s="6"/>
      <c r="K2772" s="6"/>
      <c r="L2772" s="6" t="s">
        <v>3789</v>
      </c>
      <c r="M2772" s="6"/>
      <c r="N2772" s="6" t="s">
        <v>3790</v>
      </c>
      <c r="O2772" s="6" t="str">
        <f>HYPERLINK("https://ceds.ed.gov/cedselementdetails.aspx?termid=5672")</f>
        <v>https://ceds.ed.gov/cedselementdetails.aspx?termid=5672</v>
      </c>
      <c r="P2772" s="6" t="str">
        <f>HYPERLINK("https://ceds.ed.gov/elementComment.aspx?elementName=Learning Standard Document Version &amp;elementID=5672", "Click here to submit comment")</f>
        <v>Click here to submit comment</v>
      </c>
    </row>
    <row r="2773" spans="1:16" ht="75">
      <c r="A2773" s="6" t="s">
        <v>6784</v>
      </c>
      <c r="B2773" s="6" t="s">
        <v>6911</v>
      </c>
      <c r="C2773" s="6" t="s">
        <v>6912</v>
      </c>
      <c r="D2773" s="6" t="s">
        <v>3747</v>
      </c>
      <c r="E2773" s="6" t="s">
        <v>3748</v>
      </c>
      <c r="F2773" s="5" t="s">
        <v>939</v>
      </c>
      <c r="G2773" s="6"/>
      <c r="H2773" s="6"/>
      <c r="I2773" s="6"/>
      <c r="J2773" s="6"/>
      <c r="K2773" s="6" t="s">
        <v>3478</v>
      </c>
      <c r="L2773" s="6" t="s">
        <v>3749</v>
      </c>
      <c r="M2773" s="6"/>
      <c r="N2773" s="6" t="s">
        <v>3750</v>
      </c>
      <c r="O2773" s="6" t="str">
        <f>HYPERLINK("https://ceds.ed.gov/cedselementdetails.aspx?termid=5880")</f>
        <v>https://ceds.ed.gov/cedselementdetails.aspx?termid=5880</v>
      </c>
      <c r="P2773" s="6" t="str">
        <f>HYPERLINK("https://ceds.ed.gov/elementComment.aspx?elementName=Learning Standard Document Language &amp;elementID=5880", "Click here to submit comment")</f>
        <v>Click here to submit comment</v>
      </c>
    </row>
    <row r="2774" spans="1:16" ht="45">
      <c r="A2774" s="6" t="s">
        <v>6784</v>
      </c>
      <c r="B2774" s="6" t="s">
        <v>6911</v>
      </c>
      <c r="C2774" s="6" t="s">
        <v>6912</v>
      </c>
      <c r="D2774" s="6" t="s">
        <v>3751</v>
      </c>
      <c r="E2774" s="6" t="s">
        <v>3752</v>
      </c>
      <c r="F2774" s="6" t="s">
        <v>13</v>
      </c>
      <c r="G2774" s="6"/>
      <c r="H2774" s="6"/>
      <c r="I2774" s="6" t="s">
        <v>93</v>
      </c>
      <c r="J2774" s="6"/>
      <c r="K2774" s="6"/>
      <c r="L2774" s="6" t="s">
        <v>3753</v>
      </c>
      <c r="M2774" s="6"/>
      <c r="N2774" s="6" t="s">
        <v>3754</v>
      </c>
      <c r="O2774" s="6" t="str">
        <f>HYPERLINK("https://ceds.ed.gov/cedselementdetails.aspx?termid=5882")</f>
        <v>https://ceds.ed.gov/cedselementdetails.aspx?termid=5882</v>
      </c>
      <c r="P2774" s="6" t="str">
        <f>HYPERLINK("https://ceds.ed.gov/elementComment.aspx?elementName=Learning Standard Document License &amp;elementID=5882", "Click here to submit comment")</f>
        <v>Click here to submit comment</v>
      </c>
    </row>
    <row r="2775" spans="1:16" ht="45">
      <c r="A2775" s="6" t="s">
        <v>6784</v>
      </c>
      <c r="B2775" s="6" t="s">
        <v>6911</v>
      </c>
      <c r="C2775" s="6" t="s">
        <v>6912</v>
      </c>
      <c r="D2775" s="6" t="s">
        <v>3759</v>
      </c>
      <c r="E2775" s="6" t="s">
        <v>3760</v>
      </c>
      <c r="F2775" s="6" t="s">
        <v>13</v>
      </c>
      <c r="G2775" s="6"/>
      <c r="H2775" s="6"/>
      <c r="I2775" s="6" t="s">
        <v>100</v>
      </c>
      <c r="J2775" s="6"/>
      <c r="K2775" s="6"/>
      <c r="L2775" s="6" t="s">
        <v>3761</v>
      </c>
      <c r="M2775" s="6"/>
      <c r="N2775" s="6" t="s">
        <v>3762</v>
      </c>
      <c r="O2775" s="6" t="str">
        <f>HYPERLINK("https://ceds.ed.gov/cedselementdetails.aspx?termid=5884")</f>
        <v>https://ceds.ed.gov/cedselementdetails.aspx?termid=5884</v>
      </c>
      <c r="P2775" s="6" t="str">
        <f>HYPERLINK("https://ceds.ed.gov/elementComment.aspx?elementName=Learning Standard Document Publisher &amp;elementID=5884", "Click here to submit comment")</f>
        <v>Click here to submit comment</v>
      </c>
    </row>
    <row r="2776" spans="1:16" ht="30">
      <c r="A2776" s="6" t="s">
        <v>6784</v>
      </c>
      <c r="B2776" s="6" t="s">
        <v>6911</v>
      </c>
      <c r="C2776" s="6" t="s">
        <v>6912</v>
      </c>
      <c r="D2776" s="6" t="s">
        <v>3763</v>
      </c>
      <c r="E2776" s="6" t="s">
        <v>3764</v>
      </c>
      <c r="F2776" s="6" t="s">
        <v>13</v>
      </c>
      <c r="G2776" s="6"/>
      <c r="H2776" s="6"/>
      <c r="I2776" s="6" t="s">
        <v>93</v>
      </c>
      <c r="J2776" s="6"/>
      <c r="K2776" s="6"/>
      <c r="L2776" s="6" t="s">
        <v>3765</v>
      </c>
      <c r="M2776" s="6"/>
      <c r="N2776" s="6" t="s">
        <v>3766</v>
      </c>
      <c r="O2776" s="6" t="str">
        <f>HYPERLINK("https://ceds.ed.gov/cedselementdetails.aspx?termid=5885")</f>
        <v>https://ceds.ed.gov/cedselementdetails.aspx?termid=5885</v>
      </c>
      <c r="P2776" s="6" t="str">
        <f>HYPERLINK("https://ceds.ed.gov/elementComment.aspx?elementName=Learning Standard Document Rights &amp;elementID=5885", "Click here to submit comment")</f>
        <v>Click here to submit comment</v>
      </c>
    </row>
    <row r="2777" spans="1:16" ht="45">
      <c r="A2777" s="6" t="s">
        <v>6784</v>
      </c>
      <c r="B2777" s="6" t="s">
        <v>6911</v>
      </c>
      <c r="C2777" s="6" t="s">
        <v>6912</v>
      </c>
      <c r="D2777" s="6" t="s">
        <v>3767</v>
      </c>
      <c r="E2777" s="6" t="s">
        <v>3768</v>
      </c>
      <c r="F2777" s="6" t="s">
        <v>13</v>
      </c>
      <c r="G2777" s="6"/>
      <c r="H2777" s="6"/>
      <c r="I2777" s="6" t="s">
        <v>100</v>
      </c>
      <c r="J2777" s="6"/>
      <c r="K2777" s="6"/>
      <c r="L2777" s="6" t="s">
        <v>3769</v>
      </c>
      <c r="M2777" s="6"/>
      <c r="N2777" s="6" t="s">
        <v>3770</v>
      </c>
      <c r="O2777" s="6" t="str">
        <f>HYPERLINK("https://ceds.ed.gov/cedselementdetails.aspx?termid=5886")</f>
        <v>https://ceds.ed.gov/cedselementdetails.aspx?termid=5886</v>
      </c>
      <c r="P2777" s="6" t="str">
        <f>HYPERLINK("https://ceds.ed.gov/elementComment.aspx?elementName=Learning Standard Document Rights Holder &amp;elementID=5886", "Click here to submit comment")</f>
        <v>Click here to submit comment</v>
      </c>
    </row>
    <row r="2778" spans="1:16" ht="60">
      <c r="A2778" s="6" t="s">
        <v>6784</v>
      </c>
      <c r="B2778" s="6" t="s">
        <v>6911</v>
      </c>
      <c r="C2778" s="6" t="s">
        <v>6912</v>
      </c>
      <c r="D2778" s="6" t="s">
        <v>3945</v>
      </c>
      <c r="E2778" s="6" t="s">
        <v>3946</v>
      </c>
      <c r="F2778" s="6" t="s">
        <v>13</v>
      </c>
      <c r="G2778" s="6"/>
      <c r="H2778" s="6" t="s">
        <v>54</v>
      </c>
      <c r="I2778" s="6" t="s">
        <v>73</v>
      </c>
      <c r="J2778" s="6"/>
      <c r="K2778" s="6" t="s">
        <v>3947</v>
      </c>
      <c r="L2778" s="6" t="s">
        <v>3948</v>
      </c>
      <c r="M2778" s="6"/>
      <c r="N2778" s="6" t="s">
        <v>3949</v>
      </c>
      <c r="O2778" s="6" t="str">
        <f>HYPERLINK("https://ceds.ed.gov/cedselementdetails.aspx?termid=6483")</f>
        <v>https://ceds.ed.gov/cedselementdetails.aspx?termid=6483</v>
      </c>
      <c r="P2778" s="6" t="str">
        <f>HYPERLINK("https://ceds.ed.gov/elementComment.aspx?elementName=Learning Standard Item Valid End Date &amp;elementID=6483", "Click here to submit comment")</f>
        <v>Click here to submit comment</v>
      </c>
    </row>
    <row r="2779" spans="1:16" ht="45">
      <c r="A2779" s="6" t="s">
        <v>6784</v>
      </c>
      <c r="B2779" s="6" t="s">
        <v>6911</v>
      </c>
      <c r="C2779" s="6" t="s">
        <v>6912</v>
      </c>
      <c r="D2779" s="6" t="s">
        <v>3950</v>
      </c>
      <c r="E2779" s="6" t="s">
        <v>3951</v>
      </c>
      <c r="F2779" s="6" t="s">
        <v>13</v>
      </c>
      <c r="G2779" s="6"/>
      <c r="H2779" s="6" t="s">
        <v>54</v>
      </c>
      <c r="I2779" s="6" t="s">
        <v>73</v>
      </c>
      <c r="J2779" s="6"/>
      <c r="K2779" s="6"/>
      <c r="L2779" s="6" t="s">
        <v>3952</v>
      </c>
      <c r="M2779" s="6"/>
      <c r="N2779" s="6" t="s">
        <v>3953</v>
      </c>
      <c r="O2779" s="6" t="str">
        <f>HYPERLINK("https://ceds.ed.gov/cedselementdetails.aspx?termid=6484")</f>
        <v>https://ceds.ed.gov/cedselementdetails.aspx?termid=6484</v>
      </c>
      <c r="P2779" s="6" t="str">
        <f>HYPERLINK("https://ceds.ed.gov/elementComment.aspx?elementName=Learning Standard Item Valid Start Date &amp;elementID=6484", "Click here to submit comment")</f>
        <v>Click here to submit comment</v>
      </c>
    </row>
    <row r="2780" spans="1:16" ht="120">
      <c r="A2780" s="6" t="s">
        <v>6784</v>
      </c>
      <c r="B2780" s="6" t="s">
        <v>6911</v>
      </c>
      <c r="C2780" s="6" t="s">
        <v>6913</v>
      </c>
      <c r="D2780" s="6" t="s">
        <v>3577</v>
      </c>
      <c r="E2780" s="6" t="s">
        <v>3578</v>
      </c>
      <c r="F2780" s="6" t="s">
        <v>6230</v>
      </c>
      <c r="G2780" s="6"/>
      <c r="H2780" s="6" t="s">
        <v>66</v>
      </c>
      <c r="I2780" s="6"/>
      <c r="J2780" s="6" t="s">
        <v>2645</v>
      </c>
      <c r="K2780" s="6" t="s">
        <v>3579</v>
      </c>
      <c r="L2780" s="6" t="s">
        <v>3580</v>
      </c>
      <c r="M2780" s="6"/>
      <c r="N2780" s="6" t="s">
        <v>3581</v>
      </c>
      <c r="O2780" s="6" t="str">
        <f>HYPERLINK("https://ceds.ed.gov/cedselementdetails.aspx?termid=5879")</f>
        <v>https://ceds.ed.gov/cedselementdetails.aspx?termid=5879</v>
      </c>
      <c r="P2780" s="6" t="str">
        <f>HYPERLINK("https://ceds.ed.gov/elementComment.aspx?elementName=Learning Resource Competency Alignment Type &amp;elementID=5879", "Click here to submit comment")</f>
        <v>Click here to submit comment</v>
      </c>
    </row>
    <row r="2781" spans="1:16" ht="90">
      <c r="A2781" s="6" t="s">
        <v>6784</v>
      </c>
      <c r="B2781" s="6" t="s">
        <v>6911</v>
      </c>
      <c r="C2781" s="6" t="s">
        <v>6856</v>
      </c>
      <c r="D2781" s="6" t="s">
        <v>3832</v>
      </c>
      <c r="E2781" s="6" t="s">
        <v>3833</v>
      </c>
      <c r="F2781" s="6" t="s">
        <v>13</v>
      </c>
      <c r="G2781" s="6"/>
      <c r="H2781" s="6"/>
      <c r="I2781" s="6" t="s">
        <v>100</v>
      </c>
      <c r="J2781" s="6"/>
      <c r="K2781" s="6" t="s">
        <v>3834</v>
      </c>
      <c r="L2781" s="6" t="s">
        <v>3835</v>
      </c>
      <c r="M2781" s="6" t="s">
        <v>3836</v>
      </c>
      <c r="N2781" s="6" t="s">
        <v>3837</v>
      </c>
      <c r="O2781" s="6" t="str">
        <f>HYPERLINK("https://ceds.ed.gov/cedselementdetails.aspx?termid=5669")</f>
        <v>https://ceds.ed.gov/cedselementdetails.aspx?termid=5669</v>
      </c>
      <c r="P2781" s="6" t="str">
        <f>HYPERLINK("https://ceds.ed.gov/elementComment.aspx?elementName=Learning Standard Item Code &amp;elementID=5669", "Click here to submit comment")</f>
        <v>Click here to submit comment</v>
      </c>
    </row>
    <row r="2782" spans="1:16" ht="409.5">
      <c r="A2782" s="6" t="s">
        <v>6784</v>
      </c>
      <c r="B2782" s="6" t="s">
        <v>6911</v>
      </c>
      <c r="C2782" s="6" t="s">
        <v>6856</v>
      </c>
      <c r="D2782" s="6" t="s">
        <v>3851</v>
      </c>
      <c r="E2782" s="6" t="s">
        <v>3852</v>
      </c>
      <c r="F2782" s="7" t="s">
        <v>6400</v>
      </c>
      <c r="G2782" s="6"/>
      <c r="H2782" s="6"/>
      <c r="I2782" s="6"/>
      <c r="J2782" s="6"/>
      <c r="K2782" s="6" t="s">
        <v>3853</v>
      </c>
      <c r="L2782" s="6" t="s">
        <v>3854</v>
      </c>
      <c r="M2782" s="6"/>
      <c r="N2782" s="6" t="s">
        <v>3855</v>
      </c>
      <c r="O2782" s="6" t="str">
        <f>HYPERLINK("https://ceds.ed.gov/cedselementdetails.aspx?termid=5701")</f>
        <v>https://ceds.ed.gov/cedselementdetails.aspx?termid=5701</v>
      </c>
      <c r="P2782" s="6" t="str">
        <f>HYPERLINK("https://ceds.ed.gov/elementComment.aspx?elementName=Learning Standard Item Education Level &amp;elementID=5701", "Click here to submit comment")</f>
        <v>Click here to submit comment</v>
      </c>
    </row>
    <row r="2783" spans="1:16" ht="120">
      <c r="A2783" s="6" t="s">
        <v>6784</v>
      </c>
      <c r="B2783" s="6" t="s">
        <v>6911</v>
      </c>
      <c r="C2783" s="6" t="s">
        <v>6856</v>
      </c>
      <c r="D2783" s="6" t="s">
        <v>3856</v>
      </c>
      <c r="E2783" s="6" t="s">
        <v>3857</v>
      </c>
      <c r="F2783" s="6" t="s">
        <v>13</v>
      </c>
      <c r="G2783" s="6" t="s">
        <v>493</v>
      </c>
      <c r="H2783" s="6"/>
      <c r="I2783" s="6" t="s">
        <v>3858</v>
      </c>
      <c r="J2783" s="6"/>
      <c r="K2783" s="6"/>
      <c r="L2783" s="6" t="s">
        <v>3859</v>
      </c>
      <c r="M2783" s="6" t="s">
        <v>3860</v>
      </c>
      <c r="N2783" s="6" t="s">
        <v>3861</v>
      </c>
      <c r="O2783" s="6" t="str">
        <f>HYPERLINK("https://ceds.ed.gov/cedselementdetails.aspx?termid=5666")</f>
        <v>https://ceds.ed.gov/cedselementdetails.aspx?termid=5666</v>
      </c>
      <c r="P2783" s="6" t="str">
        <f>HYPERLINK("https://ceds.ed.gov/elementComment.aspx?elementName=Learning Standard Item Identifier &amp;elementID=5666", "Click here to submit comment")</f>
        <v>Click here to submit comment</v>
      </c>
    </row>
    <row r="2784" spans="1:16" ht="150">
      <c r="A2784" s="6" t="s">
        <v>6784</v>
      </c>
      <c r="B2784" s="6" t="s">
        <v>6911</v>
      </c>
      <c r="C2784" s="6" t="s">
        <v>6856</v>
      </c>
      <c r="D2784" s="6" t="s">
        <v>3899</v>
      </c>
      <c r="E2784" s="6" t="s">
        <v>3900</v>
      </c>
      <c r="F2784" s="6" t="s">
        <v>13</v>
      </c>
      <c r="G2784" s="6" t="s">
        <v>493</v>
      </c>
      <c r="H2784" s="6"/>
      <c r="I2784" s="6" t="s">
        <v>3858</v>
      </c>
      <c r="J2784" s="6"/>
      <c r="K2784" s="6" t="s">
        <v>3901</v>
      </c>
      <c r="L2784" s="6" t="s">
        <v>3902</v>
      </c>
      <c r="M2784" s="6"/>
      <c r="N2784" s="6" t="s">
        <v>3903</v>
      </c>
      <c r="O2784" s="6" t="str">
        <f>HYPERLINK("https://ceds.ed.gov/cedselementdetails.aspx?termid=5691")</f>
        <v>https://ceds.ed.gov/cedselementdetails.aspx?termid=5691</v>
      </c>
      <c r="P2784" s="6" t="str">
        <f>HYPERLINK("https://ceds.ed.gov/elementComment.aspx?elementName=Learning Standard Item Prerequisite Identifier &amp;elementID=5691", "Click here to submit comment")</f>
        <v>Click here to submit comment</v>
      </c>
    </row>
    <row r="2785" spans="1:16" ht="225">
      <c r="A2785" s="6" t="s">
        <v>6784</v>
      </c>
      <c r="B2785" s="6" t="s">
        <v>6911</v>
      </c>
      <c r="C2785" s="6" t="s">
        <v>6856</v>
      </c>
      <c r="D2785" s="6" t="s">
        <v>3909</v>
      </c>
      <c r="E2785" s="6" t="s">
        <v>3910</v>
      </c>
      <c r="F2785" s="6" t="s">
        <v>13</v>
      </c>
      <c r="G2785" s="6" t="s">
        <v>493</v>
      </c>
      <c r="H2785" s="6"/>
      <c r="I2785" s="6" t="s">
        <v>319</v>
      </c>
      <c r="J2785" s="6"/>
      <c r="K2785" s="6" t="s">
        <v>3911</v>
      </c>
      <c r="L2785" s="6" t="s">
        <v>3912</v>
      </c>
      <c r="M2785" s="6" t="s">
        <v>3913</v>
      </c>
      <c r="N2785" s="6" t="s">
        <v>3914</v>
      </c>
      <c r="O2785" s="6" t="str">
        <f>HYPERLINK("https://ceds.ed.gov/cedselementdetails.aspx?termid=5667")</f>
        <v>https://ceds.ed.gov/cedselementdetails.aspx?termid=5667</v>
      </c>
      <c r="P2785" s="6" t="str">
        <f>HYPERLINK("https://ceds.ed.gov/elementComment.aspx?elementName=Learning Standard Item Statement &amp;elementID=5667", "Click here to submit comment")</f>
        <v>Click here to submit comment</v>
      </c>
    </row>
    <row r="2786" spans="1:16" ht="75">
      <c r="A2786" s="6" t="s">
        <v>6784</v>
      </c>
      <c r="B2786" s="6" t="s">
        <v>6911</v>
      </c>
      <c r="C2786" s="6" t="s">
        <v>6856</v>
      </c>
      <c r="D2786" s="6" t="s">
        <v>3931</v>
      </c>
      <c r="E2786" s="6" t="s">
        <v>3932</v>
      </c>
      <c r="F2786" s="6" t="s">
        <v>13</v>
      </c>
      <c r="G2786" s="6" t="s">
        <v>493</v>
      </c>
      <c r="H2786" s="6"/>
      <c r="I2786" s="6" t="s">
        <v>106</v>
      </c>
      <c r="J2786" s="6"/>
      <c r="K2786" s="6"/>
      <c r="L2786" s="6" t="s">
        <v>3933</v>
      </c>
      <c r="M2786" s="6" t="s">
        <v>3934</v>
      </c>
      <c r="N2786" s="6" t="s">
        <v>3935</v>
      </c>
      <c r="O2786" s="6" t="str">
        <f>HYPERLINK("https://ceds.ed.gov/cedselementdetails.aspx?termid=5668")</f>
        <v>https://ceds.ed.gov/cedselementdetails.aspx?termid=5668</v>
      </c>
      <c r="P2786" s="6" t="str">
        <f>HYPERLINK("https://ceds.ed.gov/elementComment.aspx?elementName=Learning Standard Item Type &amp;elementID=5668", "Click here to submit comment")</f>
        <v>Click here to submit comment</v>
      </c>
    </row>
    <row r="2787" spans="1:16" ht="240">
      <c r="A2787" s="6" t="s">
        <v>6784</v>
      </c>
      <c r="B2787" s="6" t="s">
        <v>6911</v>
      </c>
      <c r="C2787" s="6" t="s">
        <v>6856</v>
      </c>
      <c r="D2787" s="6" t="s">
        <v>3904</v>
      </c>
      <c r="E2787" s="6" t="s">
        <v>3905</v>
      </c>
      <c r="F2787" s="6" t="s">
        <v>13</v>
      </c>
      <c r="G2787" s="6"/>
      <c r="H2787" s="6" t="s">
        <v>54</v>
      </c>
      <c r="I2787" s="6" t="s">
        <v>3906</v>
      </c>
      <c r="J2787" s="6"/>
      <c r="K2787" s="6" t="s">
        <v>3848</v>
      </c>
      <c r="L2787" s="6" t="s">
        <v>3907</v>
      </c>
      <c r="M2787" s="6"/>
      <c r="N2787" s="6" t="s">
        <v>3908</v>
      </c>
      <c r="O2787" s="6" t="str">
        <f>HYPERLINK("https://ceds.ed.gov/cedselementdetails.aspx?termid=6498")</f>
        <v>https://ceds.ed.gov/cedselementdetails.aspx?termid=6498</v>
      </c>
      <c r="P2787" s="6" t="str">
        <f>HYPERLINK("https://ceds.ed.gov/elementComment.aspx?elementName=Learning Standard Item Previous Version Identifier &amp;elementID=6498", "Click here to submit comment")</f>
        <v>Click here to submit comment</v>
      </c>
    </row>
    <row r="2788" spans="1:16" ht="60">
      <c r="A2788" s="6" t="s">
        <v>6784</v>
      </c>
      <c r="B2788" s="6" t="s">
        <v>6911</v>
      </c>
      <c r="C2788" s="6" t="s">
        <v>6856</v>
      </c>
      <c r="D2788" s="6" t="s">
        <v>3828</v>
      </c>
      <c r="E2788" s="6" t="s">
        <v>3829</v>
      </c>
      <c r="F2788" s="6" t="s">
        <v>6245</v>
      </c>
      <c r="G2788" s="6"/>
      <c r="H2788" s="6"/>
      <c r="I2788" s="6"/>
      <c r="J2788" s="6"/>
      <c r="K2788" s="6"/>
      <c r="L2788" s="6" t="s">
        <v>3830</v>
      </c>
      <c r="M2788" s="6"/>
      <c r="N2788" s="6" t="s">
        <v>3831</v>
      </c>
      <c r="O2788" s="6" t="str">
        <f>HYPERLINK("https://ceds.ed.gov/cedselementdetails.aspx?termid=5875")</f>
        <v>https://ceds.ed.gov/cedselementdetails.aspx?termid=5875</v>
      </c>
      <c r="P2788" s="6" t="str">
        <f>HYPERLINK("https://ceds.ed.gov/elementComment.aspx?elementName=Learning Standard Item Blooms Taxonomy Domain &amp;elementID=5875", "Click here to submit comment")</f>
        <v>Click here to submit comment</v>
      </c>
    </row>
    <row r="2789" spans="1:16" ht="45">
      <c r="A2789" s="6" t="s">
        <v>6784</v>
      </c>
      <c r="B2789" s="6" t="s">
        <v>6911</v>
      </c>
      <c r="C2789" s="6" t="s">
        <v>6856</v>
      </c>
      <c r="D2789" s="6" t="s">
        <v>3838</v>
      </c>
      <c r="E2789" s="6" t="s">
        <v>3839</v>
      </c>
      <c r="F2789" s="6" t="s">
        <v>13</v>
      </c>
      <c r="G2789" s="6"/>
      <c r="H2789" s="6"/>
      <c r="I2789" s="6" t="s">
        <v>93</v>
      </c>
      <c r="J2789" s="6"/>
      <c r="K2789" s="6"/>
      <c r="L2789" s="6" t="s">
        <v>3840</v>
      </c>
      <c r="M2789" s="6"/>
      <c r="N2789" s="6" t="s">
        <v>3841</v>
      </c>
      <c r="O2789" s="6" t="str">
        <f>HYPERLINK("https://ceds.ed.gov/cedselementdetails.aspx?termid=5887")</f>
        <v>https://ceds.ed.gov/cedselementdetails.aspx?termid=5887</v>
      </c>
      <c r="P2789" s="6" t="str">
        <f>HYPERLINK("https://ceds.ed.gov/elementComment.aspx?elementName=Learning Standard Item Concept Keyword &amp;elementID=5887", "Click here to submit comment")</f>
        <v>Click here to submit comment</v>
      </c>
    </row>
    <row r="2790" spans="1:16" ht="75">
      <c r="A2790" s="6" t="s">
        <v>6784</v>
      </c>
      <c r="B2790" s="6" t="s">
        <v>6911</v>
      </c>
      <c r="C2790" s="6" t="s">
        <v>6856</v>
      </c>
      <c r="D2790" s="6" t="s">
        <v>3842</v>
      </c>
      <c r="E2790" s="6" t="s">
        <v>3843</v>
      </c>
      <c r="F2790" s="6" t="s">
        <v>13</v>
      </c>
      <c r="G2790" s="6"/>
      <c r="H2790" s="6"/>
      <c r="I2790" s="6" t="s">
        <v>100</v>
      </c>
      <c r="J2790" s="6"/>
      <c r="K2790" s="6"/>
      <c r="L2790" s="6" t="s">
        <v>3844</v>
      </c>
      <c r="M2790" s="6"/>
      <c r="N2790" s="6" t="s">
        <v>3845</v>
      </c>
      <c r="O2790" s="6" t="str">
        <f>HYPERLINK("https://ceds.ed.gov/cedselementdetails.aspx?termid=5888")</f>
        <v>https://ceds.ed.gov/cedselementdetails.aspx?termid=5888</v>
      </c>
      <c r="P2790" s="6" t="str">
        <f>HYPERLINK("https://ceds.ed.gov/elementComment.aspx?elementName=Learning Standard Item Concept Term &amp;elementID=5888", "Click here to submit comment")</f>
        <v>Click here to submit comment</v>
      </c>
    </row>
    <row r="2791" spans="1:16" ht="240">
      <c r="A2791" s="6" t="s">
        <v>6784</v>
      </c>
      <c r="B2791" s="6" t="s">
        <v>6911</v>
      </c>
      <c r="C2791" s="6" t="s">
        <v>6856</v>
      </c>
      <c r="D2791" s="6" t="s">
        <v>3846</v>
      </c>
      <c r="E2791" s="6" t="s">
        <v>3847</v>
      </c>
      <c r="F2791" s="6" t="s">
        <v>5963</v>
      </c>
      <c r="G2791" s="6"/>
      <c r="H2791" s="6" t="s">
        <v>54</v>
      </c>
      <c r="I2791" s="6"/>
      <c r="J2791" s="6"/>
      <c r="K2791" s="6" t="s">
        <v>3848</v>
      </c>
      <c r="L2791" s="6" t="s">
        <v>3849</v>
      </c>
      <c r="M2791" s="6"/>
      <c r="N2791" s="6" t="s">
        <v>3850</v>
      </c>
      <c r="O2791" s="6" t="str">
        <f>HYPERLINK("https://ceds.ed.gov/cedselementdetails.aspx?termid=6499")</f>
        <v>https://ceds.ed.gov/cedselementdetails.aspx?termid=6499</v>
      </c>
      <c r="P2791" s="6" t="str">
        <f>HYPERLINK("https://ceds.ed.gov/elementComment.aspx?elementName=Learning Standard Item Current Version Indicator &amp;elementID=6499", "Click here to submit comment")</f>
        <v>Click here to submit comment</v>
      </c>
    </row>
    <row r="2792" spans="1:16" ht="75">
      <c r="A2792" s="6" t="s">
        <v>6784</v>
      </c>
      <c r="B2792" s="6" t="s">
        <v>6911</v>
      </c>
      <c r="C2792" s="6" t="s">
        <v>6856</v>
      </c>
      <c r="D2792" s="6" t="s">
        <v>3862</v>
      </c>
      <c r="E2792" s="6" t="s">
        <v>3863</v>
      </c>
      <c r="F2792" s="5" t="s">
        <v>939</v>
      </c>
      <c r="G2792" s="6"/>
      <c r="H2792" s="6"/>
      <c r="I2792" s="6"/>
      <c r="J2792" s="6"/>
      <c r="K2792" s="6" t="s">
        <v>3478</v>
      </c>
      <c r="L2792" s="6" t="s">
        <v>3864</v>
      </c>
      <c r="M2792" s="6"/>
      <c r="N2792" s="6" t="s">
        <v>3865</v>
      </c>
      <c r="O2792" s="6" t="str">
        <f>HYPERLINK("https://ceds.ed.gov/cedselementdetails.aspx?termid=5881")</f>
        <v>https://ceds.ed.gov/cedselementdetails.aspx?termid=5881</v>
      </c>
      <c r="P2792" s="6" t="str">
        <f>HYPERLINK("https://ceds.ed.gov/elementComment.aspx?elementName=Learning Standard Item Language &amp;elementID=5881", "Click here to submit comment")</f>
        <v>Click here to submit comment</v>
      </c>
    </row>
    <row r="2793" spans="1:16" ht="60">
      <c r="A2793" s="6" t="s">
        <v>6784</v>
      </c>
      <c r="B2793" s="6" t="s">
        <v>6911</v>
      </c>
      <c r="C2793" s="6" t="s">
        <v>6856</v>
      </c>
      <c r="D2793" s="6" t="s">
        <v>3866</v>
      </c>
      <c r="E2793" s="6" t="s">
        <v>3867</v>
      </c>
      <c r="F2793" s="6" t="s">
        <v>13</v>
      </c>
      <c r="G2793" s="6"/>
      <c r="H2793" s="6"/>
      <c r="I2793" s="6" t="s">
        <v>93</v>
      </c>
      <c r="J2793" s="6"/>
      <c r="K2793" s="6"/>
      <c r="L2793" s="6" t="s">
        <v>3868</v>
      </c>
      <c r="M2793" s="6"/>
      <c r="N2793" s="6" t="s">
        <v>3869</v>
      </c>
      <c r="O2793" s="6" t="str">
        <f>HYPERLINK("https://ceds.ed.gov/cedselementdetails.aspx?termid=5883")</f>
        <v>https://ceds.ed.gov/cedselementdetails.aspx?termid=5883</v>
      </c>
      <c r="P2793" s="6" t="str">
        <f>HYPERLINK("https://ceds.ed.gov/elementComment.aspx?elementName=Learning Standard Item License &amp;elementID=5883", "Click here to submit comment")</f>
        <v>Click here to submit comment</v>
      </c>
    </row>
    <row r="2794" spans="1:16" ht="195">
      <c r="A2794" s="6" t="s">
        <v>6784</v>
      </c>
      <c r="B2794" s="6" t="s">
        <v>6911</v>
      </c>
      <c r="C2794" s="6" t="s">
        <v>6856</v>
      </c>
      <c r="D2794" s="6" t="s">
        <v>3870</v>
      </c>
      <c r="E2794" s="6" t="s">
        <v>3871</v>
      </c>
      <c r="F2794" s="7" t="s">
        <v>6569</v>
      </c>
      <c r="G2794" s="6"/>
      <c r="H2794" s="6"/>
      <c r="I2794" s="6"/>
      <c r="J2794" s="6"/>
      <c r="K2794" s="6"/>
      <c r="L2794" s="6" t="s">
        <v>3872</v>
      </c>
      <c r="M2794" s="6"/>
      <c r="N2794" s="6" t="s">
        <v>3873</v>
      </c>
      <c r="O2794" s="6" t="str">
        <f>HYPERLINK("https://ceds.ed.gov/cedselementdetails.aspx?termid=5876")</f>
        <v>https://ceds.ed.gov/cedselementdetails.aspx?termid=5876</v>
      </c>
      <c r="P2794" s="6" t="str">
        <f>HYPERLINK("https://ceds.ed.gov/elementComment.aspx?elementName=Learning Standard Item Multiple Intelligence &amp;elementID=5876", "Click here to submit comment")</f>
        <v>Click here to submit comment</v>
      </c>
    </row>
    <row r="2795" spans="1:16" ht="30">
      <c r="A2795" s="6" t="s">
        <v>6784</v>
      </c>
      <c r="B2795" s="6" t="s">
        <v>6911</v>
      </c>
      <c r="C2795" s="6" t="s">
        <v>6856</v>
      </c>
      <c r="D2795" s="6" t="s">
        <v>3883</v>
      </c>
      <c r="E2795" s="6" t="s">
        <v>3884</v>
      </c>
      <c r="F2795" s="6" t="s">
        <v>13</v>
      </c>
      <c r="G2795" s="6"/>
      <c r="H2795" s="6"/>
      <c r="I2795" s="6" t="s">
        <v>319</v>
      </c>
      <c r="J2795" s="6"/>
      <c r="K2795" s="6"/>
      <c r="L2795" s="6" t="s">
        <v>3885</v>
      </c>
      <c r="M2795" s="6"/>
      <c r="N2795" s="6" t="s">
        <v>3886</v>
      </c>
      <c r="O2795" s="6" t="str">
        <f>HYPERLINK("https://ceds.ed.gov/cedselementdetails.aspx?termid=6215")</f>
        <v>https://ceds.ed.gov/cedselementdetails.aspx?termid=6215</v>
      </c>
      <c r="P2795" s="6" t="str">
        <f>HYPERLINK("https://ceds.ed.gov/elementComment.aspx?elementName=Learning Standard Item Notes &amp;elementID=6215", "Click here to submit comment")</f>
        <v>Click here to submit comment</v>
      </c>
    </row>
    <row r="2796" spans="1:16" ht="60">
      <c r="A2796" s="6" t="s">
        <v>6784</v>
      </c>
      <c r="B2796" s="6" t="s">
        <v>6911</v>
      </c>
      <c r="C2796" s="6" t="s">
        <v>6856</v>
      </c>
      <c r="D2796" s="6" t="s">
        <v>3887</v>
      </c>
      <c r="E2796" s="6" t="s">
        <v>3888</v>
      </c>
      <c r="F2796" s="6" t="s">
        <v>13</v>
      </c>
      <c r="G2796" s="6"/>
      <c r="H2796" s="6"/>
      <c r="I2796" s="6" t="s">
        <v>100</v>
      </c>
      <c r="J2796" s="6"/>
      <c r="K2796" s="6"/>
      <c r="L2796" s="6" t="s">
        <v>3889</v>
      </c>
      <c r="M2796" s="6"/>
      <c r="N2796" s="6" t="s">
        <v>3890</v>
      </c>
      <c r="O2796" s="6" t="str">
        <f>HYPERLINK("https://ceds.ed.gov/cedselementdetails.aspx?termid=5873")</f>
        <v>https://ceds.ed.gov/cedselementdetails.aspx?termid=5873</v>
      </c>
      <c r="P2796" s="6" t="str">
        <f>HYPERLINK("https://ceds.ed.gov/elementComment.aspx?elementName=Learning Standard Item Parent Code &amp;elementID=5873", "Click here to submit comment")</f>
        <v>Click here to submit comment</v>
      </c>
    </row>
    <row r="2797" spans="1:16" ht="135">
      <c r="A2797" s="6" t="s">
        <v>6784</v>
      </c>
      <c r="B2797" s="6" t="s">
        <v>6911</v>
      </c>
      <c r="C2797" s="6" t="s">
        <v>6856</v>
      </c>
      <c r="D2797" s="6" t="s">
        <v>3891</v>
      </c>
      <c r="E2797" s="6" t="s">
        <v>3892</v>
      </c>
      <c r="F2797" s="6" t="s">
        <v>13</v>
      </c>
      <c r="G2797" s="6"/>
      <c r="H2797" s="6"/>
      <c r="I2797" s="6" t="s">
        <v>3858</v>
      </c>
      <c r="J2797" s="6"/>
      <c r="K2797" s="6"/>
      <c r="L2797" s="6" t="s">
        <v>3893</v>
      </c>
      <c r="M2797" s="6"/>
      <c r="N2797" s="6" t="s">
        <v>3894</v>
      </c>
      <c r="O2797" s="6" t="str">
        <f>HYPERLINK("https://ceds.ed.gov/cedselementdetails.aspx?termid=5872")</f>
        <v>https://ceds.ed.gov/cedselementdetails.aspx?termid=5872</v>
      </c>
      <c r="P2797" s="6" t="str">
        <f>HYPERLINK("https://ceds.ed.gov/elementComment.aspx?elementName=Learning Standard Item Parent Identifier &amp;elementID=5872", "Click here to submit comment")</f>
        <v>Click here to submit comment</v>
      </c>
    </row>
    <row r="2798" spans="1:16" ht="75">
      <c r="A2798" s="6" t="s">
        <v>6784</v>
      </c>
      <c r="B2798" s="6" t="s">
        <v>6911</v>
      </c>
      <c r="C2798" s="6" t="s">
        <v>6856</v>
      </c>
      <c r="D2798" s="6" t="s">
        <v>3895</v>
      </c>
      <c r="E2798" s="6" t="s">
        <v>3896</v>
      </c>
      <c r="F2798" s="6" t="s">
        <v>13</v>
      </c>
      <c r="G2798" s="6"/>
      <c r="H2798" s="6"/>
      <c r="I2798" s="6" t="s">
        <v>93</v>
      </c>
      <c r="J2798" s="6"/>
      <c r="K2798" s="6"/>
      <c r="L2798" s="6" t="s">
        <v>3897</v>
      </c>
      <c r="M2798" s="6"/>
      <c r="N2798" s="6" t="s">
        <v>3898</v>
      </c>
      <c r="O2798" s="6" t="str">
        <f>HYPERLINK("https://ceds.ed.gov/cedselementdetails.aspx?termid=6078")</f>
        <v>https://ceds.ed.gov/cedselementdetails.aspx?termid=6078</v>
      </c>
      <c r="P2798" s="6" t="str">
        <f>HYPERLINK("https://ceds.ed.gov/elementComment.aspx?elementName=Learning Standard Item Parent URL &amp;elementID=6078", "Click here to submit comment")</f>
        <v>Click here to submit comment</v>
      </c>
    </row>
    <row r="2799" spans="1:16" ht="75">
      <c r="A2799" s="6" t="s">
        <v>6784</v>
      </c>
      <c r="B2799" s="6" t="s">
        <v>6911</v>
      </c>
      <c r="C2799" s="6" t="s">
        <v>6856</v>
      </c>
      <c r="D2799" s="6" t="s">
        <v>3919</v>
      </c>
      <c r="E2799" s="6" t="s">
        <v>3920</v>
      </c>
      <c r="F2799" s="6" t="s">
        <v>13</v>
      </c>
      <c r="G2799" s="6"/>
      <c r="H2799" s="6"/>
      <c r="I2799" s="6" t="s">
        <v>545</v>
      </c>
      <c r="J2799" s="6"/>
      <c r="K2799" s="6"/>
      <c r="L2799" s="6" t="s">
        <v>3921</v>
      </c>
      <c r="M2799" s="6"/>
      <c r="N2799" s="6" t="s">
        <v>3922</v>
      </c>
      <c r="O2799" s="6" t="str">
        <f>HYPERLINK("https://ceds.ed.gov/cedselementdetails.aspx?termid=6115")</f>
        <v>https://ceds.ed.gov/cedselementdetails.aspx?termid=6115</v>
      </c>
      <c r="P2799" s="6" t="str">
        <f>HYPERLINK("https://ceds.ed.gov/elementComment.aspx?elementName=Learning Standard Item Text Complexity Maximum Value &amp;elementID=6115", "Click here to submit comment")</f>
        <v>Click here to submit comment</v>
      </c>
    </row>
    <row r="2800" spans="1:16" ht="75">
      <c r="A2800" s="6" t="s">
        <v>6784</v>
      </c>
      <c r="B2800" s="6" t="s">
        <v>6911</v>
      </c>
      <c r="C2800" s="6" t="s">
        <v>6856</v>
      </c>
      <c r="D2800" s="6" t="s">
        <v>3923</v>
      </c>
      <c r="E2800" s="6" t="s">
        <v>3924</v>
      </c>
      <c r="F2800" s="6" t="s">
        <v>13</v>
      </c>
      <c r="G2800" s="6"/>
      <c r="H2800" s="6"/>
      <c r="I2800" s="6" t="s">
        <v>545</v>
      </c>
      <c r="J2800" s="6"/>
      <c r="K2800" s="6"/>
      <c r="L2800" s="6" t="s">
        <v>3925</v>
      </c>
      <c r="M2800" s="6"/>
      <c r="N2800" s="6" t="s">
        <v>3926</v>
      </c>
      <c r="O2800" s="6" t="str">
        <f>HYPERLINK("https://ceds.ed.gov/cedselementdetails.aspx?termid=6114")</f>
        <v>https://ceds.ed.gov/cedselementdetails.aspx?termid=6114</v>
      </c>
      <c r="P2800" s="6" t="str">
        <f>HYPERLINK("https://ceds.ed.gov/elementComment.aspx?elementName=Learning Standard Item Text Complexity Minimum Value &amp;elementID=6114", "Click here to submit comment")</f>
        <v>Click here to submit comment</v>
      </c>
    </row>
    <row r="2801" spans="1:16" ht="60">
      <c r="A2801" s="6" t="s">
        <v>6784</v>
      </c>
      <c r="B2801" s="6" t="s">
        <v>6911</v>
      </c>
      <c r="C2801" s="6" t="s">
        <v>6856</v>
      </c>
      <c r="D2801" s="6" t="s">
        <v>3927</v>
      </c>
      <c r="E2801" s="6" t="s">
        <v>3928</v>
      </c>
      <c r="F2801" s="6" t="s">
        <v>13</v>
      </c>
      <c r="G2801" s="6"/>
      <c r="H2801" s="6"/>
      <c r="I2801" s="6" t="s">
        <v>100</v>
      </c>
      <c r="J2801" s="6"/>
      <c r="K2801" s="6"/>
      <c r="L2801" s="6" t="s">
        <v>3929</v>
      </c>
      <c r="M2801" s="6"/>
      <c r="N2801" s="6" t="s">
        <v>3930</v>
      </c>
      <c r="O2801" s="6" t="str">
        <f>HYPERLINK("https://ceds.ed.gov/cedselementdetails.aspx?termid=5910")</f>
        <v>https://ceds.ed.gov/cedselementdetails.aspx?termid=5910</v>
      </c>
      <c r="P2801" s="6" t="str">
        <f>HYPERLINK("https://ceds.ed.gov/elementComment.aspx?elementName=Learning Standard Item Text Complexity System &amp;elementID=5910", "Click here to submit comment")</f>
        <v>Click here to submit comment</v>
      </c>
    </row>
    <row r="2802" spans="1:16" ht="45">
      <c r="A2802" s="6" t="s">
        <v>6784</v>
      </c>
      <c r="B2802" s="6" t="s">
        <v>6911</v>
      </c>
      <c r="C2802" s="6" t="s">
        <v>6856</v>
      </c>
      <c r="D2802" s="6" t="s">
        <v>3936</v>
      </c>
      <c r="E2802" s="6" t="s">
        <v>3937</v>
      </c>
      <c r="F2802" s="6" t="s">
        <v>13</v>
      </c>
      <c r="G2802" s="6"/>
      <c r="H2802" s="6"/>
      <c r="I2802" s="6" t="s">
        <v>1127</v>
      </c>
      <c r="J2802" s="6"/>
      <c r="K2802" s="6" t="s">
        <v>3938</v>
      </c>
      <c r="L2802" s="6" t="s">
        <v>3939</v>
      </c>
      <c r="M2802" s="6"/>
      <c r="N2802" s="6" t="s">
        <v>3940</v>
      </c>
      <c r="O2802" s="6" t="str">
        <f>HYPERLINK("https://ceds.ed.gov/cedselementdetails.aspx?termid=5870")</f>
        <v>https://ceds.ed.gov/cedselementdetails.aspx?termid=5870</v>
      </c>
      <c r="P2802" s="6" t="str">
        <f>HYPERLINK("https://ceds.ed.gov/elementComment.aspx?elementName=Learning Standard Item Typical Age Range &amp;elementID=5870", "Click here to submit comment")</f>
        <v>Click here to submit comment</v>
      </c>
    </row>
    <row r="2803" spans="1:16" ht="60">
      <c r="A2803" s="6" t="s">
        <v>6784</v>
      </c>
      <c r="B2803" s="6" t="s">
        <v>6911</v>
      </c>
      <c r="C2803" s="6" t="s">
        <v>6856</v>
      </c>
      <c r="D2803" s="6" t="s">
        <v>3941</v>
      </c>
      <c r="E2803" s="6" t="s">
        <v>3942</v>
      </c>
      <c r="F2803" s="6" t="s">
        <v>13</v>
      </c>
      <c r="G2803" s="6"/>
      <c r="H2803" s="6"/>
      <c r="I2803" s="6" t="s">
        <v>93</v>
      </c>
      <c r="J2803" s="6"/>
      <c r="K2803" s="6"/>
      <c r="L2803" s="6" t="s">
        <v>3943</v>
      </c>
      <c r="M2803" s="6"/>
      <c r="N2803" s="6" t="s">
        <v>3944</v>
      </c>
      <c r="O2803" s="6" t="str">
        <f>HYPERLINK("https://ceds.ed.gov/cedselementdetails.aspx?termid=5874")</f>
        <v>https://ceds.ed.gov/cedselementdetails.aspx?termid=5874</v>
      </c>
      <c r="P2803" s="6" t="str">
        <f>HYPERLINK("https://ceds.ed.gov/elementComment.aspx?elementName=Learning Standard Item URL &amp;elementID=5874", "Click here to submit comment")</f>
        <v>Click here to submit comment</v>
      </c>
    </row>
    <row r="2804" spans="1:16" ht="45">
      <c r="A2804" s="6" t="s">
        <v>6784</v>
      </c>
      <c r="B2804" s="6" t="s">
        <v>6911</v>
      </c>
      <c r="C2804" s="6" t="s">
        <v>6856</v>
      </c>
      <c r="D2804" s="6" t="s">
        <v>3954</v>
      </c>
      <c r="E2804" s="6" t="s">
        <v>3955</v>
      </c>
      <c r="F2804" s="6" t="s">
        <v>13</v>
      </c>
      <c r="G2804" s="6"/>
      <c r="H2804" s="6"/>
      <c r="I2804" s="6" t="s">
        <v>319</v>
      </c>
      <c r="J2804" s="6"/>
      <c r="K2804" s="6"/>
      <c r="L2804" s="6" t="s">
        <v>3956</v>
      </c>
      <c r="M2804" s="6"/>
      <c r="N2804" s="6" t="s">
        <v>3957</v>
      </c>
      <c r="O2804" s="6" t="str">
        <f>HYPERLINK("https://ceds.ed.gov/cedselementdetails.aspx?termid=6216")</f>
        <v>https://ceds.ed.gov/cedselementdetails.aspx?termid=6216</v>
      </c>
      <c r="P2804" s="6" t="str">
        <f>HYPERLINK("https://ceds.ed.gov/elementComment.aspx?elementName=Learning Standard Item Version &amp;elementID=6216", "Click here to submit comment")</f>
        <v>Click here to submit comment</v>
      </c>
    </row>
    <row r="2805" spans="1:16" ht="60">
      <c r="A2805" s="6" t="s">
        <v>6784</v>
      </c>
      <c r="B2805" s="6" t="s">
        <v>6911</v>
      </c>
      <c r="C2805" s="6" t="s">
        <v>6914</v>
      </c>
      <c r="D2805" s="6" t="s">
        <v>3804</v>
      </c>
      <c r="E2805" s="6" t="s">
        <v>3805</v>
      </c>
      <c r="F2805" s="6" t="s">
        <v>13</v>
      </c>
      <c r="G2805" s="6"/>
      <c r="H2805" s="6" t="s">
        <v>3</v>
      </c>
      <c r="I2805" s="6" t="s">
        <v>93</v>
      </c>
      <c r="J2805" s="6"/>
      <c r="K2805" s="6"/>
      <c r="L2805" s="6" t="s">
        <v>3806</v>
      </c>
      <c r="M2805" s="6"/>
      <c r="N2805" s="6" t="s">
        <v>3807</v>
      </c>
      <c r="O2805" s="6" t="str">
        <f>HYPERLINK("https://ceds.ed.gov/cedselementdetails.aspx?termid=5871")</f>
        <v>https://ceds.ed.gov/cedselementdetails.aspx?termid=5871</v>
      </c>
      <c r="P2805" s="6" t="str">
        <f>HYPERLINK("https://ceds.ed.gov/elementComment.aspx?elementName=Learning Standard Item Association Identifier &amp;elementID=5871", "Click here to submit comment")</f>
        <v>Click here to submit comment</v>
      </c>
    </row>
    <row r="2806" spans="1:16" ht="165">
      <c r="A2806" s="16" t="s">
        <v>6784</v>
      </c>
      <c r="B2806" s="16" t="s">
        <v>6911</v>
      </c>
      <c r="C2806" s="16" t="s">
        <v>6914</v>
      </c>
      <c r="D2806" s="16" t="s">
        <v>3816</v>
      </c>
      <c r="E2806" s="16" t="s">
        <v>3817</v>
      </c>
      <c r="F2806" s="17" t="s">
        <v>6568</v>
      </c>
      <c r="G2806" s="16"/>
      <c r="H2806" s="16" t="s">
        <v>66</v>
      </c>
      <c r="I2806" s="16"/>
      <c r="J2806" s="16" t="s">
        <v>848</v>
      </c>
      <c r="K2806" s="6" t="s">
        <v>3818</v>
      </c>
      <c r="L2806" s="16" t="s">
        <v>3820</v>
      </c>
      <c r="M2806" s="16"/>
      <c r="N2806" s="16" t="s">
        <v>3821</v>
      </c>
      <c r="O2806" s="16" t="str">
        <f>HYPERLINK("https://ceds.ed.gov/cedselementdetails.aspx?termid=5869")</f>
        <v>https://ceds.ed.gov/cedselementdetails.aspx?termid=5869</v>
      </c>
      <c r="P2806" s="16" t="str">
        <f>HYPERLINK("https://ceds.ed.gov/elementComment.aspx?elementName=Learning Standard Item Association Type &amp;elementID=5869", "Click here to submit comment")</f>
        <v>Click here to submit comment</v>
      </c>
    </row>
    <row r="2807" spans="1:16" ht="135">
      <c r="A2807" s="16"/>
      <c r="B2807" s="16"/>
      <c r="C2807" s="16"/>
      <c r="D2807" s="16"/>
      <c r="E2807" s="16"/>
      <c r="F2807" s="16"/>
      <c r="G2807" s="16"/>
      <c r="H2807" s="16"/>
      <c r="I2807" s="16"/>
      <c r="J2807" s="16"/>
      <c r="K2807" s="6" t="s">
        <v>3819</v>
      </c>
      <c r="L2807" s="16"/>
      <c r="M2807" s="16"/>
      <c r="N2807" s="16"/>
      <c r="O2807" s="16"/>
      <c r="P2807" s="16"/>
    </row>
    <row r="2808" spans="1:16" ht="120">
      <c r="A2808" s="6" t="s">
        <v>6784</v>
      </c>
      <c r="B2808" s="6" t="s">
        <v>6911</v>
      </c>
      <c r="C2808" s="6" t="s">
        <v>6915</v>
      </c>
      <c r="D2808" s="6" t="s">
        <v>1743</v>
      </c>
      <c r="E2808" s="6" t="s">
        <v>1744</v>
      </c>
      <c r="F2808" s="6" t="s">
        <v>13</v>
      </c>
      <c r="G2808" s="6"/>
      <c r="H2808" s="6"/>
      <c r="I2808" s="6" t="s">
        <v>93</v>
      </c>
      <c r="J2808" s="6"/>
      <c r="K2808" s="6" t="s">
        <v>1745</v>
      </c>
      <c r="L2808" s="6" t="s">
        <v>1746</v>
      </c>
      <c r="M2808" s="6"/>
      <c r="N2808" s="6" t="s">
        <v>1747</v>
      </c>
      <c r="O2808" s="6" t="str">
        <f>HYPERLINK("https://ceds.ed.gov/cedselementdetails.aspx?termid=5877")</f>
        <v>https://ceds.ed.gov/cedselementdetails.aspx?termid=5877</v>
      </c>
      <c r="P2808" s="6" t="str">
        <f>HYPERLINK("https://ceds.ed.gov/elementComment.aspx?elementName=Competency Set Completion Criteria &amp;elementID=5877", "Click here to submit comment")</f>
        <v>Click here to submit comment</v>
      </c>
    </row>
    <row r="2809" spans="1:16" ht="90">
      <c r="A2809" s="6" t="s">
        <v>6784</v>
      </c>
      <c r="B2809" s="6" t="s">
        <v>6911</v>
      </c>
      <c r="C2809" s="6" t="s">
        <v>6915</v>
      </c>
      <c r="D2809" s="6" t="s">
        <v>1748</v>
      </c>
      <c r="E2809" s="6" t="s">
        <v>1749</v>
      </c>
      <c r="F2809" s="6" t="s">
        <v>13</v>
      </c>
      <c r="G2809" s="6"/>
      <c r="H2809" s="6"/>
      <c r="I2809" s="6" t="s">
        <v>308</v>
      </c>
      <c r="J2809" s="6"/>
      <c r="K2809" s="6" t="s">
        <v>1750</v>
      </c>
      <c r="L2809" s="6" t="s">
        <v>1751</v>
      </c>
      <c r="M2809" s="6"/>
      <c r="N2809" s="6" t="s">
        <v>1752</v>
      </c>
      <c r="O2809" s="6" t="str">
        <f>HYPERLINK("https://ceds.ed.gov/cedselementdetails.aspx?termid=5878")</f>
        <v>https://ceds.ed.gov/cedselementdetails.aspx?termid=5878</v>
      </c>
      <c r="P2809" s="6" t="str">
        <f>HYPERLINK("https://ceds.ed.gov/elementComment.aspx?elementName=Competency Set Completion Criteria Threshold &amp;elementID=5878", "Click here to submit comment")</f>
        <v>Click here to submit comment</v>
      </c>
    </row>
    <row r="2810" spans="1:16" ht="30">
      <c r="A2810" s="6" t="s">
        <v>6784</v>
      </c>
      <c r="B2810" s="6" t="s">
        <v>6860</v>
      </c>
      <c r="C2810" s="6"/>
      <c r="D2810" s="6" t="s">
        <v>1209</v>
      </c>
      <c r="E2810" s="6" t="s">
        <v>1210</v>
      </c>
      <c r="F2810" s="6" t="s">
        <v>13</v>
      </c>
      <c r="G2810" s="6" t="s">
        <v>6018</v>
      </c>
      <c r="H2810" s="6" t="s">
        <v>66</v>
      </c>
      <c r="I2810" s="6" t="s">
        <v>100</v>
      </c>
      <c r="J2810" s="6" t="s">
        <v>1211</v>
      </c>
      <c r="K2810" s="6"/>
      <c r="L2810" s="6" t="s">
        <v>1212</v>
      </c>
      <c r="M2810" s="6"/>
      <c r="N2810" s="6" t="s">
        <v>1213</v>
      </c>
      <c r="O2810" s="6" t="str">
        <f>HYPERLINK("https://ceds.ed.gov/cedselementdetails.aspx?termid=5412")</f>
        <v>https://ceds.ed.gov/cedselementdetails.aspx?termid=5412</v>
      </c>
      <c r="P2810" s="6" t="str">
        <f>HYPERLINK("https://ceds.ed.gov/elementComment.aspx?elementName=Assessment Rubric Identifier &amp;elementID=5412", "Click here to submit comment")</f>
        <v>Click here to submit comment</v>
      </c>
    </row>
    <row r="2811" spans="1:16" ht="30">
      <c r="A2811" s="6" t="s">
        <v>6784</v>
      </c>
      <c r="B2811" s="6" t="s">
        <v>6860</v>
      </c>
      <c r="C2811" s="6"/>
      <c r="D2811" s="6" t="s">
        <v>1214</v>
      </c>
      <c r="E2811" s="6" t="s">
        <v>1215</v>
      </c>
      <c r="F2811" s="6" t="s">
        <v>13</v>
      </c>
      <c r="G2811" s="6" t="s">
        <v>6018</v>
      </c>
      <c r="H2811" s="6" t="s">
        <v>66</v>
      </c>
      <c r="I2811" s="6" t="s">
        <v>100</v>
      </c>
      <c r="J2811" s="6" t="s">
        <v>1216</v>
      </c>
      <c r="K2811" s="6"/>
      <c r="L2811" s="6" t="s">
        <v>1217</v>
      </c>
      <c r="M2811" s="6"/>
      <c r="N2811" s="6" t="s">
        <v>1218</v>
      </c>
      <c r="O2811" s="6" t="str">
        <f>HYPERLINK("https://ceds.ed.gov/cedselementdetails.aspx?termid=5411")</f>
        <v>https://ceds.ed.gov/cedselementdetails.aspx?termid=5411</v>
      </c>
      <c r="P2811" s="6" t="str">
        <f>HYPERLINK("https://ceds.ed.gov/elementComment.aspx?elementName=Assessment Rubric Title &amp;elementID=5411", "Click here to submit comment")</f>
        <v>Click here to submit comment</v>
      </c>
    </row>
    <row r="2812" spans="1:16" ht="30">
      <c r="A2812" s="6" t="s">
        <v>6784</v>
      </c>
      <c r="B2812" s="6" t="s">
        <v>6860</v>
      </c>
      <c r="C2812" s="6"/>
      <c r="D2812" s="6" t="s">
        <v>1219</v>
      </c>
      <c r="E2812" s="6" t="s">
        <v>1220</v>
      </c>
      <c r="F2812" s="6" t="s">
        <v>13</v>
      </c>
      <c r="G2812" s="6" t="s">
        <v>6018</v>
      </c>
      <c r="H2812" s="6" t="s">
        <v>66</v>
      </c>
      <c r="I2812" s="6" t="s">
        <v>100</v>
      </c>
      <c r="J2812" s="6" t="s">
        <v>1221</v>
      </c>
      <c r="K2812" s="6"/>
      <c r="L2812" s="6" t="s">
        <v>1222</v>
      </c>
      <c r="M2812" s="6"/>
      <c r="N2812" s="6" t="s">
        <v>1223</v>
      </c>
      <c r="O2812" s="6" t="str">
        <f>HYPERLINK("https://ceds.ed.gov/cedselementdetails.aspx?termid=5413")</f>
        <v>https://ceds.ed.gov/cedselementdetails.aspx?termid=5413</v>
      </c>
      <c r="P2812" s="6" t="str">
        <f>HYPERLINK("https://ceds.ed.gov/elementComment.aspx?elementName=Assessment Rubric URL Reference &amp;elementID=5413", "Click here to submit comment")</f>
        <v>Click here to submit comment</v>
      </c>
    </row>
    <row r="2813" spans="1:16" ht="30">
      <c r="A2813" s="6" t="s">
        <v>6784</v>
      </c>
      <c r="B2813" s="6" t="s">
        <v>6857</v>
      </c>
      <c r="C2813" s="6"/>
      <c r="D2813" s="6" t="s">
        <v>3439</v>
      </c>
      <c r="E2813" s="6" t="s">
        <v>3440</v>
      </c>
      <c r="F2813" s="6" t="s">
        <v>13</v>
      </c>
      <c r="G2813" s="6"/>
      <c r="H2813" s="6"/>
      <c r="I2813" s="6" t="s">
        <v>73</v>
      </c>
      <c r="J2813" s="6"/>
      <c r="K2813" s="6"/>
      <c r="L2813" s="6" t="s">
        <v>3441</v>
      </c>
      <c r="M2813" s="6"/>
      <c r="N2813" s="6" t="s">
        <v>3442</v>
      </c>
      <c r="O2813" s="6" t="str">
        <f>HYPERLINK("https://ceds.ed.gov/cedselementdetails.aspx?termid=5938")</f>
        <v>https://ceds.ed.gov/cedselementdetails.aspx?termid=5938</v>
      </c>
      <c r="P2813" s="6" t="str">
        <f>HYPERLINK("https://ceds.ed.gov/elementComment.aspx?elementName=Learner Action Date &amp;elementID=5938", "Click here to submit comment")</f>
        <v>Click here to submit comment</v>
      </c>
    </row>
    <row r="2814" spans="1:16" ht="30">
      <c r="A2814" s="6" t="s">
        <v>6784</v>
      </c>
      <c r="B2814" s="6" t="s">
        <v>6857</v>
      </c>
      <c r="C2814" s="6"/>
      <c r="D2814" s="6" t="s">
        <v>3443</v>
      </c>
      <c r="E2814" s="6" t="s">
        <v>3444</v>
      </c>
      <c r="F2814" s="6" t="s">
        <v>13</v>
      </c>
      <c r="G2814" s="6"/>
      <c r="H2814" s="6"/>
      <c r="I2814" s="6" t="s">
        <v>3445</v>
      </c>
      <c r="J2814" s="6"/>
      <c r="K2814" s="6"/>
      <c r="L2814" s="6" t="s">
        <v>3446</v>
      </c>
      <c r="M2814" s="6"/>
      <c r="N2814" s="6" t="s">
        <v>3447</v>
      </c>
      <c r="O2814" s="6" t="str">
        <f>HYPERLINK("https://ceds.ed.gov/cedselementdetails.aspx?termid=5937")</f>
        <v>https://ceds.ed.gov/cedselementdetails.aspx?termid=5937</v>
      </c>
      <c r="P2814" s="6" t="str">
        <f>HYPERLINK("https://ceds.ed.gov/elementComment.aspx?elementName=Learner Action Time &amp;elementID=5937", "Click here to submit comment")</f>
        <v>Click here to submit comment</v>
      </c>
    </row>
    <row r="2815" spans="1:16" ht="225">
      <c r="A2815" s="6" t="s">
        <v>6784</v>
      </c>
      <c r="B2815" s="6" t="s">
        <v>6857</v>
      </c>
      <c r="C2815" s="6"/>
      <c r="D2815" s="6" t="s">
        <v>3448</v>
      </c>
      <c r="E2815" s="6" t="s">
        <v>3449</v>
      </c>
      <c r="F2815" s="7" t="s">
        <v>6564</v>
      </c>
      <c r="G2815" s="6"/>
      <c r="H2815" s="6"/>
      <c r="I2815" s="6"/>
      <c r="J2815" s="6"/>
      <c r="K2815" s="6"/>
      <c r="L2815" s="6" t="s">
        <v>3450</v>
      </c>
      <c r="M2815" s="6"/>
      <c r="N2815" s="6" t="s">
        <v>3451</v>
      </c>
      <c r="O2815" s="6" t="str">
        <f>HYPERLINK("https://ceds.ed.gov/cedselementdetails.aspx?termid=5935")</f>
        <v>https://ceds.ed.gov/cedselementdetails.aspx?termid=5935</v>
      </c>
      <c r="P2815" s="6" t="str">
        <f>HYPERLINK("https://ceds.ed.gov/elementComment.aspx?elementName=Learner Action Type &amp;elementID=5935", "Click here to submit comment")</f>
        <v>Click here to submit comment</v>
      </c>
    </row>
    <row r="2816" spans="1:16" ht="75">
      <c r="A2816" s="6" t="s">
        <v>6784</v>
      </c>
      <c r="B2816" s="6" t="s">
        <v>6857</v>
      </c>
      <c r="C2816" s="6"/>
      <c r="D2816" s="6" t="s">
        <v>3452</v>
      </c>
      <c r="E2816" s="6" t="s">
        <v>3453</v>
      </c>
      <c r="F2816" s="6" t="s">
        <v>13</v>
      </c>
      <c r="G2816" s="6"/>
      <c r="H2816" s="6"/>
      <c r="I2816" s="6" t="s">
        <v>319</v>
      </c>
      <c r="J2816" s="6"/>
      <c r="K2816" s="6"/>
      <c r="L2816" s="6" t="s">
        <v>3454</v>
      </c>
      <c r="M2816" s="6"/>
      <c r="N2816" s="6" t="s">
        <v>3455</v>
      </c>
      <c r="O2816" s="6" t="str">
        <f>HYPERLINK("https://ceds.ed.gov/cedselementdetails.aspx?termid=5936")</f>
        <v>https://ceds.ed.gov/cedselementdetails.aspx?termid=5936</v>
      </c>
      <c r="P2816" s="6" t="str">
        <f>HYPERLINK("https://ceds.ed.gov/elementComment.aspx?elementName=Learner Action Value &amp;elementID=5936", "Click here to submit comment")</f>
        <v>Click here to submit comment</v>
      </c>
    </row>
    <row r="2817" spans="1:16" ht="30">
      <c r="A2817" s="6" t="s">
        <v>6784</v>
      </c>
      <c r="B2817" s="6" t="s">
        <v>6860</v>
      </c>
      <c r="C2817" s="6"/>
      <c r="D2817" s="6" t="s">
        <v>5082</v>
      </c>
      <c r="E2817" s="6" t="s">
        <v>5083</v>
      </c>
      <c r="F2817" s="6" t="s">
        <v>13</v>
      </c>
      <c r="G2817" s="6"/>
      <c r="H2817" s="6" t="s">
        <v>54</v>
      </c>
      <c r="I2817" s="6" t="s">
        <v>100</v>
      </c>
      <c r="J2817" s="6"/>
      <c r="K2817" s="6"/>
      <c r="L2817" s="6" t="s">
        <v>5084</v>
      </c>
      <c r="M2817" s="6"/>
      <c r="N2817" s="6" t="s">
        <v>5085</v>
      </c>
      <c r="O2817" s="6" t="str">
        <f>HYPERLINK("https://ceds.ed.gov/cedselementdetails.aspx?termid=6441")</f>
        <v>https://ceds.ed.gov/cedselementdetails.aspx?termid=6441</v>
      </c>
      <c r="P2817" s="6" t="str">
        <f>HYPERLINK("https://ceds.ed.gov/elementComment.aspx?elementName=Rubric Criterion Category &amp;elementID=6441", "Click here to submit comment")</f>
        <v>Click here to submit comment</v>
      </c>
    </row>
    <row r="2818" spans="1:16" ht="45">
      <c r="A2818" s="6" t="s">
        <v>6784</v>
      </c>
      <c r="B2818" s="6" t="s">
        <v>6860</v>
      </c>
      <c r="C2818" s="6"/>
      <c r="D2818" s="6" t="s">
        <v>5086</v>
      </c>
      <c r="E2818" s="6" t="s">
        <v>5087</v>
      </c>
      <c r="F2818" s="6" t="s">
        <v>13</v>
      </c>
      <c r="G2818" s="6"/>
      <c r="H2818" s="6" t="s">
        <v>54</v>
      </c>
      <c r="I2818" s="6" t="s">
        <v>319</v>
      </c>
      <c r="J2818" s="6"/>
      <c r="K2818" s="6"/>
      <c r="L2818" s="6" t="s">
        <v>5088</v>
      </c>
      <c r="M2818" s="6"/>
      <c r="N2818" s="6" t="s">
        <v>5089</v>
      </c>
      <c r="O2818" s="6" t="str">
        <f>HYPERLINK("https://ceds.ed.gov/cedselementdetails.aspx?termid=6442")</f>
        <v>https://ceds.ed.gov/cedselementdetails.aspx?termid=6442</v>
      </c>
      <c r="P2818" s="6" t="str">
        <f>HYPERLINK("https://ceds.ed.gov/elementComment.aspx?elementName=Rubric Criterion Description &amp;elementID=6442", "Click here to submit comment")</f>
        <v>Click here to submit comment</v>
      </c>
    </row>
    <row r="2819" spans="1:16" ht="60">
      <c r="A2819" s="6" t="s">
        <v>6784</v>
      </c>
      <c r="B2819" s="6" t="s">
        <v>6860</v>
      </c>
      <c r="C2819" s="6"/>
      <c r="D2819" s="6" t="s">
        <v>5090</v>
      </c>
      <c r="E2819" s="6" t="s">
        <v>5091</v>
      </c>
      <c r="F2819" s="6" t="s">
        <v>13</v>
      </c>
      <c r="G2819" s="6"/>
      <c r="H2819" s="6" t="s">
        <v>54</v>
      </c>
      <c r="I2819" s="6" t="s">
        <v>319</v>
      </c>
      <c r="J2819" s="6"/>
      <c r="K2819" s="6"/>
      <c r="L2819" s="6" t="s">
        <v>5092</v>
      </c>
      <c r="M2819" s="6"/>
      <c r="N2819" s="6" t="s">
        <v>5093</v>
      </c>
      <c r="O2819" s="6" t="str">
        <f>HYPERLINK("https://ceds.ed.gov/cedselementdetails.aspx?termid=6443")</f>
        <v>https://ceds.ed.gov/cedselementdetails.aspx?termid=6443</v>
      </c>
      <c r="P2819" s="6" t="str">
        <f>HYPERLINK("https://ceds.ed.gov/elementComment.aspx?elementName=Rubric Criterion Level Description &amp;elementID=6443", "Click here to submit comment")</f>
        <v>Click here to submit comment</v>
      </c>
    </row>
    <row r="2820" spans="1:16" ht="75">
      <c r="A2820" s="6" t="s">
        <v>6784</v>
      </c>
      <c r="B2820" s="6" t="s">
        <v>6860</v>
      </c>
      <c r="C2820" s="6"/>
      <c r="D2820" s="6" t="s">
        <v>5094</v>
      </c>
      <c r="E2820" s="6" t="s">
        <v>5095</v>
      </c>
      <c r="F2820" s="6" t="s">
        <v>13</v>
      </c>
      <c r="G2820" s="6"/>
      <c r="H2820" s="6" t="s">
        <v>54</v>
      </c>
      <c r="I2820" s="6" t="s">
        <v>319</v>
      </c>
      <c r="J2820" s="6"/>
      <c r="K2820" s="6"/>
      <c r="L2820" s="6" t="s">
        <v>5096</v>
      </c>
      <c r="M2820" s="6"/>
      <c r="N2820" s="6" t="s">
        <v>5097</v>
      </c>
      <c r="O2820" s="6" t="str">
        <f>HYPERLINK("https://ceds.ed.gov/cedselementdetails.aspx?termid=6444")</f>
        <v>https://ceds.ed.gov/cedselementdetails.aspx?termid=6444</v>
      </c>
      <c r="P2820" s="6" t="str">
        <f>HYPERLINK("https://ceds.ed.gov/elementComment.aspx?elementName=Rubric Criterion Level Feedback &amp;elementID=6444", "Click here to submit comment")</f>
        <v>Click here to submit comment</v>
      </c>
    </row>
    <row r="2821" spans="1:16" ht="45">
      <c r="A2821" s="6" t="s">
        <v>6784</v>
      </c>
      <c r="B2821" s="6" t="s">
        <v>6860</v>
      </c>
      <c r="C2821" s="6"/>
      <c r="D2821" s="6" t="s">
        <v>5098</v>
      </c>
      <c r="E2821" s="6" t="s">
        <v>5099</v>
      </c>
      <c r="F2821" s="6" t="s">
        <v>13</v>
      </c>
      <c r="G2821" s="6"/>
      <c r="H2821" s="6" t="s">
        <v>54</v>
      </c>
      <c r="I2821" s="6" t="s">
        <v>545</v>
      </c>
      <c r="J2821" s="6"/>
      <c r="K2821" s="6"/>
      <c r="L2821" s="6" t="s">
        <v>5100</v>
      </c>
      <c r="M2821" s="6"/>
      <c r="N2821" s="6" t="s">
        <v>5101</v>
      </c>
      <c r="O2821" s="6" t="str">
        <f>HYPERLINK("https://ceds.ed.gov/cedselementdetails.aspx?termid=6445")</f>
        <v>https://ceds.ed.gov/cedselementdetails.aspx?termid=6445</v>
      </c>
      <c r="P2821" s="6" t="str">
        <f>HYPERLINK("https://ceds.ed.gov/elementComment.aspx?elementName=Rubric Criterion Level Position &amp;elementID=6445", "Click here to submit comment")</f>
        <v>Click here to submit comment</v>
      </c>
    </row>
    <row r="2822" spans="1:16" ht="60">
      <c r="A2822" s="6" t="s">
        <v>6784</v>
      </c>
      <c r="B2822" s="6" t="s">
        <v>6860</v>
      </c>
      <c r="C2822" s="6"/>
      <c r="D2822" s="6" t="s">
        <v>5102</v>
      </c>
      <c r="E2822" s="6" t="s">
        <v>5103</v>
      </c>
      <c r="F2822" s="6" t="s">
        <v>13</v>
      </c>
      <c r="G2822" s="6"/>
      <c r="H2822" s="6" t="s">
        <v>54</v>
      </c>
      <c r="I2822" s="6" t="s">
        <v>106</v>
      </c>
      <c r="J2822" s="6"/>
      <c r="K2822" s="6"/>
      <c r="L2822" s="6" t="s">
        <v>5104</v>
      </c>
      <c r="M2822" s="6"/>
      <c r="N2822" s="6" t="s">
        <v>5105</v>
      </c>
      <c r="O2822" s="6" t="str">
        <f>HYPERLINK("https://ceds.ed.gov/cedselementdetails.aspx?termid=6446")</f>
        <v>https://ceds.ed.gov/cedselementdetails.aspx?termid=6446</v>
      </c>
      <c r="P2822" s="6" t="str">
        <f>HYPERLINK("https://ceds.ed.gov/elementComment.aspx?elementName=Rubric Criterion Level Quality Label &amp;elementID=6446", "Click here to submit comment")</f>
        <v>Click here to submit comment</v>
      </c>
    </row>
    <row r="2823" spans="1:16" ht="30">
      <c r="A2823" s="6" t="s">
        <v>6784</v>
      </c>
      <c r="B2823" s="6" t="s">
        <v>6860</v>
      </c>
      <c r="C2823" s="6"/>
      <c r="D2823" s="6" t="s">
        <v>5106</v>
      </c>
      <c r="E2823" s="6" t="s">
        <v>5107</v>
      </c>
      <c r="F2823" s="6" t="s">
        <v>13</v>
      </c>
      <c r="G2823" s="6"/>
      <c r="H2823" s="6" t="s">
        <v>54</v>
      </c>
      <c r="I2823" s="6" t="s">
        <v>545</v>
      </c>
      <c r="J2823" s="6"/>
      <c r="K2823" s="6"/>
      <c r="L2823" s="6" t="s">
        <v>5108</v>
      </c>
      <c r="M2823" s="6"/>
      <c r="N2823" s="6" t="s">
        <v>5109</v>
      </c>
      <c r="O2823" s="6" t="str">
        <f>HYPERLINK("https://ceds.ed.gov/cedselementdetails.aspx?termid=6447")</f>
        <v>https://ceds.ed.gov/cedselementdetails.aspx?termid=6447</v>
      </c>
      <c r="P2823" s="6" t="str">
        <f>HYPERLINK("https://ceds.ed.gov/elementComment.aspx?elementName=Rubric Criterion Level Score &amp;elementID=6447", "Click here to submit comment")</f>
        <v>Click here to submit comment</v>
      </c>
    </row>
    <row r="2824" spans="1:16" ht="45">
      <c r="A2824" s="6" t="s">
        <v>6784</v>
      </c>
      <c r="B2824" s="6" t="s">
        <v>6860</v>
      </c>
      <c r="C2824" s="6"/>
      <c r="D2824" s="6" t="s">
        <v>5110</v>
      </c>
      <c r="E2824" s="6" t="s">
        <v>5111</v>
      </c>
      <c r="F2824" s="6" t="s">
        <v>13</v>
      </c>
      <c r="G2824" s="6"/>
      <c r="H2824" s="6" t="s">
        <v>54</v>
      </c>
      <c r="I2824" s="6" t="s">
        <v>545</v>
      </c>
      <c r="J2824" s="6"/>
      <c r="K2824" s="6"/>
      <c r="L2824" s="6" t="s">
        <v>5112</v>
      </c>
      <c r="M2824" s="6"/>
      <c r="N2824" s="6" t="s">
        <v>5113</v>
      </c>
      <c r="O2824" s="6" t="str">
        <f>HYPERLINK("https://ceds.ed.gov/cedselementdetails.aspx?termid=6448")</f>
        <v>https://ceds.ed.gov/cedselementdetails.aspx?termid=6448</v>
      </c>
      <c r="P2824" s="6" t="str">
        <f>HYPERLINK("https://ceds.ed.gov/elementComment.aspx?elementName=Rubric Criterion Position &amp;elementID=6448", "Click here to submit comment")</f>
        <v>Click here to submit comment</v>
      </c>
    </row>
    <row r="2825" spans="1:16" ht="30">
      <c r="A2825" s="6" t="s">
        <v>6784</v>
      </c>
      <c r="B2825" s="6" t="s">
        <v>6860</v>
      </c>
      <c r="C2825" s="6"/>
      <c r="D2825" s="6" t="s">
        <v>5114</v>
      </c>
      <c r="E2825" s="6" t="s">
        <v>5115</v>
      </c>
      <c r="F2825" s="6" t="s">
        <v>13</v>
      </c>
      <c r="G2825" s="6"/>
      <c r="H2825" s="6" t="s">
        <v>54</v>
      </c>
      <c r="I2825" s="6" t="s">
        <v>106</v>
      </c>
      <c r="J2825" s="6"/>
      <c r="K2825" s="6"/>
      <c r="L2825" s="6" t="s">
        <v>5116</v>
      </c>
      <c r="M2825" s="6"/>
      <c r="N2825" s="6" t="s">
        <v>5117</v>
      </c>
      <c r="O2825" s="6" t="str">
        <f>HYPERLINK("https://ceds.ed.gov/cedselementdetails.aspx?termid=6449")</f>
        <v>https://ceds.ed.gov/cedselementdetails.aspx?termid=6449</v>
      </c>
      <c r="P2825" s="6" t="str">
        <f>HYPERLINK("https://ceds.ed.gov/elementComment.aspx?elementName=Rubric Criterion Title &amp;elementID=6449", "Click here to submit comment")</f>
        <v>Click here to submit comment</v>
      </c>
    </row>
    <row r="2826" spans="1:16" ht="45">
      <c r="A2826" s="6" t="s">
        <v>6784</v>
      </c>
      <c r="B2826" s="6" t="s">
        <v>6860</v>
      </c>
      <c r="C2826" s="6"/>
      <c r="D2826" s="6" t="s">
        <v>5118</v>
      </c>
      <c r="E2826" s="6" t="s">
        <v>5119</v>
      </c>
      <c r="F2826" s="6" t="s">
        <v>13</v>
      </c>
      <c r="G2826" s="6"/>
      <c r="H2826" s="6" t="s">
        <v>54</v>
      </c>
      <c r="I2826" s="6" t="s">
        <v>545</v>
      </c>
      <c r="J2826" s="6"/>
      <c r="K2826" s="6"/>
      <c r="L2826" s="6" t="s">
        <v>5120</v>
      </c>
      <c r="M2826" s="6"/>
      <c r="N2826" s="6" t="s">
        <v>5121</v>
      </c>
      <c r="O2826" s="6" t="str">
        <f>HYPERLINK("https://ceds.ed.gov/cedselementdetails.aspx?termid=6450")</f>
        <v>https://ceds.ed.gov/cedselementdetails.aspx?termid=6450</v>
      </c>
      <c r="P2826" s="6" t="str">
        <f>HYPERLINK("https://ceds.ed.gov/elementComment.aspx?elementName=Rubric Criterion Weight &amp;elementID=6450", "Click here to submit comment")</f>
        <v>Click here to submit comment</v>
      </c>
    </row>
    <row r="2827" spans="1:16" ht="30">
      <c r="A2827" s="6" t="s">
        <v>6784</v>
      </c>
      <c r="B2827" s="6" t="s">
        <v>6860</v>
      </c>
      <c r="C2827" s="6"/>
      <c r="D2827" s="6" t="s">
        <v>5122</v>
      </c>
      <c r="E2827" s="6" t="s">
        <v>5123</v>
      </c>
      <c r="F2827" s="6" t="s">
        <v>13</v>
      </c>
      <c r="G2827" s="6"/>
      <c r="H2827" s="6" t="s">
        <v>54</v>
      </c>
      <c r="I2827" s="6" t="s">
        <v>319</v>
      </c>
      <c r="J2827" s="6"/>
      <c r="K2827" s="6"/>
      <c r="L2827" s="6" t="s">
        <v>5124</v>
      </c>
      <c r="M2827" s="6"/>
      <c r="N2827" s="6" t="s">
        <v>5125</v>
      </c>
      <c r="O2827" s="6" t="str">
        <f>HYPERLINK("https://ceds.ed.gov/cedselementdetails.aspx?termid=6451")</f>
        <v>https://ceds.ed.gov/cedselementdetails.aspx?termid=6451</v>
      </c>
      <c r="P2827" s="6" t="str">
        <f>HYPERLINK("https://ceds.ed.gov/elementComment.aspx?elementName=Rubric Description &amp;elementID=6451", "Click here to submit comment")</f>
        <v>Click here to submit comment</v>
      </c>
    </row>
    <row r="2828" spans="1:16" ht="45">
      <c r="A2828" s="6" t="s">
        <v>6784</v>
      </c>
      <c r="B2828" s="6" t="s">
        <v>6858</v>
      </c>
      <c r="C2828" s="6"/>
      <c r="D2828" s="6" t="s">
        <v>3512</v>
      </c>
      <c r="E2828" s="6" t="s">
        <v>3513</v>
      </c>
      <c r="F2828" s="6" t="s">
        <v>13</v>
      </c>
      <c r="G2828" s="6"/>
      <c r="H2828" s="6"/>
      <c r="I2828" s="6" t="s">
        <v>100</v>
      </c>
      <c r="J2828" s="6"/>
      <c r="K2828" s="6"/>
      <c r="L2828" s="6" t="s">
        <v>3514</v>
      </c>
      <c r="M2828" s="6"/>
      <c r="N2828" s="6" t="s">
        <v>3515</v>
      </c>
      <c r="O2828" s="6" t="str">
        <f>HYPERLINK("https://ceds.ed.gov/cedselementdetails.aspx?termid=5940")</f>
        <v>https://ceds.ed.gov/cedselementdetails.aspx?termid=5940</v>
      </c>
      <c r="P2828" s="6" t="str">
        <f>HYPERLINK("https://ceds.ed.gov/elementComment.aspx?elementName=Learner Activity Title &amp;elementID=5940", "Click here to submit comment")</f>
        <v>Click here to submit comment</v>
      </c>
    </row>
    <row r="2829" spans="1:16" ht="45">
      <c r="A2829" s="6" t="s">
        <v>6784</v>
      </c>
      <c r="B2829" s="6" t="s">
        <v>6858</v>
      </c>
      <c r="C2829" s="6"/>
      <c r="D2829" s="6" t="s">
        <v>3464</v>
      </c>
      <c r="E2829" s="6" t="s">
        <v>3465</v>
      </c>
      <c r="F2829" s="6" t="s">
        <v>13</v>
      </c>
      <c r="G2829" s="6"/>
      <c r="H2829" s="6"/>
      <c r="I2829" s="6" t="s">
        <v>93</v>
      </c>
      <c r="J2829" s="6"/>
      <c r="K2829" s="6"/>
      <c r="L2829" s="6" t="s">
        <v>3466</v>
      </c>
      <c r="M2829" s="6"/>
      <c r="N2829" s="6" t="s">
        <v>3467</v>
      </c>
      <c r="O2829" s="6" t="str">
        <f>HYPERLINK("https://ceds.ed.gov/cedselementdetails.aspx?termid=5941")</f>
        <v>https://ceds.ed.gov/cedselementdetails.aspx?termid=5941</v>
      </c>
      <c r="P2829" s="6" t="str">
        <f>HYPERLINK("https://ceds.ed.gov/elementComment.aspx?elementName=Learner Activity Description &amp;elementID=5941", "Click here to submit comment")</f>
        <v>Click here to submit comment</v>
      </c>
    </row>
    <row r="2830" spans="1:16" ht="120">
      <c r="A2830" s="6" t="s">
        <v>6784</v>
      </c>
      <c r="B2830" s="6" t="s">
        <v>6858</v>
      </c>
      <c r="C2830" s="6"/>
      <c r="D2830" s="6" t="s">
        <v>3499</v>
      </c>
      <c r="E2830" s="6" t="s">
        <v>3500</v>
      </c>
      <c r="F2830" s="6" t="s">
        <v>13</v>
      </c>
      <c r="G2830" s="6"/>
      <c r="H2830" s="6"/>
      <c r="I2830" s="6" t="s">
        <v>93</v>
      </c>
      <c r="J2830" s="6"/>
      <c r="K2830" s="6" t="s">
        <v>3501</v>
      </c>
      <c r="L2830" s="6" t="s">
        <v>3502</v>
      </c>
      <c r="M2830" s="6"/>
      <c r="N2830" s="6" t="s">
        <v>3503</v>
      </c>
      <c r="O2830" s="6" t="str">
        <f>HYPERLINK("https://ceds.ed.gov/cedselementdetails.aspx?termid=5942")</f>
        <v>https://ceds.ed.gov/cedselementdetails.aspx?termid=5942</v>
      </c>
      <c r="P2830" s="6" t="str">
        <f>HYPERLINK("https://ceds.ed.gov/elementComment.aspx?elementName=Learner Activity Prerequisite &amp;elementID=5942", "Click here to submit comment")</f>
        <v>Click here to submit comment</v>
      </c>
    </row>
    <row r="2831" spans="1:16" ht="75">
      <c r="A2831" s="6" t="s">
        <v>6784</v>
      </c>
      <c r="B2831" s="6" t="s">
        <v>6858</v>
      </c>
      <c r="C2831" s="6"/>
      <c r="D2831" s="6" t="s">
        <v>3516</v>
      </c>
      <c r="E2831" s="6" t="s">
        <v>3517</v>
      </c>
      <c r="F2831" s="6" t="s">
        <v>6222</v>
      </c>
      <c r="G2831" s="6"/>
      <c r="H2831" s="6"/>
      <c r="I2831" s="6"/>
      <c r="J2831" s="6"/>
      <c r="K2831" s="6"/>
      <c r="L2831" s="6" t="s">
        <v>3518</v>
      </c>
      <c r="M2831" s="6"/>
      <c r="N2831" s="6" t="s">
        <v>3519</v>
      </c>
      <c r="O2831" s="6" t="str">
        <f>HYPERLINK("https://ceds.ed.gov/cedselementdetails.aspx?termid=5943")</f>
        <v>https://ceds.ed.gov/cedselementdetails.aspx?termid=5943</v>
      </c>
      <c r="P2831" s="6" t="str">
        <f>HYPERLINK("https://ceds.ed.gov/elementComment.aspx?elementName=Learner Activity Type &amp;elementID=5943", "Click here to submit comment")</f>
        <v>Click here to submit comment</v>
      </c>
    </row>
    <row r="2832" spans="1:16" ht="30">
      <c r="A2832" s="6" t="s">
        <v>6784</v>
      </c>
      <c r="B2832" s="6" t="s">
        <v>6858</v>
      </c>
      <c r="C2832" s="6"/>
      <c r="D2832" s="6" t="s">
        <v>3460</v>
      </c>
      <c r="E2832" s="6" t="s">
        <v>3461</v>
      </c>
      <c r="F2832" s="6" t="s">
        <v>13</v>
      </c>
      <c r="G2832" s="6"/>
      <c r="H2832" s="6"/>
      <c r="I2832" s="6" t="s">
        <v>73</v>
      </c>
      <c r="J2832" s="6"/>
      <c r="K2832" s="6"/>
      <c r="L2832" s="6" t="s">
        <v>3462</v>
      </c>
      <c r="M2832" s="6"/>
      <c r="N2832" s="6" t="s">
        <v>3463</v>
      </c>
      <c r="O2832" s="6" t="str">
        <f>HYPERLINK("https://ceds.ed.gov/cedselementdetails.aspx?termid=5944")</f>
        <v>https://ceds.ed.gov/cedselementdetails.aspx?termid=5944</v>
      </c>
      <c r="P2832" s="6" t="str">
        <f>HYPERLINK("https://ceds.ed.gov/elementComment.aspx?elementName=Learner Activity Creation Date &amp;elementID=5944", "Click here to submit comment")</f>
        <v>Click here to submit comment</v>
      </c>
    </row>
    <row r="2833" spans="1:16" ht="45">
      <c r="A2833" s="6" t="s">
        <v>6784</v>
      </c>
      <c r="B2833" s="6" t="s">
        <v>6858</v>
      </c>
      <c r="C2833" s="6"/>
      <c r="D2833" s="6" t="s">
        <v>3485</v>
      </c>
      <c r="E2833" s="6" t="s">
        <v>3486</v>
      </c>
      <c r="F2833" s="6" t="s">
        <v>13</v>
      </c>
      <c r="G2833" s="6"/>
      <c r="H2833" s="6"/>
      <c r="I2833" s="6" t="s">
        <v>308</v>
      </c>
      <c r="J2833" s="6"/>
      <c r="K2833" s="6" t="s">
        <v>3487</v>
      </c>
      <c r="L2833" s="6" t="s">
        <v>3488</v>
      </c>
      <c r="M2833" s="6"/>
      <c r="N2833" s="6" t="s">
        <v>3489</v>
      </c>
      <c r="O2833" s="6" t="str">
        <f>HYPERLINK("https://ceds.ed.gov/cedselementdetails.aspx?termid=5945")</f>
        <v>https://ceds.ed.gov/cedselementdetails.aspx?termid=5945</v>
      </c>
      <c r="P2833" s="6" t="str">
        <f>HYPERLINK("https://ceds.ed.gov/elementComment.aspx?elementName=Learner Activity Maximum Time Allowed &amp;elementID=5945", "Click here to submit comment")</f>
        <v>Click here to submit comment</v>
      </c>
    </row>
    <row r="2834" spans="1:16" ht="90">
      <c r="A2834" s="6" t="s">
        <v>6784</v>
      </c>
      <c r="B2834" s="6" t="s">
        <v>6858</v>
      </c>
      <c r="C2834" s="6"/>
      <c r="D2834" s="6" t="s">
        <v>3490</v>
      </c>
      <c r="E2834" s="6" t="s">
        <v>3491</v>
      </c>
      <c r="F2834" s="6" t="s">
        <v>6221</v>
      </c>
      <c r="G2834" s="6"/>
      <c r="H2834" s="6"/>
      <c r="I2834" s="6"/>
      <c r="J2834" s="6"/>
      <c r="K2834" s="6"/>
      <c r="L2834" s="6" t="s">
        <v>3492</v>
      </c>
      <c r="M2834" s="6"/>
      <c r="N2834" s="6" t="s">
        <v>3493</v>
      </c>
      <c r="O2834" s="6" t="str">
        <f>HYPERLINK("https://ceds.ed.gov/cedselementdetails.aspx?termid=5946")</f>
        <v>https://ceds.ed.gov/cedselementdetails.aspx?termid=5946</v>
      </c>
      <c r="P2834" s="6" t="str">
        <f>HYPERLINK("https://ceds.ed.gov/elementComment.aspx?elementName=Learner Activity Maximum Time Allowed Unit &amp;elementID=5946", "Click here to submit comment")</f>
        <v>Click here to submit comment</v>
      </c>
    </row>
    <row r="2835" spans="1:16" ht="30">
      <c r="A2835" s="6" t="s">
        <v>6784</v>
      </c>
      <c r="B2835" s="6" t="s">
        <v>6858</v>
      </c>
      <c r="C2835" s="6"/>
      <c r="D2835" s="6" t="s">
        <v>3468</v>
      </c>
      <c r="E2835" s="6" t="s">
        <v>3469</v>
      </c>
      <c r="F2835" s="6" t="s">
        <v>13</v>
      </c>
      <c r="G2835" s="6"/>
      <c r="H2835" s="6"/>
      <c r="I2835" s="6" t="s">
        <v>73</v>
      </c>
      <c r="J2835" s="6"/>
      <c r="K2835" s="6"/>
      <c r="L2835" s="6" t="s">
        <v>3470</v>
      </c>
      <c r="M2835" s="6"/>
      <c r="N2835" s="6" t="s">
        <v>3471</v>
      </c>
      <c r="O2835" s="6" t="str">
        <f>HYPERLINK("https://ceds.ed.gov/cedselementdetails.aspx?termid=5947")</f>
        <v>https://ceds.ed.gov/cedselementdetails.aspx?termid=5947</v>
      </c>
      <c r="P2835" s="6" t="str">
        <f>HYPERLINK("https://ceds.ed.gov/elementComment.aspx?elementName=Learner Activity Due Date &amp;elementID=5947", "Click here to submit comment")</f>
        <v>Click here to submit comment</v>
      </c>
    </row>
    <row r="2836" spans="1:16" ht="30">
      <c r="A2836" s="6" t="s">
        <v>6784</v>
      </c>
      <c r="B2836" s="6" t="s">
        <v>6858</v>
      </c>
      <c r="C2836" s="6"/>
      <c r="D2836" s="6" t="s">
        <v>3472</v>
      </c>
      <c r="E2836" s="6" t="s">
        <v>3473</v>
      </c>
      <c r="F2836" s="6" t="s">
        <v>13</v>
      </c>
      <c r="G2836" s="6"/>
      <c r="H2836" s="6"/>
      <c r="I2836" s="6" t="s">
        <v>426</v>
      </c>
      <c r="J2836" s="6"/>
      <c r="K2836" s="6"/>
      <c r="L2836" s="6" t="s">
        <v>3474</v>
      </c>
      <c r="M2836" s="6"/>
      <c r="N2836" s="6" t="s">
        <v>3475</v>
      </c>
      <c r="O2836" s="6" t="str">
        <f>HYPERLINK("https://ceds.ed.gov/cedselementdetails.aspx?termid=5948")</f>
        <v>https://ceds.ed.gov/cedselementdetails.aspx?termid=5948</v>
      </c>
      <c r="P2836" s="6" t="str">
        <f>HYPERLINK("https://ceds.ed.gov/elementComment.aspx?elementName=Learner Activity Due Time &amp;elementID=5948", "Click here to submit comment")</f>
        <v>Click here to submit comment</v>
      </c>
    </row>
    <row r="2837" spans="1:16" ht="45">
      <c r="A2837" s="6" t="s">
        <v>6784</v>
      </c>
      <c r="B2837" s="6" t="s">
        <v>6858</v>
      </c>
      <c r="C2837" s="6"/>
      <c r="D2837" s="6" t="s">
        <v>3481</v>
      </c>
      <c r="E2837" s="6" t="s">
        <v>3482</v>
      </c>
      <c r="F2837" s="6" t="s">
        <v>13</v>
      </c>
      <c r="G2837" s="6"/>
      <c r="H2837" s="6"/>
      <c r="I2837" s="6" t="s">
        <v>308</v>
      </c>
      <c r="J2837" s="6"/>
      <c r="K2837" s="6"/>
      <c r="L2837" s="6" t="s">
        <v>3483</v>
      </c>
      <c r="M2837" s="6"/>
      <c r="N2837" s="6" t="s">
        <v>3484</v>
      </c>
      <c r="O2837" s="6" t="str">
        <f>HYPERLINK("https://ceds.ed.gov/cedselementdetails.aspx?termid=5949")</f>
        <v>https://ceds.ed.gov/cedselementdetails.aspx?termid=5949</v>
      </c>
      <c r="P2837" s="6" t="str">
        <f>HYPERLINK("https://ceds.ed.gov/elementComment.aspx?elementName=Learner Activity Maximum Attempts Allowed &amp;elementID=5949", "Click here to submit comment")</f>
        <v>Click here to submit comment</v>
      </c>
    </row>
    <row r="2838" spans="1:16" ht="75">
      <c r="A2838" s="6" t="s">
        <v>6784</v>
      </c>
      <c r="B2838" s="6" t="s">
        <v>6858</v>
      </c>
      <c r="C2838" s="6"/>
      <c r="D2838" s="6" t="s">
        <v>3456</v>
      </c>
      <c r="E2838" s="6" t="s">
        <v>3457</v>
      </c>
      <c r="F2838" s="7" t="s">
        <v>6373</v>
      </c>
      <c r="G2838" s="6"/>
      <c r="H2838" s="6"/>
      <c r="I2838" s="6"/>
      <c r="J2838" s="6"/>
      <c r="K2838" s="6"/>
      <c r="L2838" s="6" t="s">
        <v>3458</v>
      </c>
      <c r="M2838" s="6"/>
      <c r="N2838" s="6" t="s">
        <v>3459</v>
      </c>
      <c r="O2838" s="6" t="str">
        <f>HYPERLINK("https://ceds.ed.gov/cedselementdetails.aspx?termid=5950")</f>
        <v>https://ceds.ed.gov/cedselementdetails.aspx?termid=5950</v>
      </c>
      <c r="P2838" s="6" t="str">
        <f>HYPERLINK("https://ceds.ed.gov/elementComment.aspx?elementName=Learner Activity Add To Grade Book Flag &amp;elementID=5950", "Click here to submit comment")</f>
        <v>Click here to submit comment</v>
      </c>
    </row>
    <row r="2839" spans="1:16" ht="60">
      <c r="A2839" s="6" t="s">
        <v>6784</v>
      </c>
      <c r="B2839" s="6" t="s">
        <v>6858</v>
      </c>
      <c r="C2839" s="6"/>
      <c r="D2839" s="6" t="s">
        <v>3504</v>
      </c>
      <c r="E2839" s="6" t="s">
        <v>3505</v>
      </c>
      <c r="F2839" s="6" t="s">
        <v>13</v>
      </c>
      <c r="G2839" s="6"/>
      <c r="H2839" s="6"/>
      <c r="I2839" s="6" t="s">
        <v>73</v>
      </c>
      <c r="J2839" s="6"/>
      <c r="K2839" s="6"/>
      <c r="L2839" s="6" t="s">
        <v>3506</v>
      </c>
      <c r="M2839" s="6"/>
      <c r="N2839" s="6" t="s">
        <v>3507</v>
      </c>
      <c r="O2839" s="6" t="str">
        <f>HYPERLINK("https://ceds.ed.gov/cedselementdetails.aspx?termid=5951")</f>
        <v>https://ceds.ed.gov/cedselementdetails.aspx?termid=5951</v>
      </c>
      <c r="P2839" s="6" t="str">
        <f>HYPERLINK("https://ceds.ed.gov/elementComment.aspx?elementName=Learner Activity Release Date &amp;elementID=5951", "Click here to submit comment")</f>
        <v>Click here to submit comment</v>
      </c>
    </row>
    <row r="2840" spans="1:16" ht="45">
      <c r="A2840" s="6" t="s">
        <v>6784</v>
      </c>
      <c r="B2840" s="6" t="s">
        <v>6858</v>
      </c>
      <c r="C2840" s="6"/>
      <c r="D2840" s="6" t="s">
        <v>3520</v>
      </c>
      <c r="E2840" s="6" t="s">
        <v>3521</v>
      </c>
      <c r="F2840" s="6" t="s">
        <v>13</v>
      </c>
      <c r="G2840" s="6"/>
      <c r="H2840" s="6"/>
      <c r="I2840" s="6" t="s">
        <v>740</v>
      </c>
      <c r="J2840" s="6"/>
      <c r="K2840" s="6"/>
      <c r="L2840" s="6" t="s">
        <v>3522</v>
      </c>
      <c r="M2840" s="6"/>
      <c r="N2840" s="6" t="s">
        <v>3523</v>
      </c>
      <c r="O2840" s="6" t="str">
        <f>HYPERLINK("https://ceds.ed.gov/cedselementdetails.aspx?termid=5952")</f>
        <v>https://ceds.ed.gov/cedselementdetails.aspx?termid=5952</v>
      </c>
      <c r="P2840" s="6" t="str">
        <f>HYPERLINK("https://ceds.ed.gov/elementComment.aspx?elementName=Learner Activity Weight &amp;elementID=5952", "Click here to submit comment")</f>
        <v>Click here to submit comment</v>
      </c>
    </row>
    <row r="2841" spans="1:16" ht="30">
      <c r="A2841" s="6" t="s">
        <v>6784</v>
      </c>
      <c r="B2841" s="6" t="s">
        <v>6858</v>
      </c>
      <c r="C2841" s="6"/>
      <c r="D2841" s="6" t="s">
        <v>3494</v>
      </c>
      <c r="E2841" s="6" t="s">
        <v>3495</v>
      </c>
      <c r="F2841" s="6" t="s">
        <v>13</v>
      </c>
      <c r="G2841" s="6"/>
      <c r="H2841" s="6"/>
      <c r="I2841" s="6" t="s">
        <v>3496</v>
      </c>
      <c r="J2841" s="6"/>
      <c r="K2841" s="6"/>
      <c r="L2841" s="6" t="s">
        <v>3497</v>
      </c>
      <c r="M2841" s="6"/>
      <c r="N2841" s="6" t="s">
        <v>3498</v>
      </c>
      <c r="O2841" s="6" t="str">
        <f>HYPERLINK("https://ceds.ed.gov/cedselementdetails.aspx?termid=5953")</f>
        <v>https://ceds.ed.gov/cedselementdetails.aspx?termid=5953</v>
      </c>
      <c r="P2841" s="6" t="str">
        <f>HYPERLINK("https://ceds.ed.gov/elementComment.aspx?elementName=Learner Activity Possible Points &amp;elementID=5953", "Click here to submit comment")</f>
        <v>Click here to submit comment</v>
      </c>
    </row>
    <row r="2842" spans="1:16" ht="60">
      <c r="A2842" s="6" t="s">
        <v>6784</v>
      </c>
      <c r="B2842" s="6" t="s">
        <v>6858</v>
      </c>
      <c r="C2842" s="6"/>
      <c r="D2842" s="6" t="s">
        <v>3508</v>
      </c>
      <c r="E2842" s="6" t="s">
        <v>3509</v>
      </c>
      <c r="F2842" s="6" t="s">
        <v>13</v>
      </c>
      <c r="G2842" s="6"/>
      <c r="H2842" s="6"/>
      <c r="I2842" s="6" t="s">
        <v>93</v>
      </c>
      <c r="J2842" s="6"/>
      <c r="K2842" s="6"/>
      <c r="L2842" s="6" t="s">
        <v>3510</v>
      </c>
      <c r="M2842" s="6"/>
      <c r="N2842" s="6" t="s">
        <v>3511</v>
      </c>
      <c r="O2842" s="6" t="str">
        <f>HYPERLINK("https://ceds.ed.gov/cedselementdetails.aspx?termid=5954")</f>
        <v>https://ceds.ed.gov/cedselementdetails.aspx?termid=5954</v>
      </c>
      <c r="P2842" s="6" t="str">
        <f>HYPERLINK("https://ceds.ed.gov/elementComment.aspx?elementName=Learner Activity Rubric URL &amp;elementID=5954", "Click here to submit comment")</f>
        <v>Click here to submit comment</v>
      </c>
    </row>
    <row r="2843" spans="1:16" ht="75">
      <c r="A2843" s="6" t="s">
        <v>6784</v>
      </c>
      <c r="B2843" s="6" t="s">
        <v>6858</v>
      </c>
      <c r="C2843" s="6"/>
      <c r="D2843" s="6" t="s">
        <v>3476</v>
      </c>
      <c r="E2843" s="6" t="s">
        <v>3477</v>
      </c>
      <c r="F2843" s="5" t="s">
        <v>939</v>
      </c>
      <c r="G2843" s="6"/>
      <c r="H2843" s="6"/>
      <c r="I2843" s="6"/>
      <c r="J2843" s="6"/>
      <c r="K2843" s="6" t="s">
        <v>3478</v>
      </c>
      <c r="L2843" s="6" t="s">
        <v>3479</v>
      </c>
      <c r="M2843" s="6"/>
      <c r="N2843" s="6" t="s">
        <v>3480</v>
      </c>
      <c r="O2843" s="6" t="str">
        <f>HYPERLINK("https://ceds.ed.gov/cedselementdetails.aspx?termid=5939")</f>
        <v>https://ceds.ed.gov/cedselementdetails.aspx?termid=5939</v>
      </c>
      <c r="P2843" s="6" t="str">
        <f>HYPERLINK("https://ceds.ed.gov/elementComment.aspx?elementName=Learner Activity Language &amp;elementID=5939", "Click here to submit comment")</f>
        <v>Click here to submit comment</v>
      </c>
    </row>
    <row r="2844" spans="1:16" ht="45">
      <c r="A2844" s="6" t="s">
        <v>6784</v>
      </c>
      <c r="B2844" s="6" t="s">
        <v>6859</v>
      </c>
      <c r="C2844" s="6"/>
      <c r="D2844" s="6" t="s">
        <v>1121</v>
      </c>
      <c r="E2844" s="6" t="s">
        <v>1122</v>
      </c>
      <c r="F2844" s="6" t="s">
        <v>13</v>
      </c>
      <c r="G2844" s="6" t="s">
        <v>493</v>
      </c>
      <c r="H2844" s="6"/>
      <c r="I2844" s="6" t="s">
        <v>100</v>
      </c>
      <c r="J2844" s="6"/>
      <c r="K2844" s="6"/>
      <c r="L2844" s="6" t="s">
        <v>1123</v>
      </c>
      <c r="M2844" s="6"/>
      <c r="N2844" s="6" t="s">
        <v>1124</v>
      </c>
      <c r="O2844" s="6" t="str">
        <f>HYPERLINK("https://ceds.ed.gov/cedselementdetails.aspx?termid=5693")</f>
        <v>https://ceds.ed.gov/cedselementdetails.aspx?termid=5693</v>
      </c>
      <c r="P2844" s="6" t="str">
        <f>HYPERLINK("https://ceds.ed.gov/elementComment.aspx?elementName=Assessment Performance Level Identifier &amp;elementID=5693", "Click here to submit comment")</f>
        <v>Click here to submit comment</v>
      </c>
    </row>
    <row r="2845" spans="1:16" ht="45">
      <c r="A2845" s="6" t="s">
        <v>6784</v>
      </c>
      <c r="B2845" s="6" t="s">
        <v>6859</v>
      </c>
      <c r="C2845" s="6"/>
      <c r="D2845" s="6" t="s">
        <v>1125</v>
      </c>
      <c r="E2845" s="6" t="s">
        <v>1126</v>
      </c>
      <c r="F2845" s="6" t="s">
        <v>13</v>
      </c>
      <c r="G2845" s="6" t="s">
        <v>493</v>
      </c>
      <c r="H2845" s="6"/>
      <c r="I2845" s="6" t="s">
        <v>1127</v>
      </c>
      <c r="J2845" s="6"/>
      <c r="K2845" s="6"/>
      <c r="L2845" s="6" t="s">
        <v>1128</v>
      </c>
      <c r="M2845" s="6"/>
      <c r="N2845" s="6" t="s">
        <v>1129</v>
      </c>
      <c r="O2845" s="6" t="str">
        <f>HYPERLINK("https://ceds.ed.gov/cedselementdetails.aspx?termid=5694")</f>
        <v>https://ceds.ed.gov/cedselementdetails.aspx?termid=5694</v>
      </c>
      <c r="P2845" s="6" t="str">
        <f>HYPERLINK("https://ceds.ed.gov/elementComment.aspx?elementName=Assessment Performance Level Label &amp;elementID=5694", "Click here to submit comment")</f>
        <v>Click here to submit comment</v>
      </c>
    </row>
    <row r="2846" spans="1:16" ht="45">
      <c r="A2846" s="6" t="s">
        <v>6784</v>
      </c>
      <c r="B2846" s="6" t="s">
        <v>6859</v>
      </c>
      <c r="C2846" s="6"/>
      <c r="D2846" s="6" t="s">
        <v>1130</v>
      </c>
      <c r="E2846" s="6" t="s">
        <v>1131</v>
      </c>
      <c r="F2846" s="6" t="s">
        <v>13</v>
      </c>
      <c r="G2846" s="6" t="s">
        <v>5992</v>
      </c>
      <c r="H2846" s="6"/>
      <c r="I2846" s="6" t="s">
        <v>100</v>
      </c>
      <c r="J2846" s="6"/>
      <c r="K2846" s="6"/>
      <c r="L2846" s="6" t="s">
        <v>1132</v>
      </c>
      <c r="M2846" s="6"/>
      <c r="N2846" s="6" t="s">
        <v>1133</v>
      </c>
      <c r="O2846" s="6" t="str">
        <f>HYPERLINK("https://ceds.ed.gov/cedselementdetails.aspx?termid=5408")</f>
        <v>https://ceds.ed.gov/cedselementdetails.aspx?termid=5408</v>
      </c>
      <c r="P2846" s="6" t="str">
        <f>HYPERLINK("https://ceds.ed.gov/elementComment.aspx?elementName=Assessment Performance Level Lower Cut Score &amp;elementID=5408", "Click here to submit comment")</f>
        <v>Click here to submit comment</v>
      </c>
    </row>
    <row r="2847" spans="1:16" ht="409.5">
      <c r="A2847" s="6" t="s">
        <v>6784</v>
      </c>
      <c r="B2847" s="6" t="s">
        <v>6859</v>
      </c>
      <c r="C2847" s="6"/>
      <c r="D2847" s="6" t="s">
        <v>1134</v>
      </c>
      <c r="E2847" s="6" t="s">
        <v>1135</v>
      </c>
      <c r="F2847" s="7" t="s">
        <v>6398</v>
      </c>
      <c r="G2847" s="6" t="s">
        <v>5992</v>
      </c>
      <c r="H2847" s="6"/>
      <c r="I2847" s="6" t="s">
        <v>100</v>
      </c>
      <c r="J2847" s="6"/>
      <c r="K2847" s="6"/>
      <c r="L2847" s="6" t="s">
        <v>1136</v>
      </c>
      <c r="M2847" s="6"/>
      <c r="N2847" s="6" t="s">
        <v>1137</v>
      </c>
      <c r="O2847" s="6" t="str">
        <f>HYPERLINK("https://ceds.ed.gov/cedselementdetails.aspx?termid=5407")</f>
        <v>https://ceds.ed.gov/cedselementdetails.aspx?termid=5407</v>
      </c>
      <c r="P2847" s="6" t="str">
        <f>HYPERLINK("https://ceds.ed.gov/elementComment.aspx?elementName=Assessment Performance Level Score Metric &amp;elementID=5407", "Click here to submit comment")</f>
        <v>Click here to submit comment</v>
      </c>
    </row>
    <row r="2848" spans="1:16" ht="45">
      <c r="A2848" s="6" t="s">
        <v>6784</v>
      </c>
      <c r="B2848" s="6" t="s">
        <v>6859</v>
      </c>
      <c r="C2848" s="6"/>
      <c r="D2848" s="6" t="s">
        <v>1138</v>
      </c>
      <c r="E2848" s="6" t="s">
        <v>1139</v>
      </c>
      <c r="F2848" s="6" t="s">
        <v>13</v>
      </c>
      <c r="G2848" s="6" t="s">
        <v>5992</v>
      </c>
      <c r="H2848" s="6"/>
      <c r="I2848" s="6" t="s">
        <v>100</v>
      </c>
      <c r="J2848" s="6"/>
      <c r="K2848" s="6"/>
      <c r="L2848" s="6" t="s">
        <v>1140</v>
      </c>
      <c r="M2848" s="6"/>
      <c r="N2848" s="6" t="s">
        <v>1141</v>
      </c>
      <c r="O2848" s="6" t="str">
        <f>HYPERLINK("https://ceds.ed.gov/cedselementdetails.aspx?termid=5409")</f>
        <v>https://ceds.ed.gov/cedselementdetails.aspx?termid=5409</v>
      </c>
      <c r="P2848" s="6" t="str">
        <f>HYPERLINK("https://ceds.ed.gov/elementComment.aspx?elementName=Assessment Performance Level Upper Cut Score &amp;elementID=5409", "Click here to submit comment")</f>
        <v>Click here to submit comment</v>
      </c>
    </row>
    <row r="2849" spans="1:16" ht="60">
      <c r="A2849" s="6" t="s">
        <v>6784</v>
      </c>
      <c r="B2849" s="6" t="s">
        <v>6859</v>
      </c>
      <c r="C2849" s="6"/>
      <c r="D2849" s="6" t="s">
        <v>1117</v>
      </c>
      <c r="E2849" s="6" t="s">
        <v>1118</v>
      </c>
      <c r="F2849" s="6" t="s">
        <v>13</v>
      </c>
      <c r="G2849" s="6"/>
      <c r="H2849" s="6"/>
      <c r="I2849" s="6" t="s">
        <v>319</v>
      </c>
      <c r="J2849" s="6"/>
      <c r="K2849" s="6"/>
      <c r="L2849" s="6" t="s">
        <v>1119</v>
      </c>
      <c r="M2849" s="6"/>
      <c r="N2849" s="6" t="s">
        <v>1120</v>
      </c>
      <c r="O2849" s="6" t="str">
        <f>HYPERLINK("https://ceds.ed.gov/cedselementdetails.aspx?termid=6184")</f>
        <v>https://ceds.ed.gov/cedselementdetails.aspx?termid=6184</v>
      </c>
      <c r="P2849" s="6" t="str">
        <f>HYPERLINK("https://ceds.ed.gov/elementComment.aspx?elementName=Assessment Performance Level Descriptive Feedback &amp;elementID=6184", "Click here to submit comment")</f>
        <v>Click here to submit comment</v>
      </c>
    </row>
    <row r="2850" spans="1:16" ht="45">
      <c r="A2850" s="6" t="s">
        <v>6911</v>
      </c>
      <c r="B2850" s="6" t="s">
        <v>6912</v>
      </c>
      <c r="C2850" s="6"/>
      <c r="D2850" s="6" t="s">
        <v>3731</v>
      </c>
      <c r="E2850" s="6" t="s">
        <v>3732</v>
      </c>
      <c r="F2850" s="6" t="s">
        <v>13</v>
      </c>
      <c r="G2850" s="6"/>
      <c r="H2850" s="6"/>
      <c r="I2850" s="6" t="s">
        <v>1440</v>
      </c>
      <c r="J2850" s="6"/>
      <c r="K2850" s="6"/>
      <c r="L2850" s="6" t="s">
        <v>3733</v>
      </c>
      <c r="M2850" s="6"/>
      <c r="N2850" s="6" t="s">
        <v>3734</v>
      </c>
      <c r="O2850" s="6" t="str">
        <f>HYPERLINK("https://ceds.ed.gov/cedselementdetails.aspx?termid=5673")</f>
        <v>https://ceds.ed.gov/cedselementdetails.aspx?termid=5673</v>
      </c>
      <c r="P2850" s="6" t="str">
        <f>HYPERLINK("https://ceds.ed.gov/elementComment.aspx?elementName=Learning Standard Document Creator &amp;elementID=5673", "Click here to submit comment")</f>
        <v>Click here to submit comment</v>
      </c>
    </row>
    <row r="2851" spans="1:16" ht="45">
      <c r="A2851" s="6" t="s">
        <v>6911</v>
      </c>
      <c r="B2851" s="6" t="s">
        <v>6912</v>
      </c>
      <c r="C2851" s="6"/>
      <c r="D2851" s="6" t="s">
        <v>3735</v>
      </c>
      <c r="E2851" s="6" t="s">
        <v>3736</v>
      </c>
      <c r="F2851" s="6" t="s">
        <v>13</v>
      </c>
      <c r="G2851" s="6"/>
      <c r="H2851" s="6"/>
      <c r="I2851" s="6" t="s">
        <v>93</v>
      </c>
      <c r="J2851" s="6"/>
      <c r="K2851" s="6"/>
      <c r="L2851" s="6" t="s">
        <v>3737</v>
      </c>
      <c r="M2851" s="6"/>
      <c r="N2851" s="6" t="s">
        <v>3738</v>
      </c>
      <c r="O2851" s="6" t="str">
        <f>HYPERLINK("https://ceds.ed.gov/cedselementdetails.aspx?termid=5674")</f>
        <v>https://ceds.ed.gov/cedselementdetails.aspx?termid=5674</v>
      </c>
      <c r="P2851" s="6" t="str">
        <f>HYPERLINK("https://ceds.ed.gov/elementComment.aspx?elementName=Learning Standard Document Description &amp;elementID=5674", "Click here to submit comment")</f>
        <v>Click here to submit comment</v>
      </c>
    </row>
    <row r="2852" spans="1:16" ht="45">
      <c r="A2852" s="6" t="s">
        <v>6911</v>
      </c>
      <c r="B2852" s="6" t="s">
        <v>6912</v>
      </c>
      <c r="C2852" s="6"/>
      <c r="D2852" s="6" t="s">
        <v>3739</v>
      </c>
      <c r="E2852" s="6" t="s">
        <v>3740</v>
      </c>
      <c r="F2852" s="6" t="s">
        <v>13</v>
      </c>
      <c r="G2852" s="6" t="s">
        <v>493</v>
      </c>
      <c r="H2852" s="6"/>
      <c r="I2852" s="6" t="s">
        <v>93</v>
      </c>
      <c r="J2852" s="6"/>
      <c r="K2852" s="6"/>
      <c r="L2852" s="6" t="s">
        <v>3741</v>
      </c>
      <c r="M2852" s="6"/>
      <c r="N2852" s="6" t="s">
        <v>3742</v>
      </c>
      <c r="O2852" s="6" t="str">
        <f>HYPERLINK("https://ceds.ed.gov/cedselementdetails.aspx?termid=5670")</f>
        <v>https://ceds.ed.gov/cedselementdetails.aspx?termid=5670</v>
      </c>
      <c r="P2852" s="6" t="str">
        <f>HYPERLINK("https://ceds.ed.gov/elementComment.aspx?elementName=Learning Standard Document Identifier URI &amp;elementID=5670", "Click here to submit comment")</f>
        <v>Click here to submit comment</v>
      </c>
    </row>
    <row r="2853" spans="1:16" ht="60">
      <c r="A2853" s="6" t="s">
        <v>6911</v>
      </c>
      <c r="B2853" s="6" t="s">
        <v>6912</v>
      </c>
      <c r="C2853" s="6"/>
      <c r="D2853" s="6" t="s">
        <v>3743</v>
      </c>
      <c r="E2853" s="6" t="s">
        <v>3744</v>
      </c>
      <c r="F2853" s="6" t="s">
        <v>13</v>
      </c>
      <c r="G2853" s="6"/>
      <c r="H2853" s="6"/>
      <c r="I2853" s="6" t="s">
        <v>1440</v>
      </c>
      <c r="J2853" s="6"/>
      <c r="K2853" s="6"/>
      <c r="L2853" s="6" t="s">
        <v>3745</v>
      </c>
      <c r="M2853" s="6"/>
      <c r="N2853" s="6" t="s">
        <v>3746</v>
      </c>
      <c r="O2853" s="6" t="str">
        <f>HYPERLINK("https://ceds.ed.gov/cedselementdetails.aspx?termid=5676")</f>
        <v>https://ceds.ed.gov/cedselementdetails.aspx?termid=5676</v>
      </c>
      <c r="P2853" s="6" t="str">
        <f>HYPERLINK("https://ceds.ed.gov/elementComment.aspx?elementName=Learning Standard Document Jurisdiction &amp;elementID=5676", "Click here to submit comment")</f>
        <v>Click here to submit comment</v>
      </c>
    </row>
    <row r="2854" spans="1:16" ht="90">
      <c r="A2854" s="6" t="s">
        <v>6911</v>
      </c>
      <c r="B2854" s="6" t="s">
        <v>6912</v>
      </c>
      <c r="C2854" s="6"/>
      <c r="D2854" s="6" t="s">
        <v>3755</v>
      </c>
      <c r="E2854" s="6" t="s">
        <v>3756</v>
      </c>
      <c r="F2854" s="6" t="s">
        <v>6242</v>
      </c>
      <c r="G2854" s="6"/>
      <c r="H2854" s="6"/>
      <c r="I2854" s="6"/>
      <c r="J2854" s="6"/>
      <c r="K2854" s="6"/>
      <c r="L2854" s="6" t="s">
        <v>3757</v>
      </c>
      <c r="M2854" s="6"/>
      <c r="N2854" s="6" t="s">
        <v>3758</v>
      </c>
      <c r="O2854" s="6" t="str">
        <f>HYPERLINK("https://ceds.ed.gov/cedselementdetails.aspx?termid=5675")</f>
        <v>https://ceds.ed.gov/cedselementdetails.aspx?termid=5675</v>
      </c>
      <c r="P2854" s="6" t="str">
        <f>HYPERLINK("https://ceds.ed.gov/elementComment.aspx?elementName=Learning Standard Document Publication Status &amp;elementID=5675", "Click here to submit comment")</f>
        <v>Click here to submit comment</v>
      </c>
    </row>
    <row r="2855" spans="1:16" ht="30">
      <c r="A2855" s="6" t="s">
        <v>6911</v>
      </c>
      <c r="B2855" s="6" t="s">
        <v>6912</v>
      </c>
      <c r="C2855" s="6"/>
      <c r="D2855" s="6" t="s">
        <v>3771</v>
      </c>
      <c r="E2855" s="6" t="s">
        <v>3772</v>
      </c>
      <c r="F2855" s="6" t="s">
        <v>13</v>
      </c>
      <c r="G2855" s="6" t="s">
        <v>493</v>
      </c>
      <c r="H2855" s="6"/>
      <c r="I2855" s="6" t="s">
        <v>100</v>
      </c>
      <c r="J2855" s="6"/>
      <c r="K2855" s="6"/>
      <c r="L2855" s="6" t="s">
        <v>3773</v>
      </c>
      <c r="M2855" s="6"/>
      <c r="N2855" s="6" t="s">
        <v>3774</v>
      </c>
      <c r="O2855" s="6" t="str">
        <f>HYPERLINK("https://ceds.ed.gov/cedselementdetails.aspx?termid=5679")</f>
        <v>https://ceds.ed.gov/cedselementdetails.aspx?termid=5679</v>
      </c>
      <c r="P2855" s="6" t="str">
        <f>HYPERLINK("https://ceds.ed.gov/elementComment.aspx?elementName=Learning Standard Document Subject &amp;elementID=5679", "Click here to submit comment")</f>
        <v>Click here to submit comment</v>
      </c>
    </row>
    <row r="2856" spans="1:16" ht="30">
      <c r="A2856" s="6" t="s">
        <v>6911</v>
      </c>
      <c r="B2856" s="6" t="s">
        <v>6912</v>
      </c>
      <c r="C2856" s="6"/>
      <c r="D2856" s="6" t="s">
        <v>3775</v>
      </c>
      <c r="E2856" s="6" t="s">
        <v>3776</v>
      </c>
      <c r="F2856" s="6" t="s">
        <v>13</v>
      </c>
      <c r="G2856" s="6" t="s">
        <v>493</v>
      </c>
      <c r="H2856" s="6"/>
      <c r="I2856" s="6" t="s">
        <v>1440</v>
      </c>
      <c r="J2856" s="6"/>
      <c r="K2856" s="6"/>
      <c r="L2856" s="6" t="s">
        <v>3777</v>
      </c>
      <c r="M2856" s="6"/>
      <c r="N2856" s="6" t="s">
        <v>3778</v>
      </c>
      <c r="O2856" s="6" t="str">
        <f>HYPERLINK("https://ceds.ed.gov/cedselementdetails.aspx?termid=5671")</f>
        <v>https://ceds.ed.gov/cedselementdetails.aspx?termid=5671</v>
      </c>
      <c r="P2856" s="6" t="str">
        <f>HYPERLINK("https://ceds.ed.gov/elementComment.aspx?elementName=Learning Standard Document Title &amp;elementID=5671", "Click here to submit comment")</f>
        <v>Click here to submit comment</v>
      </c>
    </row>
    <row r="2857" spans="1:16" ht="60">
      <c r="A2857" s="6" t="s">
        <v>6911</v>
      </c>
      <c r="B2857" s="6" t="s">
        <v>6912</v>
      </c>
      <c r="C2857" s="6"/>
      <c r="D2857" s="6" t="s">
        <v>3779</v>
      </c>
      <c r="E2857" s="6" t="s">
        <v>3780</v>
      </c>
      <c r="F2857" s="6" t="s">
        <v>13</v>
      </c>
      <c r="G2857" s="6"/>
      <c r="H2857" s="6"/>
      <c r="I2857" s="6" t="s">
        <v>73</v>
      </c>
      <c r="J2857" s="6"/>
      <c r="K2857" s="6"/>
      <c r="L2857" s="6" t="s">
        <v>3781</v>
      </c>
      <c r="M2857" s="6"/>
      <c r="N2857" s="6" t="s">
        <v>3782</v>
      </c>
      <c r="O2857" s="6" t="str">
        <f>HYPERLINK("https://ceds.ed.gov/cedselementdetails.aspx?termid=5678")</f>
        <v>https://ceds.ed.gov/cedselementdetails.aspx?termid=5678</v>
      </c>
      <c r="P2857" s="6" t="str">
        <f>HYPERLINK("https://ceds.ed.gov/elementComment.aspx?elementName=Learning Standard Document Valid End Date &amp;elementID=5678", "Click here to submit comment")</f>
        <v>Click here to submit comment</v>
      </c>
    </row>
    <row r="2858" spans="1:16" ht="60">
      <c r="A2858" s="6" t="s">
        <v>6911</v>
      </c>
      <c r="B2858" s="6" t="s">
        <v>6912</v>
      </c>
      <c r="C2858" s="6"/>
      <c r="D2858" s="6" t="s">
        <v>3783</v>
      </c>
      <c r="E2858" s="6" t="s">
        <v>3784</v>
      </c>
      <c r="F2858" s="6" t="s">
        <v>13</v>
      </c>
      <c r="G2858" s="6"/>
      <c r="H2858" s="6"/>
      <c r="I2858" s="6" t="s">
        <v>73</v>
      </c>
      <c r="J2858" s="6"/>
      <c r="K2858" s="6"/>
      <c r="L2858" s="6" t="s">
        <v>3785</v>
      </c>
      <c r="M2858" s="6"/>
      <c r="N2858" s="6" t="s">
        <v>3786</v>
      </c>
      <c r="O2858" s="6" t="str">
        <f>HYPERLINK("https://ceds.ed.gov/cedselementdetails.aspx?termid=5677")</f>
        <v>https://ceds.ed.gov/cedselementdetails.aspx?termid=5677</v>
      </c>
      <c r="P2858" s="6" t="str">
        <f>HYPERLINK("https://ceds.ed.gov/elementComment.aspx?elementName=Learning Standard Document Valid Start Date &amp;elementID=5677", "Click here to submit comment")</f>
        <v>Click here to submit comment</v>
      </c>
    </row>
    <row r="2859" spans="1:16" ht="30">
      <c r="A2859" s="6" t="s">
        <v>6911</v>
      </c>
      <c r="B2859" s="6" t="s">
        <v>6912</v>
      </c>
      <c r="C2859" s="6"/>
      <c r="D2859" s="6" t="s">
        <v>3787</v>
      </c>
      <c r="E2859" s="6" t="s">
        <v>3788</v>
      </c>
      <c r="F2859" s="6" t="s">
        <v>13</v>
      </c>
      <c r="G2859" s="6" t="s">
        <v>493</v>
      </c>
      <c r="H2859" s="6"/>
      <c r="I2859" s="6" t="s">
        <v>100</v>
      </c>
      <c r="J2859" s="6"/>
      <c r="K2859" s="6"/>
      <c r="L2859" s="6" t="s">
        <v>3789</v>
      </c>
      <c r="M2859" s="6"/>
      <c r="N2859" s="6" t="s">
        <v>3790</v>
      </c>
      <c r="O2859" s="6" t="str">
        <f>HYPERLINK("https://ceds.ed.gov/cedselementdetails.aspx?termid=5672")</f>
        <v>https://ceds.ed.gov/cedselementdetails.aspx?termid=5672</v>
      </c>
      <c r="P2859" s="6" t="str">
        <f>HYPERLINK("https://ceds.ed.gov/elementComment.aspx?elementName=Learning Standard Document Version &amp;elementID=5672", "Click here to submit comment")</f>
        <v>Click here to submit comment</v>
      </c>
    </row>
    <row r="2860" spans="1:16" ht="75">
      <c r="A2860" s="6" t="s">
        <v>6911</v>
      </c>
      <c r="B2860" s="6" t="s">
        <v>6912</v>
      </c>
      <c r="C2860" s="6"/>
      <c r="D2860" s="6" t="s">
        <v>3747</v>
      </c>
      <c r="E2860" s="6" t="s">
        <v>3748</v>
      </c>
      <c r="F2860" s="5" t="s">
        <v>939</v>
      </c>
      <c r="G2860" s="6"/>
      <c r="H2860" s="6"/>
      <c r="I2860" s="6"/>
      <c r="J2860" s="6"/>
      <c r="K2860" s="6" t="s">
        <v>3478</v>
      </c>
      <c r="L2860" s="6" t="s">
        <v>3749</v>
      </c>
      <c r="M2860" s="6"/>
      <c r="N2860" s="6" t="s">
        <v>3750</v>
      </c>
      <c r="O2860" s="6" t="str">
        <f>HYPERLINK("https://ceds.ed.gov/cedselementdetails.aspx?termid=5880")</f>
        <v>https://ceds.ed.gov/cedselementdetails.aspx?termid=5880</v>
      </c>
      <c r="P2860" s="6" t="str">
        <f>HYPERLINK("https://ceds.ed.gov/elementComment.aspx?elementName=Learning Standard Document Language &amp;elementID=5880", "Click here to submit comment")</f>
        <v>Click here to submit comment</v>
      </c>
    </row>
    <row r="2861" spans="1:16" ht="45">
      <c r="A2861" s="6" t="s">
        <v>6911</v>
      </c>
      <c r="B2861" s="6" t="s">
        <v>6912</v>
      </c>
      <c r="C2861" s="6"/>
      <c r="D2861" s="6" t="s">
        <v>3751</v>
      </c>
      <c r="E2861" s="6" t="s">
        <v>3752</v>
      </c>
      <c r="F2861" s="6" t="s">
        <v>13</v>
      </c>
      <c r="G2861" s="6"/>
      <c r="H2861" s="6"/>
      <c r="I2861" s="6" t="s">
        <v>93</v>
      </c>
      <c r="J2861" s="6"/>
      <c r="K2861" s="6"/>
      <c r="L2861" s="6" t="s">
        <v>3753</v>
      </c>
      <c r="M2861" s="6"/>
      <c r="N2861" s="6" t="s">
        <v>3754</v>
      </c>
      <c r="O2861" s="6" t="str">
        <f>HYPERLINK("https://ceds.ed.gov/cedselementdetails.aspx?termid=5882")</f>
        <v>https://ceds.ed.gov/cedselementdetails.aspx?termid=5882</v>
      </c>
      <c r="P2861" s="6" t="str">
        <f>HYPERLINK("https://ceds.ed.gov/elementComment.aspx?elementName=Learning Standard Document License &amp;elementID=5882", "Click here to submit comment")</f>
        <v>Click here to submit comment</v>
      </c>
    </row>
    <row r="2862" spans="1:16" ht="45">
      <c r="A2862" s="6" t="s">
        <v>6911</v>
      </c>
      <c r="B2862" s="6" t="s">
        <v>6912</v>
      </c>
      <c r="C2862" s="6"/>
      <c r="D2862" s="6" t="s">
        <v>3759</v>
      </c>
      <c r="E2862" s="6" t="s">
        <v>3760</v>
      </c>
      <c r="F2862" s="6" t="s">
        <v>13</v>
      </c>
      <c r="G2862" s="6"/>
      <c r="H2862" s="6"/>
      <c r="I2862" s="6" t="s">
        <v>100</v>
      </c>
      <c r="J2862" s="6"/>
      <c r="K2862" s="6"/>
      <c r="L2862" s="6" t="s">
        <v>3761</v>
      </c>
      <c r="M2862" s="6"/>
      <c r="N2862" s="6" t="s">
        <v>3762</v>
      </c>
      <c r="O2862" s="6" t="str">
        <f>HYPERLINK("https://ceds.ed.gov/cedselementdetails.aspx?termid=5884")</f>
        <v>https://ceds.ed.gov/cedselementdetails.aspx?termid=5884</v>
      </c>
      <c r="P2862" s="6" t="str">
        <f>HYPERLINK("https://ceds.ed.gov/elementComment.aspx?elementName=Learning Standard Document Publisher &amp;elementID=5884", "Click here to submit comment")</f>
        <v>Click here to submit comment</v>
      </c>
    </row>
    <row r="2863" spans="1:16" ht="30">
      <c r="A2863" s="6" t="s">
        <v>6911</v>
      </c>
      <c r="B2863" s="6" t="s">
        <v>6912</v>
      </c>
      <c r="C2863" s="6"/>
      <c r="D2863" s="6" t="s">
        <v>3763</v>
      </c>
      <c r="E2863" s="6" t="s">
        <v>3764</v>
      </c>
      <c r="F2863" s="6" t="s">
        <v>13</v>
      </c>
      <c r="G2863" s="6"/>
      <c r="H2863" s="6"/>
      <c r="I2863" s="6" t="s">
        <v>93</v>
      </c>
      <c r="J2863" s="6"/>
      <c r="K2863" s="6"/>
      <c r="L2863" s="6" t="s">
        <v>3765</v>
      </c>
      <c r="M2863" s="6"/>
      <c r="N2863" s="6" t="s">
        <v>3766</v>
      </c>
      <c r="O2863" s="6" t="str">
        <f>HYPERLINK("https://ceds.ed.gov/cedselementdetails.aspx?termid=5885")</f>
        <v>https://ceds.ed.gov/cedselementdetails.aspx?termid=5885</v>
      </c>
      <c r="P2863" s="6" t="str">
        <f>HYPERLINK("https://ceds.ed.gov/elementComment.aspx?elementName=Learning Standard Document Rights &amp;elementID=5885", "Click here to submit comment")</f>
        <v>Click here to submit comment</v>
      </c>
    </row>
    <row r="2864" spans="1:16" ht="45">
      <c r="A2864" s="6" t="s">
        <v>6911</v>
      </c>
      <c r="B2864" s="6" t="s">
        <v>6912</v>
      </c>
      <c r="C2864" s="6"/>
      <c r="D2864" s="6" t="s">
        <v>3767</v>
      </c>
      <c r="E2864" s="6" t="s">
        <v>3768</v>
      </c>
      <c r="F2864" s="6" t="s">
        <v>13</v>
      </c>
      <c r="G2864" s="6"/>
      <c r="H2864" s="6"/>
      <c r="I2864" s="6" t="s">
        <v>100</v>
      </c>
      <c r="J2864" s="6"/>
      <c r="K2864" s="6"/>
      <c r="L2864" s="6" t="s">
        <v>3769</v>
      </c>
      <c r="M2864" s="6"/>
      <c r="N2864" s="6" t="s">
        <v>3770</v>
      </c>
      <c r="O2864" s="6" t="str">
        <f>HYPERLINK("https://ceds.ed.gov/cedselementdetails.aspx?termid=5886")</f>
        <v>https://ceds.ed.gov/cedselementdetails.aspx?termid=5886</v>
      </c>
      <c r="P2864" s="6" t="str">
        <f>HYPERLINK("https://ceds.ed.gov/elementComment.aspx?elementName=Learning Standard Document Rights Holder &amp;elementID=5886", "Click here to submit comment")</f>
        <v>Click here to submit comment</v>
      </c>
    </row>
    <row r="2865" spans="1:16" ht="60">
      <c r="A2865" s="6" t="s">
        <v>6911</v>
      </c>
      <c r="B2865" s="6" t="s">
        <v>6912</v>
      </c>
      <c r="C2865" s="6"/>
      <c r="D2865" s="6" t="s">
        <v>3945</v>
      </c>
      <c r="E2865" s="6" t="s">
        <v>3946</v>
      </c>
      <c r="F2865" s="6" t="s">
        <v>13</v>
      </c>
      <c r="G2865" s="6"/>
      <c r="H2865" s="6" t="s">
        <v>54</v>
      </c>
      <c r="I2865" s="6" t="s">
        <v>73</v>
      </c>
      <c r="J2865" s="6"/>
      <c r="K2865" s="6" t="s">
        <v>3947</v>
      </c>
      <c r="L2865" s="6" t="s">
        <v>3948</v>
      </c>
      <c r="M2865" s="6"/>
      <c r="N2865" s="6" t="s">
        <v>3949</v>
      </c>
      <c r="O2865" s="6" t="str">
        <f>HYPERLINK("https://ceds.ed.gov/cedselementdetails.aspx?termid=6483")</f>
        <v>https://ceds.ed.gov/cedselementdetails.aspx?termid=6483</v>
      </c>
      <c r="P2865" s="6" t="str">
        <f>HYPERLINK("https://ceds.ed.gov/elementComment.aspx?elementName=Learning Standard Item Valid End Date &amp;elementID=6483", "Click here to submit comment")</f>
        <v>Click here to submit comment</v>
      </c>
    </row>
    <row r="2866" spans="1:16" ht="45">
      <c r="A2866" s="6" t="s">
        <v>6911</v>
      </c>
      <c r="B2866" s="6" t="s">
        <v>6912</v>
      </c>
      <c r="C2866" s="6"/>
      <c r="D2866" s="6" t="s">
        <v>3950</v>
      </c>
      <c r="E2866" s="6" t="s">
        <v>3951</v>
      </c>
      <c r="F2866" s="6" t="s">
        <v>13</v>
      </c>
      <c r="G2866" s="6"/>
      <c r="H2866" s="6" t="s">
        <v>54</v>
      </c>
      <c r="I2866" s="6" t="s">
        <v>73</v>
      </c>
      <c r="J2866" s="6"/>
      <c r="K2866" s="6"/>
      <c r="L2866" s="6" t="s">
        <v>3952</v>
      </c>
      <c r="M2866" s="6"/>
      <c r="N2866" s="6" t="s">
        <v>3953</v>
      </c>
      <c r="O2866" s="6" t="str">
        <f>HYPERLINK("https://ceds.ed.gov/cedselementdetails.aspx?termid=6484")</f>
        <v>https://ceds.ed.gov/cedselementdetails.aspx?termid=6484</v>
      </c>
      <c r="P2866" s="6" t="str">
        <f>HYPERLINK("https://ceds.ed.gov/elementComment.aspx?elementName=Learning Standard Item Valid Start Date &amp;elementID=6484", "Click here to submit comment")</f>
        <v>Click here to submit comment</v>
      </c>
    </row>
    <row r="2867" spans="1:16" ht="90">
      <c r="A2867" s="6" t="s">
        <v>6911</v>
      </c>
      <c r="B2867" s="6" t="s">
        <v>6856</v>
      </c>
      <c r="C2867" s="6"/>
      <c r="D2867" s="6" t="s">
        <v>3832</v>
      </c>
      <c r="E2867" s="6" t="s">
        <v>3833</v>
      </c>
      <c r="F2867" s="6" t="s">
        <v>13</v>
      </c>
      <c r="G2867" s="6"/>
      <c r="H2867" s="6"/>
      <c r="I2867" s="6" t="s">
        <v>100</v>
      </c>
      <c r="J2867" s="6"/>
      <c r="K2867" s="6" t="s">
        <v>3834</v>
      </c>
      <c r="L2867" s="6" t="s">
        <v>3835</v>
      </c>
      <c r="M2867" s="6" t="s">
        <v>3836</v>
      </c>
      <c r="N2867" s="6" t="s">
        <v>3837</v>
      </c>
      <c r="O2867" s="6" t="str">
        <f>HYPERLINK("https://ceds.ed.gov/cedselementdetails.aspx?termid=5669")</f>
        <v>https://ceds.ed.gov/cedselementdetails.aspx?termid=5669</v>
      </c>
      <c r="P2867" s="6" t="str">
        <f>HYPERLINK("https://ceds.ed.gov/elementComment.aspx?elementName=Learning Standard Item Code &amp;elementID=5669", "Click here to submit comment")</f>
        <v>Click here to submit comment</v>
      </c>
    </row>
    <row r="2868" spans="1:16" ht="409.5">
      <c r="A2868" s="6" t="s">
        <v>6911</v>
      </c>
      <c r="B2868" s="6" t="s">
        <v>6856</v>
      </c>
      <c r="C2868" s="6"/>
      <c r="D2868" s="6" t="s">
        <v>3851</v>
      </c>
      <c r="E2868" s="6" t="s">
        <v>3852</v>
      </c>
      <c r="F2868" s="7" t="s">
        <v>6400</v>
      </c>
      <c r="G2868" s="6"/>
      <c r="H2868" s="6"/>
      <c r="I2868" s="6"/>
      <c r="J2868" s="6"/>
      <c r="K2868" s="6" t="s">
        <v>3853</v>
      </c>
      <c r="L2868" s="6" t="s">
        <v>3854</v>
      </c>
      <c r="M2868" s="6"/>
      <c r="N2868" s="6" t="s">
        <v>3855</v>
      </c>
      <c r="O2868" s="6" t="str">
        <f>HYPERLINK("https://ceds.ed.gov/cedselementdetails.aspx?termid=5701")</f>
        <v>https://ceds.ed.gov/cedselementdetails.aspx?termid=5701</v>
      </c>
      <c r="P2868" s="6" t="str">
        <f>HYPERLINK("https://ceds.ed.gov/elementComment.aspx?elementName=Learning Standard Item Education Level &amp;elementID=5701", "Click here to submit comment")</f>
        <v>Click here to submit comment</v>
      </c>
    </row>
    <row r="2869" spans="1:16" ht="120">
      <c r="A2869" s="6" t="s">
        <v>6911</v>
      </c>
      <c r="B2869" s="6" t="s">
        <v>6856</v>
      </c>
      <c r="C2869" s="6"/>
      <c r="D2869" s="6" t="s">
        <v>3856</v>
      </c>
      <c r="E2869" s="6" t="s">
        <v>3857</v>
      </c>
      <c r="F2869" s="6" t="s">
        <v>13</v>
      </c>
      <c r="G2869" s="6" t="s">
        <v>493</v>
      </c>
      <c r="H2869" s="6"/>
      <c r="I2869" s="6" t="s">
        <v>3858</v>
      </c>
      <c r="J2869" s="6"/>
      <c r="K2869" s="6"/>
      <c r="L2869" s="6" t="s">
        <v>3859</v>
      </c>
      <c r="M2869" s="6" t="s">
        <v>3860</v>
      </c>
      <c r="N2869" s="6" t="s">
        <v>3861</v>
      </c>
      <c r="O2869" s="6" t="str">
        <f>HYPERLINK("https://ceds.ed.gov/cedselementdetails.aspx?termid=5666")</f>
        <v>https://ceds.ed.gov/cedselementdetails.aspx?termid=5666</v>
      </c>
      <c r="P2869" s="6" t="str">
        <f>HYPERLINK("https://ceds.ed.gov/elementComment.aspx?elementName=Learning Standard Item Identifier &amp;elementID=5666", "Click here to submit comment")</f>
        <v>Click here to submit comment</v>
      </c>
    </row>
    <row r="2870" spans="1:16" ht="150">
      <c r="A2870" s="6" t="s">
        <v>6911</v>
      </c>
      <c r="B2870" s="6" t="s">
        <v>6856</v>
      </c>
      <c r="C2870" s="6"/>
      <c r="D2870" s="6" t="s">
        <v>3899</v>
      </c>
      <c r="E2870" s="6" t="s">
        <v>3900</v>
      </c>
      <c r="F2870" s="6" t="s">
        <v>13</v>
      </c>
      <c r="G2870" s="6" t="s">
        <v>493</v>
      </c>
      <c r="H2870" s="6"/>
      <c r="I2870" s="6" t="s">
        <v>3858</v>
      </c>
      <c r="J2870" s="6"/>
      <c r="K2870" s="6" t="s">
        <v>3901</v>
      </c>
      <c r="L2870" s="6" t="s">
        <v>3902</v>
      </c>
      <c r="M2870" s="6"/>
      <c r="N2870" s="6" t="s">
        <v>3903</v>
      </c>
      <c r="O2870" s="6" t="str">
        <f>HYPERLINK("https://ceds.ed.gov/cedselementdetails.aspx?termid=5691")</f>
        <v>https://ceds.ed.gov/cedselementdetails.aspx?termid=5691</v>
      </c>
      <c r="P2870" s="6" t="str">
        <f>HYPERLINK("https://ceds.ed.gov/elementComment.aspx?elementName=Learning Standard Item Prerequisite Identifier &amp;elementID=5691", "Click here to submit comment")</f>
        <v>Click here to submit comment</v>
      </c>
    </row>
    <row r="2871" spans="1:16" ht="225">
      <c r="A2871" s="6" t="s">
        <v>6911</v>
      </c>
      <c r="B2871" s="6" t="s">
        <v>6856</v>
      </c>
      <c r="C2871" s="6"/>
      <c r="D2871" s="6" t="s">
        <v>3909</v>
      </c>
      <c r="E2871" s="6" t="s">
        <v>3910</v>
      </c>
      <c r="F2871" s="6" t="s">
        <v>13</v>
      </c>
      <c r="G2871" s="6" t="s">
        <v>493</v>
      </c>
      <c r="H2871" s="6"/>
      <c r="I2871" s="6" t="s">
        <v>319</v>
      </c>
      <c r="J2871" s="6"/>
      <c r="K2871" s="6" t="s">
        <v>3911</v>
      </c>
      <c r="L2871" s="6" t="s">
        <v>3912</v>
      </c>
      <c r="M2871" s="6" t="s">
        <v>3913</v>
      </c>
      <c r="N2871" s="6" t="s">
        <v>3914</v>
      </c>
      <c r="O2871" s="6" t="str">
        <f>HYPERLINK("https://ceds.ed.gov/cedselementdetails.aspx?termid=5667")</f>
        <v>https://ceds.ed.gov/cedselementdetails.aspx?termid=5667</v>
      </c>
      <c r="P2871" s="6" t="str">
        <f>HYPERLINK("https://ceds.ed.gov/elementComment.aspx?elementName=Learning Standard Item Statement &amp;elementID=5667", "Click here to submit comment")</f>
        <v>Click here to submit comment</v>
      </c>
    </row>
    <row r="2872" spans="1:16" ht="75">
      <c r="A2872" s="6" t="s">
        <v>6911</v>
      </c>
      <c r="B2872" s="6" t="s">
        <v>6856</v>
      </c>
      <c r="C2872" s="6"/>
      <c r="D2872" s="6" t="s">
        <v>3931</v>
      </c>
      <c r="E2872" s="6" t="s">
        <v>3932</v>
      </c>
      <c r="F2872" s="6" t="s">
        <v>13</v>
      </c>
      <c r="G2872" s="6" t="s">
        <v>493</v>
      </c>
      <c r="H2872" s="6"/>
      <c r="I2872" s="6" t="s">
        <v>106</v>
      </c>
      <c r="J2872" s="6"/>
      <c r="K2872" s="6"/>
      <c r="L2872" s="6" t="s">
        <v>3933</v>
      </c>
      <c r="M2872" s="6" t="s">
        <v>3934</v>
      </c>
      <c r="N2872" s="6" t="s">
        <v>3935</v>
      </c>
      <c r="O2872" s="6" t="str">
        <f>HYPERLINK("https://ceds.ed.gov/cedselementdetails.aspx?termid=5668")</f>
        <v>https://ceds.ed.gov/cedselementdetails.aspx?termid=5668</v>
      </c>
      <c r="P2872" s="6" t="str">
        <f>HYPERLINK("https://ceds.ed.gov/elementComment.aspx?elementName=Learning Standard Item Type &amp;elementID=5668", "Click here to submit comment")</f>
        <v>Click here to submit comment</v>
      </c>
    </row>
    <row r="2873" spans="1:16" ht="240">
      <c r="A2873" s="6" t="s">
        <v>6911</v>
      </c>
      <c r="B2873" s="6" t="s">
        <v>6856</v>
      </c>
      <c r="C2873" s="6"/>
      <c r="D2873" s="6" t="s">
        <v>3904</v>
      </c>
      <c r="E2873" s="6" t="s">
        <v>3905</v>
      </c>
      <c r="F2873" s="6" t="s">
        <v>13</v>
      </c>
      <c r="G2873" s="6"/>
      <c r="H2873" s="6" t="s">
        <v>54</v>
      </c>
      <c r="I2873" s="6" t="s">
        <v>3906</v>
      </c>
      <c r="J2873" s="6"/>
      <c r="K2873" s="6" t="s">
        <v>3848</v>
      </c>
      <c r="L2873" s="6" t="s">
        <v>3907</v>
      </c>
      <c r="M2873" s="6"/>
      <c r="N2873" s="6" t="s">
        <v>3908</v>
      </c>
      <c r="O2873" s="6" t="str">
        <f>HYPERLINK("https://ceds.ed.gov/cedselementdetails.aspx?termid=6498")</f>
        <v>https://ceds.ed.gov/cedselementdetails.aspx?termid=6498</v>
      </c>
      <c r="P2873" s="6" t="str">
        <f>HYPERLINK("https://ceds.ed.gov/elementComment.aspx?elementName=Learning Standard Item Previous Version Identifier &amp;elementID=6498", "Click here to submit comment")</f>
        <v>Click here to submit comment</v>
      </c>
    </row>
    <row r="2874" spans="1:16" ht="60">
      <c r="A2874" s="6" t="s">
        <v>6911</v>
      </c>
      <c r="B2874" s="6" t="s">
        <v>6856</v>
      </c>
      <c r="C2874" s="6"/>
      <c r="D2874" s="6" t="s">
        <v>3828</v>
      </c>
      <c r="E2874" s="6" t="s">
        <v>3829</v>
      </c>
      <c r="F2874" s="6" t="s">
        <v>6245</v>
      </c>
      <c r="G2874" s="6"/>
      <c r="H2874" s="6"/>
      <c r="I2874" s="6"/>
      <c r="J2874" s="6"/>
      <c r="K2874" s="6"/>
      <c r="L2874" s="6" t="s">
        <v>3830</v>
      </c>
      <c r="M2874" s="6"/>
      <c r="N2874" s="6" t="s">
        <v>3831</v>
      </c>
      <c r="O2874" s="6" t="str">
        <f>HYPERLINK("https://ceds.ed.gov/cedselementdetails.aspx?termid=5875")</f>
        <v>https://ceds.ed.gov/cedselementdetails.aspx?termid=5875</v>
      </c>
      <c r="P2874" s="6" t="str">
        <f>HYPERLINK("https://ceds.ed.gov/elementComment.aspx?elementName=Learning Standard Item Blooms Taxonomy Domain &amp;elementID=5875", "Click here to submit comment")</f>
        <v>Click here to submit comment</v>
      </c>
    </row>
    <row r="2875" spans="1:16" ht="45">
      <c r="A2875" s="6" t="s">
        <v>6911</v>
      </c>
      <c r="B2875" s="6" t="s">
        <v>6856</v>
      </c>
      <c r="C2875" s="6"/>
      <c r="D2875" s="6" t="s">
        <v>3838</v>
      </c>
      <c r="E2875" s="6" t="s">
        <v>3839</v>
      </c>
      <c r="F2875" s="6" t="s">
        <v>13</v>
      </c>
      <c r="G2875" s="6"/>
      <c r="H2875" s="6"/>
      <c r="I2875" s="6" t="s">
        <v>93</v>
      </c>
      <c r="J2875" s="6"/>
      <c r="K2875" s="6"/>
      <c r="L2875" s="6" t="s">
        <v>3840</v>
      </c>
      <c r="M2875" s="6"/>
      <c r="N2875" s="6" t="s">
        <v>3841</v>
      </c>
      <c r="O2875" s="6" t="str">
        <f>HYPERLINK("https://ceds.ed.gov/cedselementdetails.aspx?termid=5887")</f>
        <v>https://ceds.ed.gov/cedselementdetails.aspx?termid=5887</v>
      </c>
      <c r="P2875" s="6" t="str">
        <f>HYPERLINK("https://ceds.ed.gov/elementComment.aspx?elementName=Learning Standard Item Concept Keyword &amp;elementID=5887", "Click here to submit comment")</f>
        <v>Click here to submit comment</v>
      </c>
    </row>
    <row r="2876" spans="1:16" ht="75">
      <c r="A2876" s="6" t="s">
        <v>6911</v>
      </c>
      <c r="B2876" s="6" t="s">
        <v>6856</v>
      </c>
      <c r="C2876" s="6"/>
      <c r="D2876" s="6" t="s">
        <v>3842</v>
      </c>
      <c r="E2876" s="6" t="s">
        <v>3843</v>
      </c>
      <c r="F2876" s="6" t="s">
        <v>13</v>
      </c>
      <c r="G2876" s="6"/>
      <c r="H2876" s="6"/>
      <c r="I2876" s="6" t="s">
        <v>100</v>
      </c>
      <c r="J2876" s="6"/>
      <c r="K2876" s="6"/>
      <c r="L2876" s="6" t="s">
        <v>3844</v>
      </c>
      <c r="M2876" s="6"/>
      <c r="N2876" s="6" t="s">
        <v>3845</v>
      </c>
      <c r="O2876" s="6" t="str">
        <f>HYPERLINK("https://ceds.ed.gov/cedselementdetails.aspx?termid=5888")</f>
        <v>https://ceds.ed.gov/cedselementdetails.aspx?termid=5888</v>
      </c>
      <c r="P2876" s="6" t="str">
        <f>HYPERLINK("https://ceds.ed.gov/elementComment.aspx?elementName=Learning Standard Item Concept Term &amp;elementID=5888", "Click here to submit comment")</f>
        <v>Click here to submit comment</v>
      </c>
    </row>
    <row r="2877" spans="1:16" ht="240">
      <c r="A2877" s="6" t="s">
        <v>6911</v>
      </c>
      <c r="B2877" s="6" t="s">
        <v>6856</v>
      </c>
      <c r="C2877" s="6"/>
      <c r="D2877" s="6" t="s">
        <v>3846</v>
      </c>
      <c r="E2877" s="6" t="s">
        <v>3847</v>
      </c>
      <c r="F2877" s="6" t="s">
        <v>5963</v>
      </c>
      <c r="G2877" s="6"/>
      <c r="H2877" s="6" t="s">
        <v>54</v>
      </c>
      <c r="I2877" s="6"/>
      <c r="J2877" s="6"/>
      <c r="K2877" s="6" t="s">
        <v>3848</v>
      </c>
      <c r="L2877" s="6" t="s">
        <v>3849</v>
      </c>
      <c r="M2877" s="6"/>
      <c r="N2877" s="6" t="s">
        <v>3850</v>
      </c>
      <c r="O2877" s="6" t="str">
        <f>HYPERLINK("https://ceds.ed.gov/cedselementdetails.aspx?termid=6499")</f>
        <v>https://ceds.ed.gov/cedselementdetails.aspx?termid=6499</v>
      </c>
      <c r="P2877" s="6" t="str">
        <f>HYPERLINK("https://ceds.ed.gov/elementComment.aspx?elementName=Learning Standard Item Current Version Indicator &amp;elementID=6499", "Click here to submit comment")</f>
        <v>Click here to submit comment</v>
      </c>
    </row>
    <row r="2878" spans="1:16" ht="75">
      <c r="A2878" s="6" t="s">
        <v>6911</v>
      </c>
      <c r="B2878" s="6" t="s">
        <v>6856</v>
      </c>
      <c r="C2878" s="6"/>
      <c r="D2878" s="6" t="s">
        <v>3862</v>
      </c>
      <c r="E2878" s="6" t="s">
        <v>3863</v>
      </c>
      <c r="F2878" s="5" t="s">
        <v>939</v>
      </c>
      <c r="G2878" s="6"/>
      <c r="H2878" s="6"/>
      <c r="I2878" s="6"/>
      <c r="J2878" s="6"/>
      <c r="K2878" s="6" t="s">
        <v>3478</v>
      </c>
      <c r="L2878" s="6" t="s">
        <v>3864</v>
      </c>
      <c r="M2878" s="6"/>
      <c r="N2878" s="6" t="s">
        <v>3865</v>
      </c>
      <c r="O2878" s="6" t="str">
        <f>HYPERLINK("https://ceds.ed.gov/cedselementdetails.aspx?termid=5881")</f>
        <v>https://ceds.ed.gov/cedselementdetails.aspx?termid=5881</v>
      </c>
      <c r="P2878" s="6" t="str">
        <f>HYPERLINK("https://ceds.ed.gov/elementComment.aspx?elementName=Learning Standard Item Language &amp;elementID=5881", "Click here to submit comment")</f>
        <v>Click here to submit comment</v>
      </c>
    </row>
    <row r="2879" spans="1:16" ht="60">
      <c r="A2879" s="6" t="s">
        <v>6911</v>
      </c>
      <c r="B2879" s="6" t="s">
        <v>6856</v>
      </c>
      <c r="C2879" s="6"/>
      <c r="D2879" s="6" t="s">
        <v>3866</v>
      </c>
      <c r="E2879" s="6" t="s">
        <v>3867</v>
      </c>
      <c r="F2879" s="6" t="s">
        <v>13</v>
      </c>
      <c r="G2879" s="6"/>
      <c r="H2879" s="6"/>
      <c r="I2879" s="6" t="s">
        <v>93</v>
      </c>
      <c r="J2879" s="6"/>
      <c r="K2879" s="6"/>
      <c r="L2879" s="6" t="s">
        <v>3868</v>
      </c>
      <c r="M2879" s="6"/>
      <c r="N2879" s="6" t="s">
        <v>3869</v>
      </c>
      <c r="O2879" s="6" t="str">
        <f>HYPERLINK("https://ceds.ed.gov/cedselementdetails.aspx?termid=5883")</f>
        <v>https://ceds.ed.gov/cedselementdetails.aspx?termid=5883</v>
      </c>
      <c r="P2879" s="6" t="str">
        <f>HYPERLINK("https://ceds.ed.gov/elementComment.aspx?elementName=Learning Standard Item License &amp;elementID=5883", "Click here to submit comment")</f>
        <v>Click here to submit comment</v>
      </c>
    </row>
    <row r="2880" spans="1:16" ht="195">
      <c r="A2880" s="6" t="s">
        <v>6911</v>
      </c>
      <c r="B2880" s="6" t="s">
        <v>6856</v>
      </c>
      <c r="C2880" s="6"/>
      <c r="D2880" s="6" t="s">
        <v>3870</v>
      </c>
      <c r="E2880" s="6" t="s">
        <v>3871</v>
      </c>
      <c r="F2880" s="7" t="s">
        <v>6569</v>
      </c>
      <c r="G2880" s="6"/>
      <c r="H2880" s="6"/>
      <c r="I2880" s="6"/>
      <c r="J2880" s="6"/>
      <c r="K2880" s="6"/>
      <c r="L2880" s="6" t="s">
        <v>3872</v>
      </c>
      <c r="M2880" s="6"/>
      <c r="N2880" s="6" t="s">
        <v>3873</v>
      </c>
      <c r="O2880" s="6" t="str">
        <f>HYPERLINK("https://ceds.ed.gov/cedselementdetails.aspx?termid=5876")</f>
        <v>https://ceds.ed.gov/cedselementdetails.aspx?termid=5876</v>
      </c>
      <c r="P2880" s="6" t="str">
        <f>HYPERLINK("https://ceds.ed.gov/elementComment.aspx?elementName=Learning Standard Item Multiple Intelligence &amp;elementID=5876", "Click here to submit comment")</f>
        <v>Click here to submit comment</v>
      </c>
    </row>
    <row r="2881" spans="1:16" ht="105">
      <c r="A2881" s="6" t="s">
        <v>6911</v>
      </c>
      <c r="B2881" s="6" t="s">
        <v>6856</v>
      </c>
      <c r="C2881" s="6"/>
      <c r="D2881" s="6" t="s">
        <v>3874</v>
      </c>
      <c r="E2881" s="6" t="s">
        <v>3875</v>
      </c>
      <c r="F2881" s="6" t="s">
        <v>6248</v>
      </c>
      <c r="G2881" s="6"/>
      <c r="H2881" s="6" t="s">
        <v>54</v>
      </c>
      <c r="I2881" s="6"/>
      <c r="J2881" s="6"/>
      <c r="K2881" s="6"/>
      <c r="L2881" s="6" t="s">
        <v>3877</v>
      </c>
      <c r="M2881" s="6"/>
      <c r="N2881" s="6" t="s">
        <v>3878</v>
      </c>
      <c r="O2881" s="6" t="str">
        <f>HYPERLINK("https://ceds.ed.gov/cedselementdetails.aspx?termid=6377")</f>
        <v>https://ceds.ed.gov/cedselementdetails.aspx?termid=6377</v>
      </c>
      <c r="P2881" s="6" t="str">
        <f>HYPERLINK("https://ceds.ed.gov/elementComment.aspx?elementName=Learning Standard Item Node Accessibility Profile &amp;elementID=6377", "Click here to submit comment")</f>
        <v>Click here to submit comment</v>
      </c>
    </row>
    <row r="2882" spans="1:16" ht="45">
      <c r="A2882" s="6" t="s">
        <v>6911</v>
      </c>
      <c r="B2882" s="6" t="s">
        <v>6856</v>
      </c>
      <c r="C2882" s="6"/>
      <c r="D2882" s="6" t="s">
        <v>3879</v>
      </c>
      <c r="E2882" s="6" t="s">
        <v>3880</v>
      </c>
      <c r="F2882" s="6" t="s">
        <v>13</v>
      </c>
      <c r="G2882" s="6"/>
      <c r="H2882" s="6" t="s">
        <v>54</v>
      </c>
      <c r="I2882" s="6" t="s">
        <v>100</v>
      </c>
      <c r="J2882" s="6"/>
      <c r="K2882" s="6"/>
      <c r="L2882" s="6" t="s">
        <v>3881</v>
      </c>
      <c r="M2882" s="6"/>
      <c r="N2882" s="6" t="s">
        <v>3882</v>
      </c>
      <c r="O2882" s="6" t="str">
        <f>HYPERLINK("https://ceds.ed.gov/cedselementdetails.aspx?termid=6378")</f>
        <v>https://ceds.ed.gov/cedselementdetails.aspx?termid=6378</v>
      </c>
      <c r="P2882" s="6" t="str">
        <f>HYPERLINK("https://ceds.ed.gov/elementComment.aspx?elementName=Learning Standard Item Node Name &amp;elementID=6378", "Click here to submit comment")</f>
        <v>Click here to submit comment</v>
      </c>
    </row>
    <row r="2883" spans="1:16" ht="30">
      <c r="A2883" s="6" t="s">
        <v>6911</v>
      </c>
      <c r="B2883" s="6" t="s">
        <v>6856</v>
      </c>
      <c r="C2883" s="6"/>
      <c r="D2883" s="6" t="s">
        <v>3883</v>
      </c>
      <c r="E2883" s="6" t="s">
        <v>3884</v>
      </c>
      <c r="F2883" s="6" t="s">
        <v>13</v>
      </c>
      <c r="G2883" s="6"/>
      <c r="H2883" s="6"/>
      <c r="I2883" s="6" t="s">
        <v>319</v>
      </c>
      <c r="J2883" s="6"/>
      <c r="K2883" s="6"/>
      <c r="L2883" s="6" t="s">
        <v>3885</v>
      </c>
      <c r="M2883" s="6"/>
      <c r="N2883" s="6" t="s">
        <v>3886</v>
      </c>
      <c r="O2883" s="6" t="str">
        <f>HYPERLINK("https://ceds.ed.gov/cedselementdetails.aspx?termid=6215")</f>
        <v>https://ceds.ed.gov/cedselementdetails.aspx?termid=6215</v>
      </c>
      <c r="P2883" s="6" t="str">
        <f>HYPERLINK("https://ceds.ed.gov/elementComment.aspx?elementName=Learning Standard Item Notes &amp;elementID=6215", "Click here to submit comment")</f>
        <v>Click here to submit comment</v>
      </c>
    </row>
    <row r="2884" spans="1:16" ht="60">
      <c r="A2884" s="6" t="s">
        <v>6911</v>
      </c>
      <c r="B2884" s="6" t="s">
        <v>6856</v>
      </c>
      <c r="C2884" s="6"/>
      <c r="D2884" s="6" t="s">
        <v>3887</v>
      </c>
      <c r="E2884" s="6" t="s">
        <v>3888</v>
      </c>
      <c r="F2884" s="6" t="s">
        <v>13</v>
      </c>
      <c r="G2884" s="6"/>
      <c r="H2884" s="6"/>
      <c r="I2884" s="6" t="s">
        <v>100</v>
      </c>
      <c r="J2884" s="6"/>
      <c r="K2884" s="6"/>
      <c r="L2884" s="6" t="s">
        <v>3889</v>
      </c>
      <c r="M2884" s="6"/>
      <c r="N2884" s="6" t="s">
        <v>3890</v>
      </c>
      <c r="O2884" s="6" t="str">
        <f>HYPERLINK("https://ceds.ed.gov/cedselementdetails.aspx?termid=5873")</f>
        <v>https://ceds.ed.gov/cedselementdetails.aspx?termid=5873</v>
      </c>
      <c r="P2884" s="6" t="str">
        <f>HYPERLINK("https://ceds.ed.gov/elementComment.aspx?elementName=Learning Standard Item Parent Code &amp;elementID=5873", "Click here to submit comment")</f>
        <v>Click here to submit comment</v>
      </c>
    </row>
    <row r="2885" spans="1:16" ht="135">
      <c r="A2885" s="6" t="s">
        <v>6911</v>
      </c>
      <c r="B2885" s="6" t="s">
        <v>6856</v>
      </c>
      <c r="C2885" s="6"/>
      <c r="D2885" s="6" t="s">
        <v>3891</v>
      </c>
      <c r="E2885" s="6" t="s">
        <v>3892</v>
      </c>
      <c r="F2885" s="6" t="s">
        <v>13</v>
      </c>
      <c r="G2885" s="6"/>
      <c r="H2885" s="6"/>
      <c r="I2885" s="6" t="s">
        <v>3858</v>
      </c>
      <c r="J2885" s="6"/>
      <c r="K2885" s="6"/>
      <c r="L2885" s="6" t="s">
        <v>3893</v>
      </c>
      <c r="M2885" s="6"/>
      <c r="N2885" s="6" t="s">
        <v>3894</v>
      </c>
      <c r="O2885" s="6" t="str">
        <f>HYPERLINK("https://ceds.ed.gov/cedselementdetails.aspx?termid=5872")</f>
        <v>https://ceds.ed.gov/cedselementdetails.aspx?termid=5872</v>
      </c>
      <c r="P2885" s="6" t="str">
        <f>HYPERLINK("https://ceds.ed.gov/elementComment.aspx?elementName=Learning Standard Item Parent Identifier &amp;elementID=5872", "Click here to submit comment")</f>
        <v>Click here to submit comment</v>
      </c>
    </row>
    <row r="2886" spans="1:16" ht="75">
      <c r="A2886" s="6" t="s">
        <v>6911</v>
      </c>
      <c r="B2886" s="6" t="s">
        <v>6856</v>
      </c>
      <c r="C2886" s="6"/>
      <c r="D2886" s="6" t="s">
        <v>3895</v>
      </c>
      <c r="E2886" s="6" t="s">
        <v>3896</v>
      </c>
      <c r="F2886" s="6" t="s">
        <v>13</v>
      </c>
      <c r="G2886" s="6"/>
      <c r="H2886" s="6"/>
      <c r="I2886" s="6" t="s">
        <v>93</v>
      </c>
      <c r="J2886" s="6"/>
      <c r="K2886" s="6"/>
      <c r="L2886" s="6" t="s">
        <v>3897</v>
      </c>
      <c r="M2886" s="6"/>
      <c r="N2886" s="6" t="s">
        <v>3898</v>
      </c>
      <c r="O2886" s="6" t="str">
        <f>HYPERLINK("https://ceds.ed.gov/cedselementdetails.aspx?termid=6078")</f>
        <v>https://ceds.ed.gov/cedselementdetails.aspx?termid=6078</v>
      </c>
      <c r="P2886" s="6" t="str">
        <f>HYPERLINK("https://ceds.ed.gov/elementComment.aspx?elementName=Learning Standard Item Parent URL &amp;elementID=6078", "Click here to submit comment")</f>
        <v>Click here to submit comment</v>
      </c>
    </row>
    <row r="2887" spans="1:16" ht="135">
      <c r="A2887" s="6" t="s">
        <v>6911</v>
      </c>
      <c r="B2887" s="6" t="s">
        <v>6856</v>
      </c>
      <c r="C2887" s="6"/>
      <c r="D2887" s="6" t="s">
        <v>3915</v>
      </c>
      <c r="E2887" s="6" t="s">
        <v>3916</v>
      </c>
      <c r="F2887" s="7" t="s">
        <v>6570</v>
      </c>
      <c r="G2887" s="6"/>
      <c r="H2887" s="6" t="s">
        <v>54</v>
      </c>
      <c r="I2887" s="6"/>
      <c r="J2887" s="6"/>
      <c r="K2887" s="6"/>
      <c r="L2887" s="6" t="s">
        <v>3917</v>
      </c>
      <c r="M2887" s="6"/>
      <c r="N2887" s="6" t="s">
        <v>3918</v>
      </c>
      <c r="O2887" s="6" t="str">
        <f>HYPERLINK("https://ceds.ed.gov/cedselementdetails.aspx?termid=6380")</f>
        <v>https://ceds.ed.gov/cedselementdetails.aspx?termid=6380</v>
      </c>
      <c r="P2887" s="6" t="str">
        <f>HYPERLINK("https://ceds.ed.gov/elementComment.aspx?elementName=Learning Standard Item Testability Type &amp;elementID=6380", "Click here to submit comment")</f>
        <v>Click here to submit comment</v>
      </c>
    </row>
    <row r="2888" spans="1:16" ht="75">
      <c r="A2888" s="6" t="s">
        <v>6911</v>
      </c>
      <c r="B2888" s="6" t="s">
        <v>6856</v>
      </c>
      <c r="C2888" s="6"/>
      <c r="D2888" s="6" t="s">
        <v>3919</v>
      </c>
      <c r="E2888" s="6" t="s">
        <v>3920</v>
      </c>
      <c r="F2888" s="6" t="s">
        <v>13</v>
      </c>
      <c r="G2888" s="6"/>
      <c r="H2888" s="6"/>
      <c r="I2888" s="6" t="s">
        <v>545</v>
      </c>
      <c r="J2888" s="6"/>
      <c r="K2888" s="6"/>
      <c r="L2888" s="6" t="s">
        <v>3921</v>
      </c>
      <c r="M2888" s="6"/>
      <c r="N2888" s="6" t="s">
        <v>3922</v>
      </c>
      <c r="O2888" s="6" t="str">
        <f>HYPERLINK("https://ceds.ed.gov/cedselementdetails.aspx?termid=6115")</f>
        <v>https://ceds.ed.gov/cedselementdetails.aspx?termid=6115</v>
      </c>
      <c r="P2888" s="6" t="str">
        <f>HYPERLINK("https://ceds.ed.gov/elementComment.aspx?elementName=Learning Standard Item Text Complexity Maximum Value &amp;elementID=6115", "Click here to submit comment")</f>
        <v>Click here to submit comment</v>
      </c>
    </row>
    <row r="2889" spans="1:16" ht="75">
      <c r="A2889" s="6" t="s">
        <v>6911</v>
      </c>
      <c r="B2889" s="6" t="s">
        <v>6856</v>
      </c>
      <c r="C2889" s="6"/>
      <c r="D2889" s="6" t="s">
        <v>3923</v>
      </c>
      <c r="E2889" s="6" t="s">
        <v>3924</v>
      </c>
      <c r="F2889" s="6" t="s">
        <v>13</v>
      </c>
      <c r="G2889" s="6"/>
      <c r="H2889" s="6"/>
      <c r="I2889" s="6" t="s">
        <v>545</v>
      </c>
      <c r="J2889" s="6"/>
      <c r="K2889" s="6"/>
      <c r="L2889" s="6" t="s">
        <v>3925</v>
      </c>
      <c r="M2889" s="6"/>
      <c r="N2889" s="6" t="s">
        <v>3926</v>
      </c>
      <c r="O2889" s="6" t="str">
        <f>HYPERLINK("https://ceds.ed.gov/cedselementdetails.aspx?termid=6114")</f>
        <v>https://ceds.ed.gov/cedselementdetails.aspx?termid=6114</v>
      </c>
      <c r="P2889" s="6" t="str">
        <f>HYPERLINK("https://ceds.ed.gov/elementComment.aspx?elementName=Learning Standard Item Text Complexity Minimum Value &amp;elementID=6114", "Click here to submit comment")</f>
        <v>Click here to submit comment</v>
      </c>
    </row>
    <row r="2890" spans="1:16" ht="60">
      <c r="A2890" s="6" t="s">
        <v>6911</v>
      </c>
      <c r="B2890" s="6" t="s">
        <v>6856</v>
      </c>
      <c r="C2890" s="6"/>
      <c r="D2890" s="6" t="s">
        <v>3927</v>
      </c>
      <c r="E2890" s="6" t="s">
        <v>3928</v>
      </c>
      <c r="F2890" s="6" t="s">
        <v>13</v>
      </c>
      <c r="G2890" s="6"/>
      <c r="H2890" s="6"/>
      <c r="I2890" s="6" t="s">
        <v>100</v>
      </c>
      <c r="J2890" s="6"/>
      <c r="K2890" s="6"/>
      <c r="L2890" s="6" t="s">
        <v>3929</v>
      </c>
      <c r="M2890" s="6"/>
      <c r="N2890" s="6" t="s">
        <v>3930</v>
      </c>
      <c r="O2890" s="6" t="str">
        <f>HYPERLINK("https://ceds.ed.gov/cedselementdetails.aspx?termid=5910")</f>
        <v>https://ceds.ed.gov/cedselementdetails.aspx?termid=5910</v>
      </c>
      <c r="P2890" s="6" t="str">
        <f>HYPERLINK("https://ceds.ed.gov/elementComment.aspx?elementName=Learning Standard Item Text Complexity System &amp;elementID=5910", "Click here to submit comment")</f>
        <v>Click here to submit comment</v>
      </c>
    </row>
    <row r="2891" spans="1:16" ht="45">
      <c r="A2891" s="6" t="s">
        <v>6911</v>
      </c>
      <c r="B2891" s="6" t="s">
        <v>6856</v>
      </c>
      <c r="C2891" s="6"/>
      <c r="D2891" s="6" t="s">
        <v>3936</v>
      </c>
      <c r="E2891" s="6" t="s">
        <v>3937</v>
      </c>
      <c r="F2891" s="6" t="s">
        <v>13</v>
      </c>
      <c r="G2891" s="6"/>
      <c r="H2891" s="6"/>
      <c r="I2891" s="6" t="s">
        <v>1127</v>
      </c>
      <c r="J2891" s="6"/>
      <c r="K2891" s="6" t="s">
        <v>3938</v>
      </c>
      <c r="L2891" s="6" t="s">
        <v>3939</v>
      </c>
      <c r="M2891" s="6"/>
      <c r="N2891" s="6" t="s">
        <v>3940</v>
      </c>
      <c r="O2891" s="6" t="str">
        <f>HYPERLINK("https://ceds.ed.gov/cedselementdetails.aspx?termid=5870")</f>
        <v>https://ceds.ed.gov/cedselementdetails.aspx?termid=5870</v>
      </c>
      <c r="P2891" s="6" t="str">
        <f>HYPERLINK("https://ceds.ed.gov/elementComment.aspx?elementName=Learning Standard Item Typical Age Range &amp;elementID=5870", "Click here to submit comment")</f>
        <v>Click here to submit comment</v>
      </c>
    </row>
    <row r="2892" spans="1:16" ht="60">
      <c r="A2892" s="6" t="s">
        <v>6911</v>
      </c>
      <c r="B2892" s="6" t="s">
        <v>6856</v>
      </c>
      <c r="C2892" s="6"/>
      <c r="D2892" s="6" t="s">
        <v>3941</v>
      </c>
      <c r="E2892" s="6" t="s">
        <v>3942</v>
      </c>
      <c r="F2892" s="6" t="s">
        <v>13</v>
      </c>
      <c r="G2892" s="6"/>
      <c r="H2892" s="6"/>
      <c r="I2892" s="6" t="s">
        <v>93</v>
      </c>
      <c r="J2892" s="6"/>
      <c r="K2892" s="6"/>
      <c r="L2892" s="6" t="s">
        <v>3943</v>
      </c>
      <c r="M2892" s="6"/>
      <c r="N2892" s="6" t="s">
        <v>3944</v>
      </c>
      <c r="O2892" s="6" t="str">
        <f>HYPERLINK("https://ceds.ed.gov/cedselementdetails.aspx?termid=5874")</f>
        <v>https://ceds.ed.gov/cedselementdetails.aspx?termid=5874</v>
      </c>
      <c r="P2892" s="6" t="str">
        <f>HYPERLINK("https://ceds.ed.gov/elementComment.aspx?elementName=Learning Standard Item URL &amp;elementID=5874", "Click here to submit comment")</f>
        <v>Click here to submit comment</v>
      </c>
    </row>
    <row r="2893" spans="1:16" ht="45">
      <c r="A2893" s="6" t="s">
        <v>6911</v>
      </c>
      <c r="B2893" s="6" t="s">
        <v>6856</v>
      </c>
      <c r="C2893" s="6"/>
      <c r="D2893" s="6" t="s">
        <v>3954</v>
      </c>
      <c r="E2893" s="6" t="s">
        <v>3955</v>
      </c>
      <c r="F2893" s="6" t="s">
        <v>13</v>
      </c>
      <c r="G2893" s="6"/>
      <c r="H2893" s="6"/>
      <c r="I2893" s="6" t="s">
        <v>319</v>
      </c>
      <c r="J2893" s="6"/>
      <c r="K2893" s="6"/>
      <c r="L2893" s="6" t="s">
        <v>3956</v>
      </c>
      <c r="M2893" s="6"/>
      <c r="N2893" s="6" t="s">
        <v>3957</v>
      </c>
      <c r="O2893" s="6" t="str">
        <f>HYPERLINK("https://ceds.ed.gov/cedselementdetails.aspx?termid=6216")</f>
        <v>https://ceds.ed.gov/cedselementdetails.aspx?termid=6216</v>
      </c>
      <c r="P2893" s="6" t="str">
        <f>HYPERLINK("https://ceds.ed.gov/elementComment.aspx?elementName=Learning Standard Item Version &amp;elementID=6216", "Click here to submit comment")</f>
        <v>Click here to submit comment</v>
      </c>
    </row>
    <row r="2894" spans="1:16" ht="45">
      <c r="A2894" s="6" t="s">
        <v>6911</v>
      </c>
      <c r="B2894" s="6" t="s">
        <v>6856</v>
      </c>
      <c r="C2894" s="6" t="s">
        <v>6916</v>
      </c>
      <c r="D2894" s="6" t="s">
        <v>3804</v>
      </c>
      <c r="E2894" s="6" t="s">
        <v>3805</v>
      </c>
      <c r="F2894" s="6" t="s">
        <v>13</v>
      </c>
      <c r="G2894" s="6"/>
      <c r="H2894" s="6" t="s">
        <v>3</v>
      </c>
      <c r="I2894" s="6" t="s">
        <v>93</v>
      </c>
      <c r="J2894" s="6"/>
      <c r="K2894" s="6"/>
      <c r="L2894" s="6" t="s">
        <v>3806</v>
      </c>
      <c r="M2894" s="6"/>
      <c r="N2894" s="6" t="s">
        <v>3807</v>
      </c>
      <c r="O2894" s="6" t="str">
        <f>HYPERLINK("https://ceds.ed.gov/cedselementdetails.aspx?termid=5871")</f>
        <v>https://ceds.ed.gov/cedselementdetails.aspx?termid=5871</v>
      </c>
      <c r="P2894" s="6" t="str">
        <f>HYPERLINK("https://ceds.ed.gov/elementComment.aspx?elementName=Learning Standard Item Association Identifier &amp;elementID=5871", "Click here to submit comment")</f>
        <v>Click here to submit comment</v>
      </c>
    </row>
    <row r="2895" spans="1:16" ht="165">
      <c r="A2895" s="16" t="s">
        <v>6911</v>
      </c>
      <c r="B2895" s="16" t="s">
        <v>6856</v>
      </c>
      <c r="C2895" s="16" t="s">
        <v>6916</v>
      </c>
      <c r="D2895" s="16" t="s">
        <v>3816</v>
      </c>
      <c r="E2895" s="16" t="s">
        <v>3817</v>
      </c>
      <c r="F2895" s="17" t="s">
        <v>6568</v>
      </c>
      <c r="G2895" s="16"/>
      <c r="H2895" s="16" t="s">
        <v>66</v>
      </c>
      <c r="I2895" s="16"/>
      <c r="J2895" s="16" t="s">
        <v>848</v>
      </c>
      <c r="K2895" s="6" t="s">
        <v>3818</v>
      </c>
      <c r="L2895" s="16" t="s">
        <v>3820</v>
      </c>
      <c r="M2895" s="16"/>
      <c r="N2895" s="16" t="s">
        <v>3821</v>
      </c>
      <c r="O2895" s="16" t="str">
        <f>HYPERLINK("https://ceds.ed.gov/cedselementdetails.aspx?termid=5869")</f>
        <v>https://ceds.ed.gov/cedselementdetails.aspx?termid=5869</v>
      </c>
      <c r="P2895" s="16" t="str">
        <f>HYPERLINK("https://ceds.ed.gov/elementComment.aspx?elementName=Learning Standard Item Association Type &amp;elementID=5869", "Click here to submit comment")</f>
        <v>Click here to submit comment</v>
      </c>
    </row>
    <row r="2896" spans="1:16" ht="135">
      <c r="A2896" s="16"/>
      <c r="B2896" s="16"/>
      <c r="C2896" s="16"/>
      <c r="D2896" s="16"/>
      <c r="E2896" s="16"/>
      <c r="F2896" s="16"/>
      <c r="G2896" s="16"/>
      <c r="H2896" s="16"/>
      <c r="I2896" s="16"/>
      <c r="J2896" s="16"/>
      <c r="K2896" s="6" t="s">
        <v>3819</v>
      </c>
      <c r="L2896" s="16"/>
      <c r="M2896" s="16"/>
      <c r="N2896" s="16"/>
      <c r="O2896" s="16"/>
      <c r="P2896" s="16"/>
    </row>
    <row r="2897" spans="1:16" ht="60">
      <c r="A2897" s="6" t="s">
        <v>6911</v>
      </c>
      <c r="B2897" s="6" t="s">
        <v>6856</v>
      </c>
      <c r="C2897" s="6" t="s">
        <v>6916</v>
      </c>
      <c r="D2897" s="6" t="s">
        <v>3791</v>
      </c>
      <c r="E2897" s="6" t="s">
        <v>3792</v>
      </c>
      <c r="F2897" s="6" t="s">
        <v>13</v>
      </c>
      <c r="G2897" s="6"/>
      <c r="H2897" s="6" t="s">
        <v>54</v>
      </c>
      <c r="I2897" s="6" t="s">
        <v>93</v>
      </c>
      <c r="J2897" s="6"/>
      <c r="K2897" s="6"/>
      <c r="L2897" s="6" t="s">
        <v>3794</v>
      </c>
      <c r="M2897" s="6"/>
      <c r="N2897" s="6" t="s">
        <v>3795</v>
      </c>
      <c r="O2897" s="6" t="str">
        <f>HYPERLINK("https://ceds.ed.gov/cedselementdetails.aspx?termid=6371")</f>
        <v>https://ceds.ed.gov/cedselementdetails.aspx?termid=6371</v>
      </c>
      <c r="P2897" s="6" t="str">
        <f>HYPERLINK("https://ceds.ed.gov/elementComment.aspx?elementName=Learning Standard Item Association Connection Citation &amp;elementID=6371", "Click here to submit comment")</f>
        <v>Click here to submit comment</v>
      </c>
    </row>
    <row r="2898" spans="1:16" ht="60">
      <c r="A2898" s="6" t="s">
        <v>6911</v>
      </c>
      <c r="B2898" s="6" t="s">
        <v>6856</v>
      </c>
      <c r="C2898" s="6" t="s">
        <v>6916</v>
      </c>
      <c r="D2898" s="6" t="s">
        <v>3796</v>
      </c>
      <c r="E2898" s="6" t="s">
        <v>3797</v>
      </c>
      <c r="F2898" s="6" t="s">
        <v>13</v>
      </c>
      <c r="G2898" s="6"/>
      <c r="H2898" s="6" t="s">
        <v>54</v>
      </c>
      <c r="I2898" s="6" t="s">
        <v>100</v>
      </c>
      <c r="J2898" s="6"/>
      <c r="K2898" s="6"/>
      <c r="L2898" s="6" t="s">
        <v>3798</v>
      </c>
      <c r="M2898" s="6"/>
      <c r="N2898" s="6" t="s">
        <v>3799</v>
      </c>
      <c r="O2898" s="6" t="str">
        <f>HYPERLINK("https://ceds.ed.gov/cedselementdetails.aspx?termid=6372")</f>
        <v>https://ceds.ed.gov/cedselementdetails.aspx?termid=6372</v>
      </c>
      <c r="P2898" s="6" t="str">
        <f>HYPERLINK("https://ceds.ed.gov/elementComment.aspx?elementName=Learning Standard Item Association Destination Node Name &amp;elementID=6372", "Click here to submit comment")</f>
        <v>Click here to submit comment</v>
      </c>
    </row>
    <row r="2899" spans="1:16" ht="60">
      <c r="A2899" s="6" t="s">
        <v>6911</v>
      </c>
      <c r="B2899" s="6" t="s">
        <v>6856</v>
      </c>
      <c r="C2899" s="6" t="s">
        <v>6916</v>
      </c>
      <c r="D2899" s="6" t="s">
        <v>3800</v>
      </c>
      <c r="E2899" s="6" t="s">
        <v>3801</v>
      </c>
      <c r="F2899" s="6" t="s">
        <v>13</v>
      </c>
      <c r="G2899" s="6"/>
      <c r="H2899" s="6" t="s">
        <v>54</v>
      </c>
      <c r="I2899" s="6" t="s">
        <v>93</v>
      </c>
      <c r="J2899" s="6"/>
      <c r="K2899" s="6"/>
      <c r="L2899" s="6" t="s">
        <v>3802</v>
      </c>
      <c r="M2899" s="6"/>
      <c r="N2899" s="6" t="s">
        <v>3803</v>
      </c>
      <c r="O2899" s="6" t="str">
        <f>HYPERLINK("https://ceds.ed.gov/cedselementdetails.aspx?termid=6373")</f>
        <v>https://ceds.ed.gov/cedselementdetails.aspx?termid=6373</v>
      </c>
      <c r="P2899" s="6" t="str">
        <f>HYPERLINK("https://ceds.ed.gov/elementComment.aspx?elementName=Learning Standard Item Association Destination Node URI &amp;elementID=6373", "Click here to submit comment")</f>
        <v>Click here to submit comment</v>
      </c>
    </row>
    <row r="2900" spans="1:16" ht="45">
      <c r="A2900" s="6" t="s">
        <v>6911</v>
      </c>
      <c r="B2900" s="6" t="s">
        <v>6856</v>
      </c>
      <c r="C2900" s="6" t="s">
        <v>6916</v>
      </c>
      <c r="D2900" s="6" t="s">
        <v>3808</v>
      </c>
      <c r="E2900" s="6" t="s">
        <v>3809</v>
      </c>
      <c r="F2900" s="6" t="s">
        <v>13</v>
      </c>
      <c r="G2900" s="6"/>
      <c r="H2900" s="6" t="s">
        <v>54</v>
      </c>
      <c r="I2900" s="6" t="s">
        <v>100</v>
      </c>
      <c r="J2900" s="6"/>
      <c r="K2900" s="6"/>
      <c r="L2900" s="6" t="s">
        <v>3810</v>
      </c>
      <c r="M2900" s="6"/>
      <c r="N2900" s="6" t="s">
        <v>3811</v>
      </c>
      <c r="O2900" s="6" t="str">
        <f>HYPERLINK("https://ceds.ed.gov/cedselementdetails.aspx?termid=6374")</f>
        <v>https://ceds.ed.gov/cedselementdetails.aspx?termid=6374</v>
      </c>
      <c r="P2900" s="6" t="str">
        <f>HYPERLINK("https://ceds.ed.gov/elementComment.aspx?elementName=Learning Standard Item Association Origin Node Name &amp;elementID=6374", "Click here to submit comment")</f>
        <v>Click here to submit comment</v>
      </c>
    </row>
    <row r="2901" spans="1:16" ht="45">
      <c r="A2901" s="6" t="s">
        <v>6911</v>
      </c>
      <c r="B2901" s="6" t="s">
        <v>6856</v>
      </c>
      <c r="C2901" s="6" t="s">
        <v>6916</v>
      </c>
      <c r="D2901" s="6" t="s">
        <v>3812</v>
      </c>
      <c r="E2901" s="6" t="s">
        <v>3813</v>
      </c>
      <c r="F2901" s="6" t="s">
        <v>13</v>
      </c>
      <c r="G2901" s="6"/>
      <c r="H2901" s="6" t="s">
        <v>54</v>
      </c>
      <c r="I2901" s="6" t="s">
        <v>93</v>
      </c>
      <c r="J2901" s="6"/>
      <c r="K2901" s="6"/>
      <c r="L2901" s="6" t="s">
        <v>3814</v>
      </c>
      <c r="M2901" s="6"/>
      <c r="N2901" s="6" t="s">
        <v>3815</v>
      </c>
      <c r="O2901" s="6" t="str">
        <f>HYPERLINK("https://ceds.ed.gov/cedselementdetails.aspx?termid=6375")</f>
        <v>https://ceds.ed.gov/cedselementdetails.aspx?termid=6375</v>
      </c>
      <c r="P2901" s="6" t="str">
        <f>HYPERLINK("https://ceds.ed.gov/elementComment.aspx?elementName=Learning Standard Item Association Origin Node URI &amp;elementID=6375", "Click here to submit comment")</f>
        <v>Click here to submit comment</v>
      </c>
    </row>
    <row r="2902" spans="1:16" ht="135">
      <c r="A2902" s="6" t="s">
        <v>6911</v>
      </c>
      <c r="B2902" s="6" t="s">
        <v>6856</v>
      </c>
      <c r="C2902" s="6" t="s">
        <v>6916</v>
      </c>
      <c r="D2902" s="6" t="s">
        <v>3822</v>
      </c>
      <c r="E2902" s="6" t="s">
        <v>3823</v>
      </c>
      <c r="F2902" s="6" t="s">
        <v>13</v>
      </c>
      <c r="G2902" s="6"/>
      <c r="H2902" s="6" t="s">
        <v>54</v>
      </c>
      <c r="I2902" s="6" t="s">
        <v>3824</v>
      </c>
      <c r="J2902" s="6"/>
      <c r="K2902" s="6" t="s">
        <v>3825</v>
      </c>
      <c r="L2902" s="6" t="s">
        <v>3826</v>
      </c>
      <c r="M2902" s="6"/>
      <c r="N2902" s="6" t="s">
        <v>3827</v>
      </c>
      <c r="O2902" s="6" t="str">
        <f>HYPERLINK("https://ceds.ed.gov/cedselementdetails.aspx?termid=6376")</f>
        <v>https://ceds.ed.gov/cedselementdetails.aspx?termid=6376</v>
      </c>
      <c r="P2902" s="6" t="str">
        <f>HYPERLINK("https://ceds.ed.gov/elementComment.aspx?elementName=Learning Standard Item Association Weight &amp;elementID=6376", "Click here to submit comment")</f>
        <v>Click here to submit comment</v>
      </c>
    </row>
    <row r="2903" spans="1:16" ht="120">
      <c r="A2903" s="6" t="s">
        <v>6911</v>
      </c>
      <c r="B2903" s="6" t="s">
        <v>6915</v>
      </c>
      <c r="C2903" s="6"/>
      <c r="D2903" s="6" t="s">
        <v>1743</v>
      </c>
      <c r="E2903" s="6" t="s">
        <v>1744</v>
      </c>
      <c r="F2903" s="6" t="s">
        <v>13</v>
      </c>
      <c r="G2903" s="6"/>
      <c r="H2903" s="6"/>
      <c r="I2903" s="6" t="s">
        <v>93</v>
      </c>
      <c r="J2903" s="6"/>
      <c r="K2903" s="6" t="s">
        <v>1745</v>
      </c>
      <c r="L2903" s="6" t="s">
        <v>1746</v>
      </c>
      <c r="M2903" s="6"/>
      <c r="N2903" s="6" t="s">
        <v>1747</v>
      </c>
      <c r="O2903" s="6" t="str">
        <f>HYPERLINK("https://ceds.ed.gov/cedselementdetails.aspx?termid=5877")</f>
        <v>https://ceds.ed.gov/cedselementdetails.aspx?termid=5877</v>
      </c>
      <c r="P2903" s="6" t="str">
        <f>HYPERLINK("https://ceds.ed.gov/elementComment.aspx?elementName=Competency Set Completion Criteria &amp;elementID=5877", "Click here to submit comment")</f>
        <v>Click here to submit comment</v>
      </c>
    </row>
    <row r="2904" spans="1:16" ht="90">
      <c r="A2904" s="6" t="s">
        <v>6911</v>
      </c>
      <c r="B2904" s="6" t="s">
        <v>6915</v>
      </c>
      <c r="C2904" s="6"/>
      <c r="D2904" s="6" t="s">
        <v>1748</v>
      </c>
      <c r="E2904" s="6" t="s">
        <v>1749</v>
      </c>
      <c r="F2904" s="6" t="s">
        <v>13</v>
      </c>
      <c r="G2904" s="6"/>
      <c r="H2904" s="6"/>
      <c r="I2904" s="6" t="s">
        <v>308</v>
      </c>
      <c r="J2904" s="6"/>
      <c r="K2904" s="6" t="s">
        <v>1750</v>
      </c>
      <c r="L2904" s="6" t="s">
        <v>1751</v>
      </c>
      <c r="M2904" s="6"/>
      <c r="N2904" s="6" t="s">
        <v>1752</v>
      </c>
      <c r="O2904" s="6" t="str">
        <f>HYPERLINK("https://ceds.ed.gov/cedselementdetails.aspx?termid=5878")</f>
        <v>https://ceds.ed.gov/cedselementdetails.aspx?termid=5878</v>
      </c>
      <c r="P2904" s="6" t="str">
        <f>HYPERLINK("https://ceds.ed.gov/elementComment.aspx?elementName=Competency Set Completion Criteria Threshold &amp;elementID=5878", "Click here to submit comment")</f>
        <v>Click here to submit comment</v>
      </c>
    </row>
    <row r="2905" spans="1:16" ht="180">
      <c r="A2905" s="6" t="s">
        <v>6917</v>
      </c>
      <c r="B2905" s="6" t="s">
        <v>6866</v>
      </c>
      <c r="C2905" s="6"/>
      <c r="D2905" s="6" t="s">
        <v>3540</v>
      </c>
      <c r="E2905" s="6" t="s">
        <v>3541</v>
      </c>
      <c r="F2905" s="6" t="s">
        <v>6225</v>
      </c>
      <c r="G2905" s="6"/>
      <c r="H2905" s="6" t="s">
        <v>54</v>
      </c>
      <c r="I2905" s="6"/>
      <c r="J2905" s="6"/>
      <c r="K2905" s="6" t="s">
        <v>3542</v>
      </c>
      <c r="L2905" s="6" t="s">
        <v>3543</v>
      </c>
      <c r="M2905" s="6"/>
      <c r="N2905" s="6" t="s">
        <v>3544</v>
      </c>
      <c r="O2905" s="6" t="str">
        <f>HYPERLINK("https://ceds.ed.gov/cedselementdetails.aspx?termid=6358")</f>
        <v>https://ceds.ed.gov/cedselementdetails.aspx?termid=6358</v>
      </c>
      <c r="P2905" s="6" t="str">
        <f>HYPERLINK("https://ceds.ed.gov/elementComment.aspx?elementName=Learning Resource Access API Type &amp;elementID=6358", "Click here to submit comment")</f>
        <v>Click here to submit comment</v>
      </c>
    </row>
    <row r="2906" spans="1:16" ht="60">
      <c r="A2906" s="6" t="s">
        <v>6917</v>
      </c>
      <c r="B2906" s="6" t="s">
        <v>6866</v>
      </c>
      <c r="C2906" s="6"/>
      <c r="D2906" s="6" t="s">
        <v>3545</v>
      </c>
      <c r="E2906" s="6" t="s">
        <v>3546</v>
      </c>
      <c r="F2906" s="6" t="s">
        <v>6227</v>
      </c>
      <c r="G2906" s="6"/>
      <c r="H2906" s="6" t="s">
        <v>54</v>
      </c>
      <c r="I2906" s="6"/>
      <c r="J2906" s="6"/>
      <c r="K2906" s="6"/>
      <c r="L2906" s="6" t="s">
        <v>3547</v>
      </c>
      <c r="M2906" s="6"/>
      <c r="N2906" s="6" t="s">
        <v>3548</v>
      </c>
      <c r="O2906" s="6" t="str">
        <f>HYPERLINK("https://ceds.ed.gov/cedselementdetails.aspx?termid=6359")</f>
        <v>https://ceds.ed.gov/cedselementdetails.aspx?termid=6359</v>
      </c>
      <c r="P2906" s="6" t="str">
        <f>HYPERLINK("https://ceds.ed.gov/elementComment.aspx?elementName=Learning Resource Access Hazard Type &amp;elementID=6359", "Click here to submit comment")</f>
        <v>Click here to submit comment</v>
      </c>
    </row>
    <row r="2907" spans="1:16" ht="105">
      <c r="A2907" s="6" t="s">
        <v>6917</v>
      </c>
      <c r="B2907" s="6" t="s">
        <v>6866</v>
      </c>
      <c r="C2907" s="6"/>
      <c r="D2907" s="6" t="s">
        <v>3549</v>
      </c>
      <c r="E2907" s="6" t="s">
        <v>3550</v>
      </c>
      <c r="F2907" s="6" t="s">
        <v>6228</v>
      </c>
      <c r="G2907" s="6"/>
      <c r="H2907" s="6" t="s">
        <v>54</v>
      </c>
      <c r="I2907" s="6"/>
      <c r="J2907" s="6"/>
      <c r="K2907" s="6" t="s">
        <v>3551</v>
      </c>
      <c r="L2907" s="6" t="s">
        <v>3552</v>
      </c>
      <c r="M2907" s="6"/>
      <c r="N2907" s="6" t="s">
        <v>3553</v>
      </c>
      <c r="O2907" s="6" t="str">
        <f>HYPERLINK("https://ceds.ed.gov/cedselementdetails.aspx?termid=6360")</f>
        <v>https://ceds.ed.gov/cedselementdetails.aspx?termid=6360</v>
      </c>
      <c r="P2907" s="6" t="str">
        <f>HYPERLINK("https://ceds.ed.gov/elementComment.aspx?elementName=Learning Resource Access Mode Type &amp;elementID=6360", "Click here to submit comment")</f>
        <v>Click here to submit comment</v>
      </c>
    </row>
    <row r="2908" spans="1:16" ht="45">
      <c r="A2908" s="6" t="s">
        <v>6917</v>
      </c>
      <c r="B2908" s="6" t="s">
        <v>6866</v>
      </c>
      <c r="C2908" s="6"/>
      <c r="D2908" s="6" t="s">
        <v>3554</v>
      </c>
      <c r="E2908" s="6" t="s">
        <v>3555</v>
      </c>
      <c r="F2908" s="6" t="s">
        <v>13</v>
      </c>
      <c r="G2908" s="6"/>
      <c r="H2908" s="6" t="s">
        <v>54</v>
      </c>
      <c r="I2908" s="6" t="s">
        <v>93</v>
      </c>
      <c r="J2908" s="6"/>
      <c r="K2908" s="6"/>
      <c r="L2908" s="6" t="s">
        <v>3556</v>
      </c>
      <c r="M2908" s="6"/>
      <c r="N2908" s="6" t="s">
        <v>3557</v>
      </c>
      <c r="O2908" s="6" t="str">
        <f>HYPERLINK("https://ceds.ed.gov/cedselementdetails.aspx?termid=6361")</f>
        <v>https://ceds.ed.gov/cedselementdetails.aspx?termid=6361</v>
      </c>
      <c r="P2908" s="6" t="str">
        <f>HYPERLINK("https://ceds.ed.gov/elementComment.aspx?elementName=Learning Resource Adaptation URL &amp;elementID=6361", "Click here to submit comment")</f>
        <v>Click here to submit comment</v>
      </c>
    </row>
    <row r="2909" spans="1:16" ht="30">
      <c r="A2909" s="6" t="s">
        <v>6917</v>
      </c>
      <c r="B2909" s="6" t="s">
        <v>6866</v>
      </c>
      <c r="C2909" s="6"/>
      <c r="D2909" s="6" t="s">
        <v>3558</v>
      </c>
      <c r="E2909" s="6" t="s">
        <v>3559</v>
      </c>
      <c r="F2909" s="6" t="s">
        <v>13</v>
      </c>
      <c r="G2909" s="6"/>
      <c r="H2909" s="6" t="s">
        <v>54</v>
      </c>
      <c r="I2909" s="6" t="s">
        <v>93</v>
      </c>
      <c r="J2909" s="6"/>
      <c r="K2909" s="6"/>
      <c r="L2909" s="6" t="s">
        <v>3560</v>
      </c>
      <c r="M2909" s="6"/>
      <c r="N2909" s="6" t="s">
        <v>3561</v>
      </c>
      <c r="O2909" s="6" t="str">
        <f>HYPERLINK("https://ceds.ed.gov/cedselementdetails.aspx?termid=6367")</f>
        <v>https://ceds.ed.gov/cedselementdetails.aspx?termid=6367</v>
      </c>
      <c r="P2909" s="6" t="str">
        <f>HYPERLINK("https://ceds.ed.gov/elementComment.aspx?elementName=Learning Resource Adapted From URL &amp;elementID=6367", "Click here to submit comment")</f>
        <v>Click here to submit comment</v>
      </c>
    </row>
    <row r="2910" spans="1:16" ht="75">
      <c r="A2910" s="6" t="s">
        <v>6917</v>
      </c>
      <c r="B2910" s="6" t="s">
        <v>6866</v>
      </c>
      <c r="C2910" s="6"/>
      <c r="D2910" s="6" t="s">
        <v>3562</v>
      </c>
      <c r="E2910" s="6" t="s">
        <v>3563</v>
      </c>
      <c r="F2910" s="6" t="s">
        <v>5963</v>
      </c>
      <c r="G2910" s="6"/>
      <c r="H2910" s="6" t="s">
        <v>54</v>
      </c>
      <c r="I2910" s="6"/>
      <c r="J2910" s="6"/>
      <c r="K2910" s="6" t="s">
        <v>3564</v>
      </c>
      <c r="L2910" s="6" t="s">
        <v>3565</v>
      </c>
      <c r="M2910" s="6"/>
      <c r="N2910" s="6" t="s">
        <v>3566</v>
      </c>
      <c r="O2910" s="6" t="str">
        <f>HYPERLINK("https://ceds.ed.gov/cedselementdetails.aspx?termid=6362")</f>
        <v>https://ceds.ed.gov/cedselementdetails.aspx?termid=6362</v>
      </c>
      <c r="P2910" s="6" t="str">
        <f>HYPERLINK("https://ceds.ed.gov/elementComment.aspx?elementName=Learning Resource Assistive Technologies Compatible Indicator &amp;elementID=6362", "Click here to submit comment")</f>
        <v>Click here to submit comment</v>
      </c>
    </row>
    <row r="2911" spans="1:16" ht="45">
      <c r="A2911" s="6" t="s">
        <v>6917</v>
      </c>
      <c r="B2911" s="6" t="s">
        <v>6866</v>
      </c>
      <c r="C2911" s="6"/>
      <c r="D2911" s="6" t="s">
        <v>3567</v>
      </c>
      <c r="E2911" s="6" t="s">
        <v>3568</v>
      </c>
      <c r="F2911" s="6" t="s">
        <v>13</v>
      </c>
      <c r="G2911" s="6"/>
      <c r="H2911" s="6" t="s">
        <v>66</v>
      </c>
      <c r="I2911" s="6" t="s">
        <v>93</v>
      </c>
      <c r="J2911" s="6" t="s">
        <v>3569</v>
      </c>
      <c r="K2911" s="6" t="s">
        <v>3570</v>
      </c>
      <c r="L2911" s="6" t="s">
        <v>3571</v>
      </c>
      <c r="M2911" s="6"/>
      <c r="N2911" s="6" t="s">
        <v>3572</v>
      </c>
      <c r="O2911" s="6" t="str">
        <f>HYPERLINK("https://ceds.ed.gov/cedselementdetails.aspx?termid=5923")</f>
        <v>https://ceds.ed.gov/cedselementdetails.aspx?termid=5923</v>
      </c>
      <c r="P2911" s="6" t="str">
        <f>HYPERLINK("https://ceds.ed.gov/elementComment.aspx?elementName=Learning Resource Based On URL &amp;elementID=5923", "Click here to submit comment")</f>
        <v>Click here to submit comment</v>
      </c>
    </row>
    <row r="2912" spans="1:16" ht="135">
      <c r="A2912" s="6" t="s">
        <v>6917</v>
      </c>
      <c r="B2912" s="6" t="s">
        <v>6866</v>
      </c>
      <c r="C2912" s="6"/>
      <c r="D2912" s="6" t="s">
        <v>3573</v>
      </c>
      <c r="E2912" s="6" t="s">
        <v>3574</v>
      </c>
      <c r="F2912" s="6" t="s">
        <v>6229</v>
      </c>
      <c r="G2912" s="6"/>
      <c r="H2912" s="6" t="s">
        <v>54</v>
      </c>
      <c r="I2912" s="6"/>
      <c r="J2912" s="6"/>
      <c r="K2912" s="6"/>
      <c r="L2912" s="6" t="s">
        <v>3575</v>
      </c>
      <c r="M2912" s="6"/>
      <c r="N2912" s="6" t="s">
        <v>3576</v>
      </c>
      <c r="O2912" s="6" t="str">
        <f>HYPERLINK("https://ceds.ed.gov/cedselementdetails.aspx?termid=6363")</f>
        <v>https://ceds.ed.gov/cedselementdetails.aspx?termid=6363</v>
      </c>
      <c r="P2912" s="6" t="str">
        <f>HYPERLINK("https://ceds.ed.gov/elementComment.aspx?elementName=Learning Resource Book Format Type &amp;elementID=6363", "Click here to submit comment")</f>
        <v>Click here to submit comment</v>
      </c>
    </row>
    <row r="2913" spans="1:16" ht="120">
      <c r="A2913" s="6" t="s">
        <v>6917</v>
      </c>
      <c r="B2913" s="6" t="s">
        <v>6866</v>
      </c>
      <c r="C2913" s="6"/>
      <c r="D2913" s="6" t="s">
        <v>3577</v>
      </c>
      <c r="E2913" s="6" t="s">
        <v>3578</v>
      </c>
      <c r="F2913" s="6" t="s">
        <v>6230</v>
      </c>
      <c r="G2913" s="6"/>
      <c r="H2913" s="6" t="s">
        <v>66</v>
      </c>
      <c r="I2913" s="6"/>
      <c r="J2913" s="6" t="s">
        <v>2645</v>
      </c>
      <c r="K2913" s="6" t="s">
        <v>3579</v>
      </c>
      <c r="L2913" s="6" t="s">
        <v>3580</v>
      </c>
      <c r="M2913" s="6"/>
      <c r="N2913" s="6" t="s">
        <v>3581</v>
      </c>
      <c r="O2913" s="6" t="str">
        <f>HYPERLINK("https://ceds.ed.gov/cedselementdetails.aspx?termid=5879")</f>
        <v>https://ceds.ed.gov/cedselementdetails.aspx?termid=5879</v>
      </c>
      <c r="P2913" s="6" t="str">
        <f>HYPERLINK("https://ceds.ed.gov/elementComment.aspx?elementName=Learning Resource Competency Alignment Type &amp;elementID=5879", "Click here to submit comment")</f>
        <v>Click here to submit comment</v>
      </c>
    </row>
    <row r="2914" spans="1:16" ht="45">
      <c r="A2914" s="6" t="s">
        <v>6917</v>
      </c>
      <c r="B2914" s="6" t="s">
        <v>6866</v>
      </c>
      <c r="C2914" s="6"/>
      <c r="D2914" s="6" t="s">
        <v>3582</v>
      </c>
      <c r="E2914" s="6" t="s">
        <v>3583</v>
      </c>
      <c r="F2914" s="6" t="s">
        <v>13</v>
      </c>
      <c r="G2914" s="6"/>
      <c r="H2914" s="6"/>
      <c r="I2914" s="6" t="s">
        <v>93</v>
      </c>
      <c r="J2914" s="6"/>
      <c r="K2914" s="6"/>
      <c r="L2914" s="6" t="s">
        <v>3584</v>
      </c>
      <c r="M2914" s="6"/>
      <c r="N2914" s="6" t="s">
        <v>3585</v>
      </c>
      <c r="O2914" s="6" t="str">
        <f>HYPERLINK("https://ceds.ed.gov/cedselementdetails.aspx?termid=6159")</f>
        <v>https://ceds.ed.gov/cedselementdetails.aspx?termid=6159</v>
      </c>
      <c r="P2914" s="6" t="str">
        <f>HYPERLINK("https://ceds.ed.gov/elementComment.aspx?elementName=Learning Resource Concept Keyword &amp;elementID=6159", "Click here to submit comment")</f>
        <v>Click here to submit comment</v>
      </c>
    </row>
    <row r="2915" spans="1:16" ht="90">
      <c r="A2915" s="6" t="s">
        <v>6917</v>
      </c>
      <c r="B2915" s="6" t="s">
        <v>6866</v>
      </c>
      <c r="C2915" s="6"/>
      <c r="D2915" s="6" t="s">
        <v>3586</v>
      </c>
      <c r="E2915" s="6" t="s">
        <v>3587</v>
      </c>
      <c r="F2915" s="6" t="s">
        <v>6232</v>
      </c>
      <c r="G2915" s="6"/>
      <c r="H2915" s="6" t="s">
        <v>54</v>
      </c>
      <c r="I2915" s="6"/>
      <c r="J2915" s="6"/>
      <c r="K2915" s="6"/>
      <c r="L2915" s="6" t="s">
        <v>3588</v>
      </c>
      <c r="M2915" s="6"/>
      <c r="N2915" s="6" t="s">
        <v>3589</v>
      </c>
      <c r="O2915" s="6" t="str">
        <f>HYPERLINK("https://ceds.ed.gov/cedselementdetails.aspx?termid=6364")</f>
        <v>https://ceds.ed.gov/cedselementdetails.aspx?termid=6364</v>
      </c>
      <c r="P2915" s="6" t="str">
        <f>HYPERLINK("https://ceds.ed.gov/elementComment.aspx?elementName=Learning Resource Control Flexibility Type &amp;elementID=6364", "Click here to submit comment")</f>
        <v>Click here to submit comment</v>
      </c>
    </row>
    <row r="2916" spans="1:16" ht="45">
      <c r="A2916" s="6" t="s">
        <v>6917</v>
      </c>
      <c r="B2916" s="6" t="s">
        <v>6866</v>
      </c>
      <c r="C2916" s="6"/>
      <c r="D2916" s="6" t="s">
        <v>3590</v>
      </c>
      <c r="E2916" s="6" t="s">
        <v>3591</v>
      </c>
      <c r="F2916" s="6" t="s">
        <v>13</v>
      </c>
      <c r="G2916" s="6"/>
      <c r="H2916" s="6"/>
      <c r="I2916" s="6" t="s">
        <v>106</v>
      </c>
      <c r="J2916" s="6"/>
      <c r="K2916" s="6"/>
      <c r="L2916" s="6" t="s">
        <v>3592</v>
      </c>
      <c r="M2916" s="6"/>
      <c r="N2916" s="6" t="s">
        <v>3593</v>
      </c>
      <c r="O2916" s="6" t="str">
        <f>HYPERLINK("https://ceds.ed.gov/cedselementdetails.aspx?termid=6157")</f>
        <v>https://ceds.ed.gov/cedselementdetails.aspx?termid=6157</v>
      </c>
      <c r="P2916" s="6" t="str">
        <f>HYPERLINK("https://ceds.ed.gov/elementComment.aspx?elementName=Learning Resource Copyright Holder Name &amp;elementID=6157", "Click here to submit comment")</f>
        <v>Click here to submit comment</v>
      </c>
    </row>
    <row r="2917" spans="1:16" ht="30">
      <c r="A2917" s="6" t="s">
        <v>6917</v>
      </c>
      <c r="B2917" s="6" t="s">
        <v>6866</v>
      </c>
      <c r="C2917" s="6"/>
      <c r="D2917" s="6" t="s">
        <v>3594</v>
      </c>
      <c r="E2917" s="6" t="s">
        <v>3595</v>
      </c>
      <c r="F2917" s="6" t="s">
        <v>13</v>
      </c>
      <c r="G2917" s="6"/>
      <c r="H2917" s="6"/>
      <c r="I2917" s="6" t="s">
        <v>1736</v>
      </c>
      <c r="J2917" s="6"/>
      <c r="K2917" s="6"/>
      <c r="L2917" s="6" t="s">
        <v>3596</v>
      </c>
      <c r="M2917" s="6"/>
      <c r="N2917" s="6" t="s">
        <v>3597</v>
      </c>
      <c r="O2917" s="6" t="str">
        <f>HYPERLINK("https://ceds.ed.gov/cedselementdetails.aspx?termid=6158")</f>
        <v>https://ceds.ed.gov/cedselementdetails.aspx?termid=6158</v>
      </c>
      <c r="P2917" s="6" t="str">
        <f>HYPERLINK("https://ceds.ed.gov/elementComment.aspx?elementName=Learning Resource Copyright Year &amp;elementID=6158", "Click here to submit comment")</f>
        <v>Click here to submit comment</v>
      </c>
    </row>
    <row r="2918" spans="1:16" ht="30">
      <c r="A2918" s="6" t="s">
        <v>6917</v>
      </c>
      <c r="B2918" s="6" t="s">
        <v>6866</v>
      </c>
      <c r="C2918" s="6"/>
      <c r="D2918" s="6" t="s">
        <v>3598</v>
      </c>
      <c r="E2918" s="6" t="s">
        <v>3599</v>
      </c>
      <c r="F2918" s="6" t="s">
        <v>13</v>
      </c>
      <c r="G2918" s="6"/>
      <c r="H2918" s="6"/>
      <c r="I2918" s="6" t="s">
        <v>106</v>
      </c>
      <c r="J2918" s="6"/>
      <c r="K2918" s="6"/>
      <c r="L2918" s="6" t="s">
        <v>3600</v>
      </c>
      <c r="M2918" s="6"/>
      <c r="N2918" s="6" t="s">
        <v>3601</v>
      </c>
      <c r="O2918" s="6" t="str">
        <f>HYPERLINK("https://ceds.ed.gov/cedselementdetails.aspx?termid=5918")</f>
        <v>https://ceds.ed.gov/cedselementdetails.aspx?termid=5918</v>
      </c>
      <c r="P2918" s="6" t="str">
        <f>HYPERLINK("https://ceds.ed.gov/elementComment.aspx?elementName=Learning Resource Creator &amp;elementID=5918", "Click here to submit comment")</f>
        <v>Click here to submit comment</v>
      </c>
    </row>
    <row r="2919" spans="1:16" ht="30">
      <c r="A2919" s="6" t="s">
        <v>6917</v>
      </c>
      <c r="B2919" s="6" t="s">
        <v>6866</v>
      </c>
      <c r="C2919" s="6"/>
      <c r="D2919" s="6" t="s">
        <v>3602</v>
      </c>
      <c r="E2919" s="6" t="s">
        <v>3603</v>
      </c>
      <c r="F2919" s="6" t="s">
        <v>13</v>
      </c>
      <c r="G2919" s="6"/>
      <c r="H2919" s="6"/>
      <c r="I2919" s="6" t="s">
        <v>73</v>
      </c>
      <c r="J2919" s="6"/>
      <c r="K2919" s="6"/>
      <c r="L2919" s="6" t="s">
        <v>3604</v>
      </c>
      <c r="M2919" s="6"/>
      <c r="N2919" s="6" t="s">
        <v>3605</v>
      </c>
      <c r="O2919" s="6" t="str">
        <f>HYPERLINK("https://ceds.ed.gov/cedselementdetails.aspx?termid=5916")</f>
        <v>https://ceds.ed.gov/cedselementdetails.aspx?termid=5916</v>
      </c>
      <c r="P2919" s="6" t="str">
        <f>HYPERLINK("https://ceds.ed.gov/elementComment.aspx?elementName=Learning Resource Date Created &amp;elementID=5916", "Click here to submit comment")</f>
        <v>Click here to submit comment</v>
      </c>
    </row>
    <row r="2920" spans="1:16" ht="30">
      <c r="A2920" s="6" t="s">
        <v>6917</v>
      </c>
      <c r="B2920" s="6" t="s">
        <v>6866</v>
      </c>
      <c r="C2920" s="6"/>
      <c r="D2920" s="6" t="s">
        <v>3606</v>
      </c>
      <c r="E2920" s="6" t="s">
        <v>3607</v>
      </c>
      <c r="F2920" s="6" t="s">
        <v>13</v>
      </c>
      <c r="G2920" s="6"/>
      <c r="H2920" s="6"/>
      <c r="I2920" s="6" t="s">
        <v>93</v>
      </c>
      <c r="J2920" s="6"/>
      <c r="K2920" s="6"/>
      <c r="L2920" s="6" t="s">
        <v>3608</v>
      </c>
      <c r="M2920" s="6"/>
      <c r="N2920" s="6" t="s">
        <v>3609</v>
      </c>
      <c r="O2920" s="6" t="str">
        <f>HYPERLINK("https://ceds.ed.gov/cedselementdetails.aspx?termid=6156")</f>
        <v>https://ceds.ed.gov/cedselementdetails.aspx?termid=6156</v>
      </c>
      <c r="P2920" s="6" t="str">
        <f>HYPERLINK("https://ceds.ed.gov/elementComment.aspx?elementName=Learning Resource Description &amp;elementID=6156", "Click here to submit comment")</f>
        <v>Click here to submit comment</v>
      </c>
    </row>
    <row r="2921" spans="1:16" ht="135">
      <c r="A2921" s="6" t="s">
        <v>6917</v>
      </c>
      <c r="B2921" s="6" t="s">
        <v>6866</v>
      </c>
      <c r="C2921" s="6"/>
      <c r="D2921" s="6" t="s">
        <v>3610</v>
      </c>
      <c r="E2921" s="6" t="s">
        <v>3611</v>
      </c>
      <c r="F2921" s="6" t="s">
        <v>3612</v>
      </c>
      <c r="G2921" s="6"/>
      <c r="H2921" s="6" t="s">
        <v>54</v>
      </c>
      <c r="I2921" s="6"/>
      <c r="J2921" s="6"/>
      <c r="K2921" s="6"/>
      <c r="L2921" s="6" t="s">
        <v>3613</v>
      </c>
      <c r="M2921" s="6"/>
      <c r="N2921" s="6" t="s">
        <v>3614</v>
      </c>
      <c r="O2921" s="6" t="str">
        <f>HYPERLINK("https://ceds.ed.gov/cedselementdetails.aspx?termid=6365")</f>
        <v>https://ceds.ed.gov/cedselementdetails.aspx?termid=6365</v>
      </c>
      <c r="P2921" s="6" t="str">
        <f>HYPERLINK("https://ceds.ed.gov/elementComment.aspx?elementName=Learning Resource Digital Media Sub Type &amp;elementID=6365", "Click here to submit comment")</f>
        <v>Click here to submit comment</v>
      </c>
    </row>
    <row r="2922" spans="1:16" ht="150">
      <c r="A2922" s="6" t="s">
        <v>6917</v>
      </c>
      <c r="B2922" s="6" t="s">
        <v>6866</v>
      </c>
      <c r="C2922" s="6"/>
      <c r="D2922" s="6" t="s">
        <v>3615</v>
      </c>
      <c r="E2922" s="6" t="s">
        <v>3616</v>
      </c>
      <c r="F2922" s="6" t="s">
        <v>6233</v>
      </c>
      <c r="G2922" s="6"/>
      <c r="H2922" s="6" t="s">
        <v>54</v>
      </c>
      <c r="I2922" s="6"/>
      <c r="J2922" s="6"/>
      <c r="K2922" s="6"/>
      <c r="L2922" s="6" t="s">
        <v>3617</v>
      </c>
      <c r="M2922" s="6"/>
      <c r="N2922" s="6" t="s">
        <v>3618</v>
      </c>
      <c r="O2922" s="6" t="str">
        <f>HYPERLINK("https://ceds.ed.gov/cedselementdetails.aspx?termid=6366")</f>
        <v>https://ceds.ed.gov/cedselementdetails.aspx?termid=6366</v>
      </c>
      <c r="P2922" s="6" t="str">
        <f>HYPERLINK("https://ceds.ed.gov/elementComment.aspx?elementName=Learning Resource Digital Media Type &amp;elementID=6366", "Click here to submit comment")</f>
        <v>Click here to submit comment</v>
      </c>
    </row>
    <row r="2923" spans="1:16" ht="409.5">
      <c r="A2923" s="6" t="s">
        <v>6917</v>
      </c>
      <c r="B2923" s="6" t="s">
        <v>6866</v>
      </c>
      <c r="C2923" s="6"/>
      <c r="D2923" s="6" t="s">
        <v>3619</v>
      </c>
      <c r="E2923" s="6" t="s">
        <v>3620</v>
      </c>
      <c r="F2923" s="15" t="s">
        <v>10060</v>
      </c>
      <c r="G2923" s="6"/>
      <c r="H2923" s="6" t="s">
        <v>66</v>
      </c>
      <c r="I2923" s="6"/>
      <c r="J2923" s="6" t="s">
        <v>3621</v>
      </c>
      <c r="K2923" s="6"/>
      <c r="L2923" s="6" t="s">
        <v>3622</v>
      </c>
      <c r="M2923" s="6"/>
      <c r="N2923" s="6" t="s">
        <v>3623</v>
      </c>
      <c r="O2923" s="6" t="str">
        <f>HYPERLINK("https://ceds.ed.gov/cedselementdetails.aspx?termid=6212")</f>
        <v>https://ceds.ed.gov/cedselementdetails.aspx?termid=6212</v>
      </c>
      <c r="P2923" s="6" t="str">
        <f>HYPERLINK("https://ceds.ed.gov/elementComment.aspx?elementName=Learning Resource Education Level  &amp;elementID=6212", "Click here to submit comment")</f>
        <v>Click here to submit comment</v>
      </c>
    </row>
    <row r="2924" spans="1:16" ht="120">
      <c r="A2924" s="6" t="s">
        <v>6917</v>
      </c>
      <c r="B2924" s="6" t="s">
        <v>6866</v>
      </c>
      <c r="C2924" s="6"/>
      <c r="D2924" s="6" t="s">
        <v>3624</v>
      </c>
      <c r="E2924" s="6" t="s">
        <v>3625</v>
      </c>
      <c r="F2924" s="7" t="s">
        <v>6565</v>
      </c>
      <c r="G2924" s="6"/>
      <c r="H2924" s="6" t="s">
        <v>66</v>
      </c>
      <c r="I2924" s="6"/>
      <c r="J2924" s="6" t="s">
        <v>3626</v>
      </c>
      <c r="K2924" s="6"/>
      <c r="L2924" s="6" t="s">
        <v>3627</v>
      </c>
      <c r="M2924" s="6"/>
      <c r="N2924" s="6" t="s">
        <v>3628</v>
      </c>
      <c r="O2924" s="6" t="str">
        <f>HYPERLINK("https://ceds.ed.gov/cedselementdetails.aspx?termid=6005")</f>
        <v>https://ceds.ed.gov/cedselementdetails.aspx?termid=6005</v>
      </c>
      <c r="P2924" s="6" t="str">
        <f>HYPERLINK("https://ceds.ed.gov/elementComment.aspx?elementName=Learning Resource Educational Use &amp;elementID=6005", "Click here to submit comment")</f>
        <v>Click here to submit comment</v>
      </c>
    </row>
    <row r="2925" spans="1:16" ht="150">
      <c r="A2925" s="6" t="s">
        <v>6917</v>
      </c>
      <c r="B2925" s="6" t="s">
        <v>6866</v>
      </c>
      <c r="C2925" s="6"/>
      <c r="D2925" s="6" t="s">
        <v>3629</v>
      </c>
      <c r="E2925" s="6" t="s">
        <v>3630</v>
      </c>
      <c r="F2925" s="6" t="s">
        <v>6235</v>
      </c>
      <c r="G2925" s="6"/>
      <c r="H2925" s="6"/>
      <c r="I2925" s="6"/>
      <c r="J2925" s="6"/>
      <c r="K2925" s="6"/>
      <c r="L2925" s="6" t="s">
        <v>3631</v>
      </c>
      <c r="M2925" s="6"/>
      <c r="N2925" s="6" t="s">
        <v>3632</v>
      </c>
      <c r="O2925" s="6" t="str">
        <f>HYPERLINK("https://ceds.ed.gov/cedselementdetails.aspx?termid=5924")</f>
        <v>https://ceds.ed.gov/cedselementdetails.aspx?termid=5924</v>
      </c>
      <c r="P2925" s="6" t="str">
        <f>HYPERLINK("https://ceds.ed.gov/elementComment.aspx?elementName=Learning Resource Intended End User Role &amp;elementID=5924", "Click here to submit comment")</f>
        <v>Click here to submit comment</v>
      </c>
    </row>
    <row r="2926" spans="1:16" ht="60">
      <c r="A2926" s="6" t="s">
        <v>6917</v>
      </c>
      <c r="B2926" s="6" t="s">
        <v>6866</v>
      </c>
      <c r="C2926" s="6"/>
      <c r="D2926" s="6" t="s">
        <v>3633</v>
      </c>
      <c r="E2926" s="6" t="s">
        <v>3634</v>
      </c>
      <c r="F2926" s="6" t="s">
        <v>6236</v>
      </c>
      <c r="G2926" s="6"/>
      <c r="H2926" s="6"/>
      <c r="I2926" s="6"/>
      <c r="J2926" s="6"/>
      <c r="K2926" s="6"/>
      <c r="L2926" s="6" t="s">
        <v>3635</v>
      </c>
      <c r="M2926" s="6"/>
      <c r="N2926" s="6" t="s">
        <v>3636</v>
      </c>
      <c r="O2926" s="6" t="str">
        <f>HYPERLINK("https://ceds.ed.gov/cedselementdetails.aspx?termid=5928")</f>
        <v>https://ceds.ed.gov/cedselementdetails.aspx?termid=5928</v>
      </c>
      <c r="P2926" s="6" t="str">
        <f>HYPERLINK("https://ceds.ed.gov/elementComment.aspx?elementName=Learning Resource Interactivity Type &amp;elementID=5928", "Click here to submit comment")</f>
        <v>Click here to submit comment</v>
      </c>
    </row>
    <row r="2927" spans="1:16" ht="150">
      <c r="A2927" s="6" t="s">
        <v>6917</v>
      </c>
      <c r="B2927" s="6" t="s">
        <v>6866</v>
      </c>
      <c r="C2927" s="6"/>
      <c r="D2927" s="6" t="s">
        <v>3637</v>
      </c>
      <c r="E2927" s="6" t="s">
        <v>3638</v>
      </c>
      <c r="F2927" s="5" t="s">
        <v>939</v>
      </c>
      <c r="G2927" s="6"/>
      <c r="H2927" s="6" t="s">
        <v>66</v>
      </c>
      <c r="I2927" s="6"/>
      <c r="J2927" s="6" t="s">
        <v>3639</v>
      </c>
      <c r="K2927" s="6" t="s">
        <v>3640</v>
      </c>
      <c r="L2927" s="6" t="s">
        <v>3641</v>
      </c>
      <c r="M2927" s="6"/>
      <c r="N2927" s="6" t="s">
        <v>3642</v>
      </c>
      <c r="O2927" s="6" t="str">
        <f>HYPERLINK("https://ceds.ed.gov/cedselementdetails.aspx?termid=5920")</f>
        <v>https://ceds.ed.gov/cedselementdetails.aspx?termid=5920</v>
      </c>
      <c r="P2927" s="6" t="str">
        <f>HYPERLINK("https://ceds.ed.gov/elementComment.aspx?elementName=Learning Resource Language &amp;elementID=5920", "Click here to submit comment")</f>
        <v>Click here to submit comment</v>
      </c>
    </row>
    <row r="2928" spans="1:16" ht="315">
      <c r="A2928" s="6" t="s">
        <v>6917</v>
      </c>
      <c r="B2928" s="6" t="s">
        <v>6866</v>
      </c>
      <c r="C2928" s="6"/>
      <c r="D2928" s="6" t="s">
        <v>3643</v>
      </c>
      <c r="E2928" s="6" t="s">
        <v>3644</v>
      </c>
      <c r="F2928" s="6" t="s">
        <v>6237</v>
      </c>
      <c r="G2928" s="6"/>
      <c r="H2928" s="6" t="s">
        <v>54</v>
      </c>
      <c r="I2928" s="6"/>
      <c r="J2928" s="6"/>
      <c r="K2928" s="6" t="s">
        <v>3645</v>
      </c>
      <c r="L2928" s="6" t="s">
        <v>3646</v>
      </c>
      <c r="M2928" s="6"/>
      <c r="N2928" s="6" t="s">
        <v>3647</v>
      </c>
      <c r="O2928" s="6" t="str">
        <f>HYPERLINK("https://ceds.ed.gov/cedselementdetails.aspx?termid=6368")</f>
        <v>https://ceds.ed.gov/cedselementdetails.aspx?termid=6368</v>
      </c>
      <c r="P2928" s="6" t="str">
        <f>HYPERLINK("https://ceds.ed.gov/elementComment.aspx?elementName=Learning Resource Media Feature Type &amp;elementID=6368", "Click here to submit comment")</f>
        <v>Click here to submit comment</v>
      </c>
    </row>
    <row r="2929" spans="1:16" ht="409.5">
      <c r="A2929" s="6" t="s">
        <v>6917</v>
      </c>
      <c r="B2929" s="6" t="s">
        <v>6866</v>
      </c>
      <c r="C2929" s="6"/>
      <c r="D2929" s="6" t="s">
        <v>3661</v>
      </c>
      <c r="E2929" s="6" t="s">
        <v>3662</v>
      </c>
      <c r="F2929" s="7" t="s">
        <v>6566</v>
      </c>
      <c r="G2929" s="6"/>
      <c r="H2929" s="6" t="s">
        <v>54</v>
      </c>
      <c r="I2929" s="6"/>
      <c r="J2929" s="6"/>
      <c r="K2929" s="6"/>
      <c r="L2929" s="6" t="s">
        <v>3663</v>
      </c>
      <c r="M2929" s="6"/>
      <c r="N2929" s="6" t="s">
        <v>3664</v>
      </c>
      <c r="O2929" s="6" t="str">
        <f>HYPERLINK("https://ceds.ed.gov/cedselementdetails.aspx?termid=6370")</f>
        <v>https://ceds.ed.gov/cedselementdetails.aspx?termid=6370</v>
      </c>
      <c r="P2929" s="6" t="str">
        <f>HYPERLINK("https://ceds.ed.gov/elementComment.aspx?elementName=Learning Resource Physical Media Type &amp;elementID=6370", "Click here to submit comment")</f>
        <v>Click here to submit comment</v>
      </c>
    </row>
    <row r="2930" spans="1:16" ht="30">
      <c r="A2930" s="6" t="s">
        <v>6917</v>
      </c>
      <c r="B2930" s="6" t="s">
        <v>6866</v>
      </c>
      <c r="C2930" s="6"/>
      <c r="D2930" s="6" t="s">
        <v>3669</v>
      </c>
      <c r="E2930" s="6" t="s">
        <v>3670</v>
      </c>
      <c r="F2930" s="6" t="s">
        <v>13</v>
      </c>
      <c r="G2930" s="6"/>
      <c r="H2930" s="6"/>
      <c r="I2930" s="6" t="s">
        <v>106</v>
      </c>
      <c r="J2930" s="6"/>
      <c r="K2930" s="6"/>
      <c r="L2930" s="6" t="s">
        <v>3671</v>
      </c>
      <c r="M2930" s="6"/>
      <c r="N2930" s="6" t="s">
        <v>3672</v>
      </c>
      <c r="O2930" s="6" t="str">
        <f>HYPERLINK("https://ceds.ed.gov/cedselementdetails.aspx?termid=5919")</f>
        <v>https://ceds.ed.gov/cedselementdetails.aspx?termid=5919</v>
      </c>
      <c r="P2930" s="6" t="str">
        <f>HYPERLINK("https://ceds.ed.gov/elementComment.aspx?elementName=Learning Resource Publisher Name &amp;elementID=5919", "Click here to submit comment")</f>
        <v>Click here to submit comment</v>
      </c>
    </row>
    <row r="2931" spans="1:16" ht="60">
      <c r="A2931" s="6" t="s">
        <v>6917</v>
      </c>
      <c r="B2931" s="6" t="s">
        <v>6866</v>
      </c>
      <c r="C2931" s="6"/>
      <c r="D2931" s="6" t="s">
        <v>3673</v>
      </c>
      <c r="E2931" s="6" t="s">
        <v>3674</v>
      </c>
      <c r="F2931" s="6" t="s">
        <v>13</v>
      </c>
      <c r="G2931" s="6"/>
      <c r="H2931" s="6"/>
      <c r="I2931" s="6" t="s">
        <v>100</v>
      </c>
      <c r="J2931" s="6"/>
      <c r="K2931" s="6" t="s">
        <v>3675</v>
      </c>
      <c r="L2931" s="6" t="s">
        <v>3676</v>
      </c>
      <c r="M2931" s="6"/>
      <c r="N2931" s="6" t="s">
        <v>3677</v>
      </c>
      <c r="O2931" s="6" t="str">
        <f>HYPERLINK("https://ceds.ed.gov/cedselementdetails.aspx?termid=5914")</f>
        <v>https://ceds.ed.gov/cedselementdetails.aspx?termid=5914</v>
      </c>
      <c r="P2931" s="6" t="str">
        <f>HYPERLINK("https://ceds.ed.gov/elementComment.aspx?elementName=Learning Resource Subject Code &amp;elementID=5914", "Click here to submit comment")</f>
        <v>Click here to submit comment</v>
      </c>
    </row>
    <row r="2932" spans="1:16" ht="60">
      <c r="A2932" s="6" t="s">
        <v>6917</v>
      </c>
      <c r="B2932" s="6" t="s">
        <v>6866</v>
      </c>
      <c r="C2932" s="6"/>
      <c r="D2932" s="6" t="s">
        <v>3678</v>
      </c>
      <c r="E2932" s="6" t="s">
        <v>3679</v>
      </c>
      <c r="F2932" s="6" t="s">
        <v>13</v>
      </c>
      <c r="G2932" s="6"/>
      <c r="H2932" s="6"/>
      <c r="I2932" s="6" t="s">
        <v>100</v>
      </c>
      <c r="J2932" s="6"/>
      <c r="K2932" s="6" t="s">
        <v>3680</v>
      </c>
      <c r="L2932" s="6" t="s">
        <v>3681</v>
      </c>
      <c r="M2932" s="6"/>
      <c r="N2932" s="6" t="s">
        <v>3682</v>
      </c>
      <c r="O2932" s="6" t="str">
        <f>HYPERLINK("https://ceds.ed.gov/cedselementdetails.aspx?termid=5915")</f>
        <v>https://ceds.ed.gov/cedselementdetails.aspx?termid=5915</v>
      </c>
      <c r="P2932" s="6" t="str">
        <f>HYPERLINK("https://ceds.ed.gov/elementComment.aspx?elementName=Learning Resource Subject Code System &amp;elementID=5915", "Click here to submit comment")</f>
        <v>Click here to submit comment</v>
      </c>
    </row>
    <row r="2933" spans="1:16" ht="30">
      <c r="A2933" s="6" t="s">
        <v>6917</v>
      </c>
      <c r="B2933" s="6" t="s">
        <v>6866</v>
      </c>
      <c r="C2933" s="6"/>
      <c r="D2933" s="6" t="s">
        <v>3683</v>
      </c>
      <c r="E2933" s="6" t="s">
        <v>3684</v>
      </c>
      <c r="F2933" s="6" t="s">
        <v>13</v>
      </c>
      <c r="G2933" s="6"/>
      <c r="H2933" s="6"/>
      <c r="I2933" s="6" t="s">
        <v>100</v>
      </c>
      <c r="J2933" s="6"/>
      <c r="K2933" s="6"/>
      <c r="L2933" s="6" t="s">
        <v>3685</v>
      </c>
      <c r="M2933" s="6"/>
      <c r="N2933" s="6" t="s">
        <v>3686</v>
      </c>
      <c r="O2933" s="6" t="str">
        <f>HYPERLINK("https://ceds.ed.gov/cedselementdetails.aspx?termid=5913")</f>
        <v>https://ceds.ed.gov/cedselementdetails.aspx?termid=5913</v>
      </c>
      <c r="P2933" s="6" t="str">
        <f>HYPERLINK("https://ceds.ed.gov/elementComment.aspx?elementName=Learning Resource Subject Name &amp;elementID=5913", "Click here to submit comment")</f>
        <v>Click here to submit comment</v>
      </c>
    </row>
    <row r="2934" spans="1:16" ht="45">
      <c r="A2934" s="6" t="s">
        <v>6917</v>
      </c>
      <c r="B2934" s="6" t="s">
        <v>6866</v>
      </c>
      <c r="C2934" s="6"/>
      <c r="D2934" s="6" t="s">
        <v>3687</v>
      </c>
      <c r="E2934" s="6" t="s">
        <v>3688</v>
      </c>
      <c r="F2934" s="6" t="s">
        <v>13</v>
      </c>
      <c r="G2934" s="6"/>
      <c r="H2934" s="6"/>
      <c r="I2934" s="6" t="s">
        <v>100</v>
      </c>
      <c r="J2934" s="6"/>
      <c r="K2934" s="6"/>
      <c r="L2934" s="6" t="s">
        <v>3689</v>
      </c>
      <c r="M2934" s="6"/>
      <c r="N2934" s="6" t="s">
        <v>3690</v>
      </c>
      <c r="O2934" s="6" t="str">
        <f>HYPERLINK("https://ceds.ed.gov/cedselementdetails.aspx?termid=5931")</f>
        <v>https://ceds.ed.gov/cedselementdetails.aspx?termid=5931</v>
      </c>
      <c r="P2934" s="6" t="str">
        <f>HYPERLINK("https://ceds.ed.gov/elementComment.aspx?elementName=Learning Resource Text Complexity System &amp;elementID=5931", "Click here to submit comment")</f>
        <v>Click here to submit comment</v>
      </c>
    </row>
    <row r="2935" spans="1:16" ht="45">
      <c r="A2935" s="6" t="s">
        <v>6917</v>
      </c>
      <c r="B2935" s="6" t="s">
        <v>6866</v>
      </c>
      <c r="C2935" s="6"/>
      <c r="D2935" s="6" t="s">
        <v>3691</v>
      </c>
      <c r="E2935" s="6" t="s">
        <v>3692</v>
      </c>
      <c r="F2935" s="6" t="s">
        <v>13</v>
      </c>
      <c r="G2935" s="6"/>
      <c r="H2935" s="6"/>
      <c r="I2935" s="6" t="s">
        <v>100</v>
      </c>
      <c r="J2935" s="6"/>
      <c r="K2935" s="6"/>
      <c r="L2935" s="6" t="s">
        <v>3693</v>
      </c>
      <c r="M2935" s="6"/>
      <c r="N2935" s="6" t="s">
        <v>3694</v>
      </c>
      <c r="O2935" s="6" t="str">
        <f>HYPERLINK("https://ceds.ed.gov/cedselementdetails.aspx?termid=5930")</f>
        <v>https://ceds.ed.gov/cedselementdetails.aspx?termid=5930</v>
      </c>
      <c r="P2935" s="6" t="str">
        <f>HYPERLINK("https://ceds.ed.gov/elementComment.aspx?elementName=Learning Resource Text Complexity Value &amp;elementID=5930", "Click here to submit comment")</f>
        <v>Click here to submit comment</v>
      </c>
    </row>
    <row r="2936" spans="1:16" ht="60">
      <c r="A2936" s="6" t="s">
        <v>6917</v>
      </c>
      <c r="B2936" s="6" t="s">
        <v>6866</v>
      </c>
      <c r="C2936" s="6"/>
      <c r="D2936" s="6" t="s">
        <v>3695</v>
      </c>
      <c r="E2936" s="6" t="s">
        <v>3696</v>
      </c>
      <c r="F2936" s="6" t="s">
        <v>13</v>
      </c>
      <c r="G2936" s="6"/>
      <c r="H2936" s="6" t="s">
        <v>66</v>
      </c>
      <c r="I2936" s="6" t="s">
        <v>3697</v>
      </c>
      <c r="J2936" s="6" t="s">
        <v>3698</v>
      </c>
      <c r="K2936" s="6"/>
      <c r="L2936" s="6" t="s">
        <v>3699</v>
      </c>
      <c r="M2936" s="6"/>
      <c r="N2936" s="6" t="s">
        <v>3700</v>
      </c>
      <c r="O2936" s="6" t="str">
        <f>HYPERLINK("https://ceds.ed.gov/cedselementdetails.aspx?termid=5925")</f>
        <v>https://ceds.ed.gov/cedselementdetails.aspx?termid=5925</v>
      </c>
      <c r="P2936" s="6" t="str">
        <f>HYPERLINK("https://ceds.ed.gov/elementComment.aspx?elementName=Learning Resource Time Required &amp;elementID=5925", "Click here to submit comment")</f>
        <v>Click here to submit comment</v>
      </c>
    </row>
    <row r="2937" spans="1:16" ht="30">
      <c r="A2937" s="6" t="s">
        <v>6917</v>
      </c>
      <c r="B2937" s="6" t="s">
        <v>6866</v>
      </c>
      <c r="C2937" s="6"/>
      <c r="D2937" s="6" t="s">
        <v>3701</v>
      </c>
      <c r="E2937" s="6" t="s">
        <v>3702</v>
      </c>
      <c r="F2937" s="6" t="s">
        <v>13</v>
      </c>
      <c r="G2937" s="6"/>
      <c r="H2937" s="6"/>
      <c r="I2937" s="6" t="s">
        <v>100</v>
      </c>
      <c r="J2937" s="6"/>
      <c r="K2937" s="6"/>
      <c r="L2937" s="6" t="s">
        <v>3703</v>
      </c>
      <c r="M2937" s="6"/>
      <c r="N2937" s="6" t="s">
        <v>3704</v>
      </c>
      <c r="O2937" s="6" t="str">
        <f>HYPERLINK("https://ceds.ed.gov/cedselementdetails.aspx?termid=5912")</f>
        <v>https://ceds.ed.gov/cedselementdetails.aspx?termid=5912</v>
      </c>
      <c r="P2937" s="6" t="str">
        <f>HYPERLINK("https://ceds.ed.gov/elementComment.aspx?elementName=Learning Resource Title &amp;elementID=5912", "Click here to submit comment")</f>
        <v>Click here to submit comment</v>
      </c>
    </row>
    <row r="2938" spans="1:16" ht="409.5">
      <c r="A2938" s="6" t="s">
        <v>6917</v>
      </c>
      <c r="B2938" s="6" t="s">
        <v>6866</v>
      </c>
      <c r="C2938" s="6"/>
      <c r="D2938" s="6" t="s">
        <v>3705</v>
      </c>
      <c r="E2938" s="6" t="s">
        <v>3706</v>
      </c>
      <c r="F2938" s="7" t="s">
        <v>6567</v>
      </c>
      <c r="G2938" s="6"/>
      <c r="H2938" s="6" t="s">
        <v>66</v>
      </c>
      <c r="I2938" s="6"/>
      <c r="J2938" s="6" t="s">
        <v>3621</v>
      </c>
      <c r="K2938" s="6" t="s">
        <v>3707</v>
      </c>
      <c r="L2938" s="6" t="s">
        <v>3708</v>
      </c>
      <c r="M2938" s="6"/>
      <c r="N2938" s="6" t="s">
        <v>3709</v>
      </c>
      <c r="O2938" s="6" t="str">
        <f>HYPERLINK("https://ceds.ed.gov/cedselementdetails.aspx?termid=5929")</f>
        <v>https://ceds.ed.gov/cedselementdetails.aspx?termid=5929</v>
      </c>
      <c r="P2938" s="6" t="str">
        <f>HYPERLINK("https://ceds.ed.gov/elementComment.aspx?elementName=Learning Resource Type &amp;elementID=5929", "Click here to submit comment")</f>
        <v>Click here to submit comment</v>
      </c>
    </row>
    <row r="2939" spans="1:16" ht="45">
      <c r="A2939" s="6" t="s">
        <v>6917</v>
      </c>
      <c r="B2939" s="6" t="s">
        <v>6866</v>
      </c>
      <c r="C2939" s="6"/>
      <c r="D2939" s="6" t="s">
        <v>3710</v>
      </c>
      <c r="E2939" s="6" t="s">
        <v>3711</v>
      </c>
      <c r="F2939" s="6" t="s">
        <v>13</v>
      </c>
      <c r="G2939" s="6"/>
      <c r="H2939" s="6"/>
      <c r="I2939" s="6" t="s">
        <v>308</v>
      </c>
      <c r="J2939" s="6"/>
      <c r="K2939" s="6"/>
      <c r="L2939" s="6" t="s">
        <v>3712</v>
      </c>
      <c r="M2939" s="6"/>
      <c r="N2939" s="6" t="s">
        <v>3713</v>
      </c>
      <c r="O2939" s="6" t="str">
        <f>HYPERLINK("https://ceds.ed.gov/cedselementdetails.aspx?termid=5927")</f>
        <v>https://ceds.ed.gov/cedselementdetails.aspx?termid=5927</v>
      </c>
      <c r="P2939" s="6" t="str">
        <f>HYPERLINK("https://ceds.ed.gov/elementComment.aspx?elementName=Learning Resource Typical Age Range Maximum &amp;elementID=5927", "Click here to submit comment")</f>
        <v>Click here to submit comment</v>
      </c>
    </row>
    <row r="2940" spans="1:16" ht="45">
      <c r="A2940" s="6" t="s">
        <v>6917</v>
      </c>
      <c r="B2940" s="6" t="s">
        <v>6866</v>
      </c>
      <c r="C2940" s="6"/>
      <c r="D2940" s="6" t="s">
        <v>3714</v>
      </c>
      <c r="E2940" s="6" t="s">
        <v>3715</v>
      </c>
      <c r="F2940" s="6" t="s">
        <v>13</v>
      </c>
      <c r="G2940" s="6"/>
      <c r="H2940" s="6"/>
      <c r="I2940" s="6" t="s">
        <v>308</v>
      </c>
      <c r="J2940" s="6"/>
      <c r="K2940" s="6"/>
      <c r="L2940" s="6" t="s">
        <v>3716</v>
      </c>
      <c r="M2940" s="6"/>
      <c r="N2940" s="6" t="s">
        <v>3717</v>
      </c>
      <c r="O2940" s="6" t="str">
        <f>HYPERLINK("https://ceds.ed.gov/cedselementdetails.aspx?termid=5926")</f>
        <v>https://ceds.ed.gov/cedselementdetails.aspx?termid=5926</v>
      </c>
      <c r="P2940" s="6" t="str">
        <f>HYPERLINK("https://ceds.ed.gov/elementComment.aspx?elementName=Learning Resource Typical Age Range Minimum &amp;elementID=5926", "Click here to submit comment")</f>
        <v>Click here to submit comment</v>
      </c>
    </row>
    <row r="2941" spans="1:16" ht="75">
      <c r="A2941" s="6" t="s">
        <v>6917</v>
      </c>
      <c r="B2941" s="6" t="s">
        <v>6866</v>
      </c>
      <c r="C2941" s="6"/>
      <c r="D2941" s="6" t="s">
        <v>3718</v>
      </c>
      <c r="E2941" s="6" t="s">
        <v>3719</v>
      </c>
      <c r="F2941" s="6" t="s">
        <v>13</v>
      </c>
      <c r="G2941" s="6"/>
      <c r="H2941" s="6"/>
      <c r="I2941" s="6" t="s">
        <v>93</v>
      </c>
      <c r="J2941" s="6"/>
      <c r="K2941" s="6"/>
      <c r="L2941" s="6" t="s">
        <v>3720</v>
      </c>
      <c r="M2941" s="6"/>
      <c r="N2941" s="6" t="s">
        <v>3721</v>
      </c>
      <c r="O2941" s="6" t="str">
        <f>HYPERLINK("https://ceds.ed.gov/cedselementdetails.aspx?termid=5911")</f>
        <v>https://ceds.ed.gov/cedselementdetails.aspx?termid=5911</v>
      </c>
      <c r="P2941" s="6" t="str">
        <f>HYPERLINK("https://ceds.ed.gov/elementComment.aspx?elementName=Learning Resource URL &amp;elementID=5911", "Click here to submit comment")</f>
        <v>Click here to submit comment</v>
      </c>
    </row>
    <row r="2942" spans="1:16" ht="45">
      <c r="A2942" s="6" t="s">
        <v>6917</v>
      </c>
      <c r="B2942" s="6" t="s">
        <v>6866</v>
      </c>
      <c r="C2942" s="6"/>
      <c r="D2942" s="6" t="s">
        <v>3722</v>
      </c>
      <c r="E2942" s="6" t="s">
        <v>3723</v>
      </c>
      <c r="F2942" s="6" t="s">
        <v>13</v>
      </c>
      <c r="G2942" s="6"/>
      <c r="H2942" s="6"/>
      <c r="I2942" s="6" t="s">
        <v>93</v>
      </c>
      <c r="J2942" s="6"/>
      <c r="K2942" s="6" t="s">
        <v>3724</v>
      </c>
      <c r="L2942" s="6" t="s">
        <v>3725</v>
      </c>
      <c r="M2942" s="6"/>
      <c r="N2942" s="6" t="s">
        <v>3726</v>
      </c>
      <c r="O2942" s="6" t="str">
        <f>HYPERLINK("https://ceds.ed.gov/cedselementdetails.aspx?termid=5922")</f>
        <v>https://ceds.ed.gov/cedselementdetails.aspx?termid=5922</v>
      </c>
      <c r="P2942" s="6" t="str">
        <f>HYPERLINK("https://ceds.ed.gov/elementComment.aspx?elementName=Learning Resource Use Rights URL &amp;elementID=5922", "Click here to submit comment")</f>
        <v>Click here to submit comment</v>
      </c>
    </row>
    <row r="2943" spans="1:16" ht="30">
      <c r="A2943" s="6" t="s">
        <v>6917</v>
      </c>
      <c r="B2943" s="6" t="s">
        <v>6866</v>
      </c>
      <c r="C2943" s="6"/>
      <c r="D2943" s="6" t="s">
        <v>3727</v>
      </c>
      <c r="E2943" s="6" t="s">
        <v>3728</v>
      </c>
      <c r="F2943" s="6" t="s">
        <v>13</v>
      </c>
      <c r="G2943" s="6"/>
      <c r="H2943" s="6" t="s">
        <v>66</v>
      </c>
      <c r="I2943" s="6" t="s">
        <v>100</v>
      </c>
      <c r="J2943" s="6" t="s">
        <v>1820</v>
      </c>
      <c r="K2943" s="6"/>
      <c r="L2943" s="6" t="s">
        <v>3729</v>
      </c>
      <c r="M2943" s="6"/>
      <c r="N2943" s="6" t="s">
        <v>3730</v>
      </c>
      <c r="O2943" s="6" t="str">
        <f>HYPERLINK("https://ceds.ed.gov/cedselementdetails.aspx?termid=6182")</f>
        <v>https://ceds.ed.gov/cedselementdetails.aspx?termid=6182</v>
      </c>
      <c r="P2943" s="6" t="str">
        <f>HYPERLINK("https://ceds.ed.gov/elementComment.aspx?elementName=Learning Resource Version &amp;elementID=6182", "Click here to submit comment")</f>
        <v>Click here to submit comment</v>
      </c>
    </row>
    <row r="2944" spans="1:16" ht="45">
      <c r="A2944" s="6" t="s">
        <v>6917</v>
      </c>
      <c r="B2944" s="6" t="s">
        <v>6866</v>
      </c>
      <c r="C2944" s="6"/>
      <c r="D2944" s="6" t="s">
        <v>3804</v>
      </c>
      <c r="E2944" s="6" t="s">
        <v>3805</v>
      </c>
      <c r="F2944" s="6" t="s">
        <v>13</v>
      </c>
      <c r="G2944" s="6"/>
      <c r="H2944" s="6" t="s">
        <v>3</v>
      </c>
      <c r="I2944" s="6" t="s">
        <v>93</v>
      </c>
      <c r="J2944" s="6"/>
      <c r="K2944" s="6"/>
      <c r="L2944" s="6" t="s">
        <v>3806</v>
      </c>
      <c r="M2944" s="6"/>
      <c r="N2944" s="6" t="s">
        <v>3807</v>
      </c>
      <c r="O2944" s="6" t="str">
        <f>HYPERLINK("https://ceds.ed.gov/cedselementdetails.aspx?termid=5871")</f>
        <v>https://ceds.ed.gov/cedselementdetails.aspx?termid=5871</v>
      </c>
      <c r="P2944" s="6" t="str">
        <f>HYPERLINK("https://ceds.ed.gov/elementComment.aspx?elementName=Learning Standard Item Association Identifier &amp;elementID=5871", "Click here to submit comment")</f>
        <v>Click here to submit comment</v>
      </c>
    </row>
    <row r="2945" spans="1:16" ht="165">
      <c r="A2945" s="16" t="s">
        <v>6917</v>
      </c>
      <c r="B2945" s="16" t="s">
        <v>6866</v>
      </c>
      <c r="C2945" s="16"/>
      <c r="D2945" s="16" t="s">
        <v>3816</v>
      </c>
      <c r="E2945" s="16" t="s">
        <v>3817</v>
      </c>
      <c r="F2945" s="17" t="s">
        <v>6568</v>
      </c>
      <c r="G2945" s="16"/>
      <c r="H2945" s="16" t="s">
        <v>66</v>
      </c>
      <c r="I2945" s="16"/>
      <c r="J2945" s="16" t="s">
        <v>848</v>
      </c>
      <c r="K2945" s="6" t="s">
        <v>3818</v>
      </c>
      <c r="L2945" s="16" t="s">
        <v>3820</v>
      </c>
      <c r="M2945" s="16"/>
      <c r="N2945" s="16" t="s">
        <v>3821</v>
      </c>
      <c r="O2945" s="16" t="str">
        <f>HYPERLINK("https://ceds.ed.gov/cedselementdetails.aspx?termid=5869")</f>
        <v>https://ceds.ed.gov/cedselementdetails.aspx?termid=5869</v>
      </c>
      <c r="P2945" s="16" t="str">
        <f>HYPERLINK("https://ceds.ed.gov/elementComment.aspx?elementName=Learning Standard Item Association Type &amp;elementID=5869", "Click here to submit comment")</f>
        <v>Click here to submit comment</v>
      </c>
    </row>
    <row r="2946" spans="1:16" ht="135">
      <c r="A2946" s="16"/>
      <c r="B2946" s="16"/>
      <c r="C2946" s="16"/>
      <c r="D2946" s="16"/>
      <c r="E2946" s="16"/>
      <c r="F2946" s="16"/>
      <c r="G2946" s="16"/>
      <c r="H2946" s="16"/>
      <c r="I2946" s="16"/>
      <c r="J2946" s="16"/>
      <c r="K2946" s="6" t="s">
        <v>3819</v>
      </c>
      <c r="L2946" s="16"/>
      <c r="M2946" s="16"/>
      <c r="N2946" s="16"/>
      <c r="O2946" s="16"/>
      <c r="P2946" s="16"/>
    </row>
    <row r="2947" spans="1:16" ht="60">
      <c r="A2947" s="6" t="s">
        <v>6917</v>
      </c>
      <c r="B2947" s="6" t="s">
        <v>6866</v>
      </c>
      <c r="C2947" s="6" t="s">
        <v>6867</v>
      </c>
      <c r="D2947" s="6" t="s">
        <v>3653</v>
      </c>
      <c r="E2947" s="6" t="s">
        <v>3654</v>
      </c>
      <c r="F2947" s="6" t="s">
        <v>13</v>
      </c>
      <c r="G2947" s="6"/>
      <c r="H2947" s="6" t="s">
        <v>54</v>
      </c>
      <c r="I2947" s="6" t="s">
        <v>575</v>
      </c>
      <c r="J2947" s="6"/>
      <c r="K2947" s="6"/>
      <c r="L2947" s="6" t="s">
        <v>3655</v>
      </c>
      <c r="M2947" s="6"/>
      <c r="N2947" s="6" t="s">
        <v>3656</v>
      </c>
      <c r="O2947" s="6" t="str">
        <f>HYPERLINK("https://ceds.ed.gov/cedselementdetails.aspx?termid=6369")</f>
        <v>https://ceds.ed.gov/cedselementdetails.aspx?termid=6369</v>
      </c>
      <c r="P2947" s="6" t="str">
        <f>HYPERLINK("https://ceds.ed.gov/elementComment.aspx?elementName=Learning Resource Peer Rating Sample Size &amp;elementID=6369", "Click here to submit comment")</f>
        <v>Click here to submit comment</v>
      </c>
    </row>
    <row r="2948" spans="1:16" ht="90">
      <c r="A2948" s="6" t="s">
        <v>6917</v>
      </c>
      <c r="B2948" s="6" t="s">
        <v>6866</v>
      </c>
      <c r="C2948" s="6" t="s">
        <v>6867</v>
      </c>
      <c r="D2948" s="6" t="s">
        <v>3657</v>
      </c>
      <c r="E2948" s="6" t="s">
        <v>3658</v>
      </c>
      <c r="F2948" s="6" t="s">
        <v>13</v>
      </c>
      <c r="G2948" s="6"/>
      <c r="H2948" s="6"/>
      <c r="I2948" s="6" t="s">
        <v>957</v>
      </c>
      <c r="J2948" s="6"/>
      <c r="K2948" s="6"/>
      <c r="L2948" s="6" t="s">
        <v>3659</v>
      </c>
      <c r="M2948" s="6"/>
      <c r="N2948" s="6" t="s">
        <v>3660</v>
      </c>
      <c r="O2948" s="6" t="str">
        <f>HYPERLINK("https://ceds.ed.gov/cedselementdetails.aspx?termid=6161")</f>
        <v>https://ceds.ed.gov/cedselementdetails.aspx?termid=6161</v>
      </c>
      <c r="P2948" s="6" t="str">
        <f>HYPERLINK("https://ceds.ed.gov/elementComment.aspx?elementName=Learning Resource Peer Rating Value &amp;elementID=6161", "Click here to submit comment")</f>
        <v>Click here to submit comment</v>
      </c>
    </row>
    <row r="2949" spans="1:16" ht="30">
      <c r="A2949" s="6" t="s">
        <v>6917</v>
      </c>
      <c r="B2949" s="6" t="s">
        <v>6866</v>
      </c>
      <c r="C2949" s="6" t="s">
        <v>6867</v>
      </c>
      <c r="D2949" s="6" t="s">
        <v>4435</v>
      </c>
      <c r="E2949" s="6" t="s">
        <v>4436</v>
      </c>
      <c r="F2949" s="6" t="s">
        <v>13</v>
      </c>
      <c r="G2949" s="6"/>
      <c r="H2949" s="6"/>
      <c r="I2949" s="6" t="s">
        <v>73</v>
      </c>
      <c r="J2949" s="6"/>
      <c r="K2949" s="6"/>
      <c r="L2949" s="6" t="s">
        <v>4437</v>
      </c>
      <c r="M2949" s="6"/>
      <c r="N2949" s="6" t="s">
        <v>4438</v>
      </c>
      <c r="O2949" s="6" t="str">
        <f>HYPERLINK("https://ceds.ed.gov/cedselementdetails.aspx?termid=6171")</f>
        <v>https://ceds.ed.gov/cedselementdetails.aspx?termid=6171</v>
      </c>
      <c r="P2949" s="6" t="str">
        <f>HYPERLINK("https://ceds.ed.gov/elementComment.aspx?elementName=Peer Rating Date &amp;elementID=6171", "Click here to submit comment")</f>
        <v>Click here to submit comment</v>
      </c>
    </row>
    <row r="2950" spans="1:16" ht="45">
      <c r="A2950" s="6" t="s">
        <v>6917</v>
      </c>
      <c r="B2950" s="6" t="s">
        <v>6868</v>
      </c>
      <c r="C2950" s="6"/>
      <c r="D2950" s="6" t="s">
        <v>4439</v>
      </c>
      <c r="E2950" s="6" t="s">
        <v>4440</v>
      </c>
      <c r="F2950" s="6" t="s">
        <v>13</v>
      </c>
      <c r="G2950" s="6"/>
      <c r="H2950" s="6"/>
      <c r="I2950" s="6" t="s">
        <v>957</v>
      </c>
      <c r="J2950" s="6"/>
      <c r="K2950" s="6"/>
      <c r="L2950" s="6" t="s">
        <v>4441</v>
      </c>
      <c r="M2950" s="6"/>
      <c r="N2950" s="6" t="s">
        <v>4442</v>
      </c>
      <c r="O2950" s="6" t="str">
        <f>HYPERLINK("https://ceds.ed.gov/cedselementdetails.aspx?termid=6162")</f>
        <v>https://ceds.ed.gov/cedselementdetails.aspx?termid=6162</v>
      </c>
      <c r="P2950" s="6" t="str">
        <f>HYPERLINK("https://ceds.ed.gov/elementComment.aspx?elementName=Peer Rating System Maximum Value &amp;elementID=6162", "Click here to submit comment")</f>
        <v>Click here to submit comment</v>
      </c>
    </row>
    <row r="2951" spans="1:16" ht="45">
      <c r="A2951" s="6" t="s">
        <v>6917</v>
      </c>
      <c r="B2951" s="6" t="s">
        <v>6868</v>
      </c>
      <c r="C2951" s="6"/>
      <c r="D2951" s="6" t="s">
        <v>4443</v>
      </c>
      <c r="E2951" s="6" t="s">
        <v>4444</v>
      </c>
      <c r="F2951" s="6" t="s">
        <v>13</v>
      </c>
      <c r="G2951" s="6"/>
      <c r="H2951" s="6"/>
      <c r="I2951" s="6" t="s">
        <v>957</v>
      </c>
      <c r="J2951" s="6"/>
      <c r="K2951" s="6"/>
      <c r="L2951" s="6" t="s">
        <v>4445</v>
      </c>
      <c r="M2951" s="6"/>
      <c r="N2951" s="6" t="s">
        <v>4446</v>
      </c>
      <c r="O2951" s="6" t="str">
        <f>HYPERLINK("https://ceds.ed.gov/cedselementdetails.aspx?termid=6163")</f>
        <v>https://ceds.ed.gov/cedselementdetails.aspx?termid=6163</v>
      </c>
      <c r="P2951" s="6" t="str">
        <f>HYPERLINK("https://ceds.ed.gov/elementComment.aspx?elementName=Peer Rating System Minimum Value &amp;elementID=6163", "Click here to submit comment")</f>
        <v>Click here to submit comment</v>
      </c>
    </row>
    <row r="2952" spans="1:16" ht="30">
      <c r="A2952" s="6" t="s">
        <v>6917</v>
      </c>
      <c r="B2952" s="6" t="s">
        <v>6868</v>
      </c>
      <c r="C2952" s="6"/>
      <c r="D2952" s="6" t="s">
        <v>4447</v>
      </c>
      <c r="E2952" s="6" t="s">
        <v>4448</v>
      </c>
      <c r="F2952" s="6" t="s">
        <v>13</v>
      </c>
      <c r="G2952" s="6"/>
      <c r="H2952" s="6"/>
      <c r="I2952" s="6" t="s">
        <v>106</v>
      </c>
      <c r="J2952" s="6"/>
      <c r="K2952" s="6"/>
      <c r="L2952" s="6" t="s">
        <v>4449</v>
      </c>
      <c r="M2952" s="6"/>
      <c r="N2952" s="6" t="s">
        <v>4450</v>
      </c>
      <c r="O2952" s="6" t="str">
        <f>HYPERLINK("https://ceds.ed.gov/cedselementdetails.aspx?termid=6160")</f>
        <v>https://ceds.ed.gov/cedselementdetails.aspx?termid=6160</v>
      </c>
      <c r="P2952" s="6" t="str">
        <f>HYPERLINK("https://ceds.ed.gov/elementComment.aspx?elementName=Peer Rating System Name &amp;elementID=6160", "Click here to submit comment")</f>
        <v>Click here to submit comment</v>
      </c>
    </row>
    <row r="2953" spans="1:16" ht="75">
      <c r="A2953" s="6" t="s">
        <v>6917</v>
      </c>
      <c r="B2953" s="6" t="s">
        <v>6868</v>
      </c>
      <c r="C2953" s="6"/>
      <c r="D2953" s="6" t="s">
        <v>4451</v>
      </c>
      <c r="E2953" s="6" t="s">
        <v>4452</v>
      </c>
      <c r="F2953" s="6" t="s">
        <v>13</v>
      </c>
      <c r="G2953" s="6"/>
      <c r="H2953" s="6"/>
      <c r="I2953" s="6" t="s">
        <v>957</v>
      </c>
      <c r="J2953" s="6"/>
      <c r="K2953" s="6"/>
      <c r="L2953" s="6" t="s">
        <v>4453</v>
      </c>
      <c r="M2953" s="6"/>
      <c r="N2953" s="6" t="s">
        <v>4454</v>
      </c>
      <c r="O2953" s="6" t="str">
        <f>HYPERLINK("https://ceds.ed.gov/cedselementdetails.aspx?termid=6164")</f>
        <v>https://ceds.ed.gov/cedselementdetails.aspx?termid=6164</v>
      </c>
      <c r="P2953" s="6" t="str">
        <f>HYPERLINK("https://ceds.ed.gov/elementComment.aspx?elementName=Peer Rating System Optimum Value &amp;elementID=6164", "Click here to submit comment")</f>
        <v>Click here to submit comment</v>
      </c>
    </row>
    <row r="2954" spans="1:16" ht="45">
      <c r="A2954" s="6" t="s">
        <v>6918</v>
      </c>
      <c r="B2954" s="6" t="s">
        <v>6919</v>
      </c>
      <c r="C2954" s="6"/>
      <c r="D2954" s="6" t="s">
        <v>1425</v>
      </c>
      <c r="E2954" s="6" t="s">
        <v>1426</v>
      </c>
      <c r="F2954" s="6" t="s">
        <v>13</v>
      </c>
      <c r="G2954" s="6"/>
      <c r="H2954" s="6"/>
      <c r="I2954" s="6" t="s">
        <v>106</v>
      </c>
      <c r="J2954" s="6"/>
      <c r="K2954" s="6"/>
      <c r="L2954" s="6" t="s">
        <v>1427</v>
      </c>
      <c r="M2954" s="6"/>
      <c r="N2954" s="6" t="s">
        <v>1428</v>
      </c>
      <c r="O2954" s="6" t="str">
        <f>HYPERLINK("https://ceds.ed.gov/cedselementdetails.aspx?termid=6122")</f>
        <v>https://ceds.ed.gov/cedselementdetails.aspx?termid=6122</v>
      </c>
      <c r="P2954" s="6" t="str">
        <f>HYPERLINK("https://ceds.ed.gov/elementComment.aspx?elementName=Authentication Identity Provider Name &amp;elementID=6122", "Click here to submit comment")</f>
        <v>Click here to submit comment</v>
      </c>
    </row>
    <row r="2955" spans="1:16" ht="45">
      <c r="A2955" s="6" t="s">
        <v>6918</v>
      </c>
      <c r="B2955" s="6" t="s">
        <v>6919</v>
      </c>
      <c r="C2955" s="6"/>
      <c r="D2955" s="6" t="s">
        <v>1433</v>
      </c>
      <c r="E2955" s="6" t="s">
        <v>1434</v>
      </c>
      <c r="F2955" s="6" t="s">
        <v>13</v>
      </c>
      <c r="G2955" s="6"/>
      <c r="H2955" s="6"/>
      <c r="I2955" s="6" t="s">
        <v>93</v>
      </c>
      <c r="J2955" s="6"/>
      <c r="K2955" s="6"/>
      <c r="L2955" s="6" t="s">
        <v>1435</v>
      </c>
      <c r="M2955" s="6"/>
      <c r="N2955" s="6" t="s">
        <v>1436</v>
      </c>
      <c r="O2955" s="6" t="str">
        <f>HYPERLINK("https://ceds.ed.gov/cedselementdetails.aspx?termid=6123")</f>
        <v>https://ceds.ed.gov/cedselementdetails.aspx?termid=6123</v>
      </c>
      <c r="P2955" s="6" t="str">
        <f>HYPERLINK("https://ceds.ed.gov/elementComment.aspx?elementName=Authentication Identity Provider URI &amp;elementID=6123", "Click here to submit comment")</f>
        <v>Click here to submit comment</v>
      </c>
    </row>
    <row r="2956" spans="1:16" ht="45">
      <c r="A2956" s="6" t="s">
        <v>6918</v>
      </c>
      <c r="B2956" s="6" t="s">
        <v>6919</v>
      </c>
      <c r="C2956" s="6"/>
      <c r="D2956" s="6" t="s">
        <v>1421</v>
      </c>
      <c r="E2956" s="6" t="s">
        <v>1422</v>
      </c>
      <c r="F2956" s="6" t="s">
        <v>13</v>
      </c>
      <c r="G2956" s="6"/>
      <c r="H2956" s="6"/>
      <c r="I2956" s="6" t="s">
        <v>106</v>
      </c>
      <c r="J2956" s="6"/>
      <c r="K2956" s="6"/>
      <c r="L2956" s="6" t="s">
        <v>1423</v>
      </c>
      <c r="M2956" s="6"/>
      <c r="N2956" s="6" t="s">
        <v>1424</v>
      </c>
      <c r="O2956" s="6" t="str">
        <f>HYPERLINK("https://ceds.ed.gov/cedselementdetails.aspx?termid=6124")</f>
        <v>https://ceds.ed.gov/cedselementdetails.aspx?termid=6124</v>
      </c>
      <c r="P2956" s="6" t="str">
        <f>HYPERLINK("https://ceds.ed.gov/elementComment.aspx?elementName=Authentication Identity Provider Login Identifier &amp;elementID=6124", "Click here to submit comment")</f>
        <v>Click here to submit comment</v>
      </c>
    </row>
    <row r="2957" spans="1:16" ht="60">
      <c r="A2957" s="6" t="s">
        <v>6918</v>
      </c>
      <c r="B2957" s="6" t="s">
        <v>6919</v>
      </c>
      <c r="C2957" s="6"/>
      <c r="D2957" s="6" t="s">
        <v>1429</v>
      </c>
      <c r="E2957" s="6" t="s">
        <v>1430</v>
      </c>
      <c r="F2957" s="6" t="s">
        <v>13</v>
      </c>
      <c r="G2957" s="6"/>
      <c r="H2957" s="6"/>
      <c r="I2957" s="6" t="s">
        <v>73</v>
      </c>
      <c r="J2957" s="6"/>
      <c r="K2957" s="6"/>
      <c r="L2957" s="6" t="s">
        <v>1431</v>
      </c>
      <c r="M2957" s="6"/>
      <c r="N2957" s="6" t="s">
        <v>1432</v>
      </c>
      <c r="O2957" s="6" t="str">
        <f>HYPERLINK("https://ceds.ed.gov/cedselementdetails.aspx?termid=6125")</f>
        <v>https://ceds.ed.gov/cedselementdetails.aspx?termid=6125</v>
      </c>
      <c r="P2957" s="6" t="str">
        <f>HYPERLINK("https://ceds.ed.gov/elementComment.aspx?elementName=Authentication Identity Provider Start Date &amp;elementID=6125", "Click here to submit comment")</f>
        <v>Click here to submit comment</v>
      </c>
    </row>
    <row r="2958" spans="1:16" ht="60">
      <c r="A2958" s="6" t="s">
        <v>6918</v>
      </c>
      <c r="B2958" s="6" t="s">
        <v>6919</v>
      </c>
      <c r="C2958" s="6"/>
      <c r="D2958" s="6" t="s">
        <v>1416</v>
      </c>
      <c r="E2958" s="6" t="s">
        <v>1417</v>
      </c>
      <c r="F2958" s="6" t="s">
        <v>13</v>
      </c>
      <c r="G2958" s="6"/>
      <c r="H2958" s="6"/>
      <c r="I2958" s="6" t="s">
        <v>73</v>
      </c>
      <c r="J2958" s="6"/>
      <c r="K2958" s="6"/>
      <c r="L2958" s="6" t="s">
        <v>1419</v>
      </c>
      <c r="M2958" s="6"/>
      <c r="N2958" s="6" t="s">
        <v>1420</v>
      </c>
      <c r="O2958" s="6" t="str">
        <f>HYPERLINK("https://ceds.ed.gov/cedselementdetails.aspx?termid=6126")</f>
        <v>https://ceds.ed.gov/cedselementdetails.aspx?termid=6126</v>
      </c>
      <c r="P2958" s="6" t="str">
        <f>HYPERLINK("https://ceds.ed.gov/elementComment.aspx?elementName=Authentication Identity Provider End Date &amp;elementID=6126", "Click here to submit comment")</f>
        <v>Click here to submit comment</v>
      </c>
    </row>
    <row r="2959" spans="1:16" ht="45">
      <c r="A2959" s="6" t="s">
        <v>6918</v>
      </c>
      <c r="B2959" s="6" t="s">
        <v>6920</v>
      </c>
      <c r="C2959" s="6"/>
      <c r="D2959" s="6" t="s">
        <v>1437</v>
      </c>
      <c r="E2959" s="6" t="s">
        <v>1438</v>
      </c>
      <c r="F2959" s="6" t="s">
        <v>13</v>
      </c>
      <c r="G2959" s="6"/>
      <c r="H2959" s="6"/>
      <c r="I2959" s="6" t="s">
        <v>1440</v>
      </c>
      <c r="J2959" s="6"/>
      <c r="K2959" s="6"/>
      <c r="L2959" s="6" t="s">
        <v>1441</v>
      </c>
      <c r="M2959" s="6"/>
      <c r="N2959" s="6" t="s">
        <v>1442</v>
      </c>
      <c r="O2959" s="6" t="str">
        <f>HYPERLINK("https://ceds.ed.gov/cedselementdetails.aspx?termid=6127")</f>
        <v>https://ceds.ed.gov/cedselementdetails.aspx?termid=6127</v>
      </c>
      <c r="P2959" s="6" t="str">
        <f>HYPERLINK("https://ceds.ed.gov/elementComment.aspx?elementName=Authorization Application Name &amp;elementID=6127", "Click here to submit comment")</f>
        <v>Click here to submit comment</v>
      </c>
    </row>
    <row r="2960" spans="1:16" ht="45">
      <c r="A2960" s="6" t="s">
        <v>6918</v>
      </c>
      <c r="B2960" s="6" t="s">
        <v>6920</v>
      </c>
      <c r="C2960" s="6"/>
      <c r="D2960" s="6" t="s">
        <v>1447</v>
      </c>
      <c r="E2960" s="6" t="s">
        <v>1448</v>
      </c>
      <c r="F2960" s="6" t="s">
        <v>13</v>
      </c>
      <c r="G2960" s="6"/>
      <c r="H2960" s="6"/>
      <c r="I2960" s="6" t="s">
        <v>93</v>
      </c>
      <c r="J2960" s="6"/>
      <c r="K2960" s="6"/>
      <c r="L2960" s="6" t="s">
        <v>1449</v>
      </c>
      <c r="M2960" s="6"/>
      <c r="N2960" s="6" t="s">
        <v>1450</v>
      </c>
      <c r="O2960" s="6" t="str">
        <f>HYPERLINK("https://ceds.ed.gov/cedselementdetails.aspx?termid=6128")</f>
        <v>https://ceds.ed.gov/cedselementdetails.aspx?termid=6128</v>
      </c>
      <c r="P2960" s="6" t="str">
        <f>HYPERLINK("https://ceds.ed.gov/elementComment.aspx?elementName=Authorization Application URI &amp;elementID=6128", "Click here to submit comment")</f>
        <v>Click here to submit comment</v>
      </c>
    </row>
    <row r="2961" spans="1:16" ht="45">
      <c r="A2961" s="6" t="s">
        <v>6918</v>
      </c>
      <c r="B2961" s="6" t="s">
        <v>6920</v>
      </c>
      <c r="C2961" s="6"/>
      <c r="D2961" s="6" t="s">
        <v>1443</v>
      </c>
      <c r="E2961" s="6" t="s">
        <v>1444</v>
      </c>
      <c r="F2961" s="6" t="s">
        <v>13</v>
      </c>
      <c r="G2961" s="6"/>
      <c r="H2961" s="6"/>
      <c r="I2961" s="6" t="s">
        <v>106</v>
      </c>
      <c r="J2961" s="6"/>
      <c r="K2961" s="6"/>
      <c r="L2961" s="6" t="s">
        <v>1445</v>
      </c>
      <c r="M2961" s="6"/>
      <c r="N2961" s="6" t="s">
        <v>1446</v>
      </c>
      <c r="O2961" s="6" t="str">
        <f>HYPERLINK("https://ceds.ed.gov/cedselementdetails.aspx?termid=6129")</f>
        <v>https://ceds.ed.gov/cedselementdetails.aspx?termid=6129</v>
      </c>
      <c r="P2961" s="6" t="str">
        <f>HYPERLINK("https://ceds.ed.gov/elementComment.aspx?elementName=Authorization Application Role Name &amp;elementID=6129", "Click here to submit comment")</f>
        <v>Click here to submit comment</v>
      </c>
    </row>
    <row r="2962" spans="1:16" ht="45">
      <c r="A2962" s="6" t="s">
        <v>6918</v>
      </c>
      <c r="B2962" s="6" t="s">
        <v>6920</v>
      </c>
      <c r="C2962" s="6"/>
      <c r="D2962" s="6" t="s">
        <v>1455</v>
      </c>
      <c r="E2962" s="6" t="s">
        <v>1456</v>
      </c>
      <c r="F2962" s="6" t="s">
        <v>13</v>
      </c>
      <c r="G2962" s="6"/>
      <c r="H2962" s="6"/>
      <c r="I2962" s="6" t="s">
        <v>73</v>
      </c>
      <c r="J2962" s="6"/>
      <c r="K2962" s="6"/>
      <c r="L2962" s="6" t="s">
        <v>1457</v>
      </c>
      <c r="M2962" s="6"/>
      <c r="N2962" s="6" t="s">
        <v>1458</v>
      </c>
      <c r="O2962" s="6" t="str">
        <f>HYPERLINK("https://ceds.ed.gov/cedselementdetails.aspx?termid=6130")</f>
        <v>https://ceds.ed.gov/cedselementdetails.aspx?termid=6130</v>
      </c>
      <c r="P2962" s="6" t="str">
        <f>HYPERLINK("https://ceds.ed.gov/elementComment.aspx?elementName=Authorization Start Date &amp;elementID=6130", "Click here to submit comment")</f>
        <v>Click here to submit comment</v>
      </c>
    </row>
    <row r="2963" spans="1:16" ht="45">
      <c r="A2963" s="6" t="s">
        <v>6918</v>
      </c>
      <c r="B2963" s="6" t="s">
        <v>6920</v>
      </c>
      <c r="C2963" s="6"/>
      <c r="D2963" s="6" t="s">
        <v>1451</v>
      </c>
      <c r="E2963" s="6" t="s">
        <v>1452</v>
      </c>
      <c r="F2963" s="6" t="s">
        <v>13</v>
      </c>
      <c r="G2963" s="6"/>
      <c r="H2963" s="6"/>
      <c r="I2963" s="6" t="s">
        <v>73</v>
      </c>
      <c r="J2963" s="6"/>
      <c r="K2963" s="6"/>
      <c r="L2963" s="6" t="s">
        <v>1453</v>
      </c>
      <c r="M2963" s="6"/>
      <c r="N2963" s="6" t="s">
        <v>1454</v>
      </c>
      <c r="O2963" s="6" t="str">
        <f>HYPERLINK("https://ceds.ed.gov/cedselementdetails.aspx?termid=6131")</f>
        <v>https://ceds.ed.gov/cedselementdetails.aspx?termid=6131</v>
      </c>
      <c r="P2963" s="6" t="str">
        <f>HYPERLINK("https://ceds.ed.gov/elementComment.aspx?elementName=Authorization End Date &amp;elementID=6131", "Click here to submit comment")</f>
        <v>Click here to submit comment</v>
      </c>
    </row>
  </sheetData>
  <autoFilter ref="A1:P1"/>
  <mergeCells count="60">
    <mergeCell ref="J2945:J2946"/>
    <mergeCell ref="L2945:L2946"/>
    <mergeCell ref="M2945:M2946"/>
    <mergeCell ref="N2945:N2946"/>
    <mergeCell ref="O2945:O2946"/>
    <mergeCell ref="P2945:P2946"/>
    <mergeCell ref="P2895:P2896"/>
    <mergeCell ref="A2945:A2946"/>
    <mergeCell ref="B2945:B2946"/>
    <mergeCell ref="C2945:C2946"/>
    <mergeCell ref="D2945:D2946"/>
    <mergeCell ref="E2945:E2946"/>
    <mergeCell ref="F2945:F2946"/>
    <mergeCell ref="G2945:G2946"/>
    <mergeCell ref="H2945:H2946"/>
    <mergeCell ref="I2945:I2946"/>
    <mergeCell ref="I2895:I2896"/>
    <mergeCell ref="J2895:J2896"/>
    <mergeCell ref="L2895:L2896"/>
    <mergeCell ref="M2895:M2896"/>
    <mergeCell ref="N2895:N2896"/>
    <mergeCell ref="O2895:O2896"/>
    <mergeCell ref="O2806:O2807"/>
    <mergeCell ref="P2806:P2807"/>
    <mergeCell ref="A2895:A2896"/>
    <mergeCell ref="B2895:B2896"/>
    <mergeCell ref="C2895:C2896"/>
    <mergeCell ref="D2895:D2896"/>
    <mergeCell ref="E2895:E2896"/>
    <mergeCell ref="F2895:F2896"/>
    <mergeCell ref="G2895:G2896"/>
    <mergeCell ref="H2895:H2896"/>
    <mergeCell ref="H2806:H2807"/>
    <mergeCell ref="I2806:I2807"/>
    <mergeCell ref="J2806:J2807"/>
    <mergeCell ref="L2806:L2807"/>
    <mergeCell ref="M2806:M2807"/>
    <mergeCell ref="N2806:N2807"/>
    <mergeCell ref="N1929:N1930"/>
    <mergeCell ref="O1929:O1930"/>
    <mergeCell ref="P1929:P1930"/>
    <mergeCell ref="A2806:A2807"/>
    <mergeCell ref="B2806:B2807"/>
    <mergeCell ref="C2806:C2807"/>
    <mergeCell ref="D2806:D2807"/>
    <mergeCell ref="E2806:E2807"/>
    <mergeCell ref="F2806:F2807"/>
    <mergeCell ref="G2806:G2807"/>
    <mergeCell ref="G1929:G1930"/>
    <mergeCell ref="H1929:H1930"/>
    <mergeCell ref="I1929:I1930"/>
    <mergeCell ref="J1929:J1930"/>
    <mergeCell ref="L1929:L1930"/>
    <mergeCell ref="M1929:M1930"/>
    <mergeCell ref="A1929:A1930"/>
    <mergeCell ref="B1929:B1930"/>
    <mergeCell ref="C1929:C1930"/>
    <mergeCell ref="D1929:D1930"/>
    <mergeCell ref="E1929:E1930"/>
    <mergeCell ref="F1929:F1930"/>
  </mergeCells>
  <hyperlinks>
    <hyperlink ref="F75" r:id="rId1" display="languageCodes.aspx"/>
    <hyperlink ref="F327" r:id="rId2" display="languageCodes.aspx"/>
    <hyperlink ref="F485" r:id="rId3" display="languageCodes.aspx"/>
    <hyperlink ref="F504" r:id="rId4" display="languageCodes.aspx"/>
    <hyperlink ref="F949" r:id="rId5" display="languageCodes.aspx"/>
    <hyperlink ref="F1230" r:id="rId6" display="languageCodes.aspx"/>
    <hyperlink ref="F1245" r:id="rId7" display="ScedCourseCodes.aspx"/>
    <hyperlink ref="F1263" r:id="rId8" display="languageCodes.aspx"/>
    <hyperlink ref="F1351" r:id="rId9" display="languageCodes.aspx"/>
    <hyperlink ref="F1361" r:id="rId10" display="languageCodes.aspx"/>
    <hyperlink ref="F1490" r:id="rId11" display="languageCodes.aspx"/>
    <hyperlink ref="F1553" r:id="rId12" display="languageCodes.aspx"/>
    <hyperlink ref="F1560" r:id="rId13" display="languageCodes.aspx"/>
    <hyperlink ref="F1561" r:id="rId14" display="languageCodes.aspx"/>
    <hyperlink ref="F1593" r:id="rId15" display="languageCodes.aspx"/>
    <hyperlink ref="F1639" r:id="rId16" display="languageCodes.aspx"/>
    <hyperlink ref="F1759" r:id="rId17" display="languageCodes.aspx"/>
    <hyperlink ref="F1905" r:id="rId18" display="http://nces.ed.gov/ipeds/cipcode/browse.aspx?y=55"/>
    <hyperlink ref="F2006" r:id="rId19" display="http://nces.ed.gov/ipeds/cipcode/browse.aspx?y=55"/>
    <hyperlink ref="F2161" r:id="rId20" display="languageCodes.aspx"/>
    <hyperlink ref="F2235" r:id="rId21" display="http://nces.ed.gov/ipeds/cipcode/browse.aspx?y=55"/>
    <hyperlink ref="F2256" r:id="rId22" display="languageCodes.aspx"/>
    <hyperlink ref="F2260" r:id="rId23" display="ScedCourseCodes.aspx"/>
    <hyperlink ref="F2275" r:id="rId24" display="languageCodes.aspx"/>
    <hyperlink ref="F2482" r:id="rId25" display="languageCodes.aspx"/>
    <hyperlink ref="F2490" r:id="rId26" display="languageCodes.aspx"/>
    <hyperlink ref="F2635" r:id="rId27" display="languageCodes.aspx"/>
    <hyperlink ref="F2698" r:id="rId28" display="languageCodes.aspx"/>
    <hyperlink ref="F2705" r:id="rId29" display="languageCodes.aspx"/>
    <hyperlink ref="F2706" r:id="rId30" display="languageCodes.aspx"/>
    <hyperlink ref="F2738" r:id="rId31" display="languageCodes.aspx"/>
    <hyperlink ref="F2773" r:id="rId32" display="languageCodes.aspx"/>
    <hyperlink ref="F2792" r:id="rId33" display="languageCodes.aspx"/>
    <hyperlink ref="F2843" r:id="rId34" display="languageCodes.aspx"/>
    <hyperlink ref="F2860" r:id="rId35" display="languageCodes.aspx"/>
    <hyperlink ref="F2878" r:id="rId36" display="languageCodes.aspx"/>
    <hyperlink ref="F2927" r:id="rId37" display="languageCodes.aspx"/>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925"/>
  <sheetViews>
    <sheetView workbookViewId="0">
      <pane ySplit="1" topLeftCell="A2" activePane="bottomLeft" state="frozen"/>
      <selection pane="bottomLeft" activeCell="A2" sqref="A2"/>
    </sheetView>
  </sheetViews>
  <sheetFormatPr defaultRowHeight="15"/>
  <cols>
    <col min="1" max="1" width="11.5703125" customWidth="1"/>
    <col min="2" max="2" width="20.7109375" customWidth="1"/>
    <col min="3" max="3" width="42.140625" customWidth="1"/>
    <col min="4" max="4" width="11.28515625" customWidth="1"/>
    <col min="7" max="7" width="60.140625" customWidth="1"/>
  </cols>
  <sheetData>
    <row r="1" spans="1:7" ht="30">
      <c r="A1" s="13" t="s">
        <v>10056</v>
      </c>
      <c r="B1" s="13" t="s">
        <v>6697</v>
      </c>
      <c r="C1" s="13" t="s">
        <v>6698</v>
      </c>
      <c r="D1" s="13" t="s">
        <v>10057</v>
      </c>
      <c r="E1" s="13" t="s">
        <v>10058</v>
      </c>
      <c r="F1" s="13" t="s">
        <v>10059</v>
      </c>
      <c r="G1" s="13" t="s">
        <v>6699</v>
      </c>
    </row>
    <row r="2" spans="1:7" ht="30">
      <c r="A2" s="14" t="s">
        <v>6921</v>
      </c>
      <c r="B2" s="14" t="s">
        <v>6922</v>
      </c>
      <c r="C2" s="14" t="s">
        <v>6923</v>
      </c>
      <c r="D2" s="14" t="s">
        <v>6924</v>
      </c>
      <c r="E2" s="14" t="s">
        <v>6925</v>
      </c>
      <c r="F2" s="14" t="s">
        <v>6926</v>
      </c>
      <c r="G2" s="14" t="s">
        <v>6927</v>
      </c>
    </row>
    <row r="3" spans="1:7" ht="120">
      <c r="A3" s="14" t="s">
        <v>6921</v>
      </c>
      <c r="B3" s="14" t="s">
        <v>6928</v>
      </c>
      <c r="C3" s="14" t="s">
        <v>6929</v>
      </c>
      <c r="D3" s="14" t="s">
        <v>6930</v>
      </c>
      <c r="E3" s="14" t="s">
        <v>6931</v>
      </c>
      <c r="F3" s="14" t="s">
        <v>6932</v>
      </c>
      <c r="G3" s="14" t="s">
        <v>6933</v>
      </c>
    </row>
    <row r="4" spans="1:7" ht="45">
      <c r="A4" s="14" t="s">
        <v>6921</v>
      </c>
      <c r="B4" s="14" t="s">
        <v>6934</v>
      </c>
      <c r="C4" s="14" t="s">
        <v>6935</v>
      </c>
      <c r="D4" s="14" t="s">
        <v>6936</v>
      </c>
      <c r="E4" s="14" t="s">
        <v>6925</v>
      </c>
      <c r="F4" s="14" t="s">
        <v>6926</v>
      </c>
      <c r="G4" s="14" t="s">
        <v>6927</v>
      </c>
    </row>
    <row r="5" spans="1:7" ht="105">
      <c r="A5" s="14" t="s">
        <v>6921</v>
      </c>
      <c r="B5" s="14" t="s">
        <v>6937</v>
      </c>
      <c r="C5" s="14" t="s">
        <v>6938</v>
      </c>
      <c r="D5" s="14" t="s">
        <v>6939</v>
      </c>
      <c r="E5" s="14" t="s">
        <v>6931</v>
      </c>
      <c r="F5" s="14" t="s">
        <v>6932</v>
      </c>
      <c r="G5" s="14" t="s">
        <v>6940</v>
      </c>
    </row>
    <row r="6" spans="1:7" ht="120">
      <c r="A6" s="14" t="s">
        <v>6921</v>
      </c>
      <c r="B6" s="14" t="s">
        <v>6941</v>
      </c>
      <c r="C6" s="14" t="s">
        <v>6942</v>
      </c>
      <c r="D6" s="14" t="s">
        <v>6943</v>
      </c>
      <c r="E6" s="14" t="s">
        <v>6931</v>
      </c>
      <c r="F6" s="14" t="s">
        <v>6932</v>
      </c>
      <c r="G6" s="14" t="s">
        <v>6944</v>
      </c>
    </row>
    <row r="7" spans="1:7" ht="165">
      <c r="A7" s="14" t="s">
        <v>6921</v>
      </c>
      <c r="B7" s="14" t="s">
        <v>6945</v>
      </c>
      <c r="C7" s="14" t="s">
        <v>6946</v>
      </c>
      <c r="D7" s="14" t="s">
        <v>6947</v>
      </c>
      <c r="E7" s="14" t="s">
        <v>6931</v>
      </c>
      <c r="F7" s="14" t="s">
        <v>6932</v>
      </c>
      <c r="G7" s="14" t="s">
        <v>6948</v>
      </c>
    </row>
    <row r="8" spans="1:7" ht="120">
      <c r="A8" s="14" t="s">
        <v>6921</v>
      </c>
      <c r="B8" s="14" t="s">
        <v>6949</v>
      </c>
      <c r="C8" s="14" t="s">
        <v>6950</v>
      </c>
      <c r="D8" s="14" t="s">
        <v>6951</v>
      </c>
      <c r="E8" s="14" t="s">
        <v>6931</v>
      </c>
      <c r="F8" s="14" t="s">
        <v>6932</v>
      </c>
      <c r="G8" s="14" t="s">
        <v>6952</v>
      </c>
    </row>
    <row r="9" spans="1:7" ht="30">
      <c r="A9" s="14" t="s">
        <v>6921</v>
      </c>
      <c r="B9" s="14" t="s">
        <v>6953</v>
      </c>
      <c r="C9" s="14" t="s">
        <v>6954</v>
      </c>
      <c r="D9" s="14" t="s">
        <v>6955</v>
      </c>
      <c r="E9" s="14" t="s">
        <v>6956</v>
      </c>
      <c r="F9" s="14" t="s">
        <v>6957</v>
      </c>
      <c r="G9" s="14" t="s">
        <v>6927</v>
      </c>
    </row>
    <row r="10" spans="1:7" ht="45">
      <c r="A10" s="14" t="s">
        <v>6921</v>
      </c>
      <c r="B10" s="14" t="s">
        <v>6958</v>
      </c>
      <c r="C10" s="14" t="s">
        <v>6959</v>
      </c>
      <c r="D10" s="14" t="s">
        <v>6960</v>
      </c>
      <c r="E10" s="14" t="s">
        <v>6931</v>
      </c>
      <c r="F10" s="14" t="s">
        <v>6932</v>
      </c>
      <c r="G10" s="14" t="s">
        <v>6961</v>
      </c>
    </row>
    <row r="11" spans="1:7" ht="45">
      <c r="A11" s="14" t="s">
        <v>6921</v>
      </c>
      <c r="B11" s="14" t="s">
        <v>6962</v>
      </c>
      <c r="C11" s="14" t="s">
        <v>6963</v>
      </c>
      <c r="D11" s="14" t="s">
        <v>6964</v>
      </c>
      <c r="E11" s="14" t="s">
        <v>6925</v>
      </c>
      <c r="F11" s="14" t="s">
        <v>6965</v>
      </c>
      <c r="G11" s="14" t="s">
        <v>6927</v>
      </c>
    </row>
    <row r="12" spans="1:7" ht="150">
      <c r="A12" s="14" t="s">
        <v>6921</v>
      </c>
      <c r="B12" s="14" t="s">
        <v>6966</v>
      </c>
      <c r="C12" s="14" t="s">
        <v>6967</v>
      </c>
      <c r="D12" s="14" t="s">
        <v>6968</v>
      </c>
      <c r="E12" s="14" t="s">
        <v>6925</v>
      </c>
      <c r="F12" s="14" t="s">
        <v>6969</v>
      </c>
      <c r="G12" s="14" t="s">
        <v>6970</v>
      </c>
    </row>
    <row r="13" spans="1:7" ht="60">
      <c r="A13" s="14" t="s">
        <v>6921</v>
      </c>
      <c r="B13" s="14" t="s">
        <v>6971</v>
      </c>
      <c r="C13" s="14" t="s">
        <v>6972</v>
      </c>
      <c r="D13" s="14" t="s">
        <v>6973</v>
      </c>
      <c r="E13" s="14" t="s">
        <v>6931</v>
      </c>
      <c r="F13" s="14" t="s">
        <v>6932</v>
      </c>
      <c r="G13" s="14" t="s">
        <v>6974</v>
      </c>
    </row>
    <row r="14" spans="1:7" ht="409.5">
      <c r="A14" s="14" t="s">
        <v>6921</v>
      </c>
      <c r="B14" s="14" t="s">
        <v>6975</v>
      </c>
      <c r="C14" s="14" t="s">
        <v>6976</v>
      </c>
      <c r="D14" s="14" t="s">
        <v>6977</v>
      </c>
      <c r="E14" s="14" t="s">
        <v>6931</v>
      </c>
      <c r="F14" s="14" t="s">
        <v>6932</v>
      </c>
      <c r="G14" s="14" t="s">
        <v>6978</v>
      </c>
    </row>
    <row r="15" spans="1:7" ht="45">
      <c r="A15" s="14" t="s">
        <v>6921</v>
      </c>
      <c r="B15" s="14" t="s">
        <v>6979</v>
      </c>
      <c r="C15" s="14" t="s">
        <v>6980</v>
      </c>
      <c r="D15" s="14" t="s">
        <v>6981</v>
      </c>
      <c r="E15" s="14" t="s">
        <v>6956</v>
      </c>
      <c r="F15" s="14" t="s">
        <v>6957</v>
      </c>
      <c r="G15" s="14" t="s">
        <v>6927</v>
      </c>
    </row>
    <row r="16" spans="1:7" ht="30">
      <c r="A16" s="14" t="s">
        <v>6921</v>
      </c>
      <c r="B16" s="14" t="s">
        <v>6982</v>
      </c>
      <c r="C16" s="14" t="s">
        <v>6983</v>
      </c>
      <c r="D16" s="14" t="s">
        <v>6984</v>
      </c>
      <c r="E16" s="14" t="s">
        <v>6985</v>
      </c>
      <c r="F16" s="14" t="s">
        <v>6986</v>
      </c>
      <c r="G16" s="14" t="s">
        <v>6927</v>
      </c>
    </row>
    <row r="17" spans="1:7" ht="75">
      <c r="A17" s="14" t="s">
        <v>6921</v>
      </c>
      <c r="B17" s="14" t="s">
        <v>6987</v>
      </c>
      <c r="C17" s="14" t="s">
        <v>6988</v>
      </c>
      <c r="D17" s="14" t="s">
        <v>6989</v>
      </c>
      <c r="E17" s="14" t="s">
        <v>6931</v>
      </c>
      <c r="F17" s="14" t="s">
        <v>6932</v>
      </c>
      <c r="G17" s="14" t="s">
        <v>6990</v>
      </c>
    </row>
    <row r="18" spans="1:7" ht="45">
      <c r="A18" s="14" t="s">
        <v>6921</v>
      </c>
      <c r="B18" s="14" t="s">
        <v>6991</v>
      </c>
      <c r="C18" s="14" t="s">
        <v>6992</v>
      </c>
      <c r="D18" s="14" t="s">
        <v>6993</v>
      </c>
      <c r="E18" s="14" t="s">
        <v>6925</v>
      </c>
      <c r="F18" s="14" t="s">
        <v>6926</v>
      </c>
      <c r="G18" s="14" t="s">
        <v>6927</v>
      </c>
    </row>
    <row r="19" spans="1:7" ht="90">
      <c r="A19" s="14" t="s">
        <v>6921</v>
      </c>
      <c r="B19" s="14" t="s">
        <v>6994</v>
      </c>
      <c r="C19" s="14" t="s">
        <v>6995</v>
      </c>
      <c r="D19" s="14" t="s">
        <v>6996</v>
      </c>
      <c r="E19" s="14" t="s">
        <v>6925</v>
      </c>
      <c r="F19" s="14" t="s">
        <v>6926</v>
      </c>
      <c r="G19" s="14" t="s">
        <v>6927</v>
      </c>
    </row>
    <row r="20" spans="1:7" ht="45">
      <c r="A20" s="14" t="s">
        <v>6921</v>
      </c>
      <c r="B20" s="14" t="s">
        <v>6997</v>
      </c>
      <c r="C20" s="14" t="s">
        <v>6998</v>
      </c>
      <c r="D20" s="14" t="s">
        <v>6999</v>
      </c>
      <c r="E20" s="14" t="s">
        <v>6956</v>
      </c>
      <c r="F20" s="14" t="s">
        <v>6957</v>
      </c>
      <c r="G20" s="14" t="s">
        <v>6927</v>
      </c>
    </row>
    <row r="21" spans="1:7" ht="30">
      <c r="A21" s="14" t="s">
        <v>6921</v>
      </c>
      <c r="B21" s="14" t="s">
        <v>7000</v>
      </c>
      <c r="C21" s="14" t="s">
        <v>7001</v>
      </c>
      <c r="D21" s="14" t="s">
        <v>7002</v>
      </c>
      <c r="E21" s="14" t="s">
        <v>6956</v>
      </c>
      <c r="F21" s="14" t="s">
        <v>6957</v>
      </c>
      <c r="G21" s="14" t="s">
        <v>6927</v>
      </c>
    </row>
    <row r="22" spans="1:7" ht="45">
      <c r="A22" s="14" t="s">
        <v>6921</v>
      </c>
      <c r="B22" s="14" t="s">
        <v>7003</v>
      </c>
      <c r="C22" s="14" t="s">
        <v>7004</v>
      </c>
      <c r="D22" s="14" t="s">
        <v>7005</v>
      </c>
      <c r="E22" s="14" t="s">
        <v>7006</v>
      </c>
      <c r="F22" s="14" t="s">
        <v>7007</v>
      </c>
      <c r="G22" s="14" t="s">
        <v>6927</v>
      </c>
    </row>
    <row r="23" spans="1:7" ht="315">
      <c r="A23" s="14" t="s">
        <v>6921</v>
      </c>
      <c r="B23" s="14" t="s">
        <v>7008</v>
      </c>
      <c r="C23" s="14" t="s">
        <v>7009</v>
      </c>
      <c r="D23" s="14" t="s">
        <v>7010</v>
      </c>
      <c r="E23" s="14" t="s">
        <v>6931</v>
      </c>
      <c r="F23" s="14" t="s">
        <v>6932</v>
      </c>
      <c r="G23" s="14" t="s">
        <v>7011</v>
      </c>
    </row>
    <row r="24" spans="1:7" ht="45">
      <c r="A24" s="14" t="s">
        <v>6921</v>
      </c>
      <c r="B24" s="14" t="s">
        <v>7012</v>
      </c>
      <c r="C24" s="14" t="s">
        <v>7013</v>
      </c>
      <c r="D24" s="14" t="s">
        <v>7014</v>
      </c>
      <c r="E24" s="14" t="s">
        <v>6956</v>
      </c>
      <c r="F24" s="14" t="s">
        <v>6957</v>
      </c>
      <c r="G24" s="14" t="s">
        <v>6927</v>
      </c>
    </row>
    <row r="25" spans="1:7" ht="135">
      <c r="A25" s="14" t="s">
        <v>6921</v>
      </c>
      <c r="B25" s="14" t="s">
        <v>7015</v>
      </c>
      <c r="C25" s="14" t="s">
        <v>7016</v>
      </c>
      <c r="D25" s="14" t="s">
        <v>7017</v>
      </c>
      <c r="E25" s="14" t="s">
        <v>6931</v>
      </c>
      <c r="F25" s="14" t="s">
        <v>6932</v>
      </c>
      <c r="G25" s="14" t="s">
        <v>7018</v>
      </c>
    </row>
    <row r="26" spans="1:7" ht="30">
      <c r="A26" s="14" t="s">
        <v>6921</v>
      </c>
      <c r="B26" s="14" t="s">
        <v>7019</v>
      </c>
      <c r="C26" s="14" t="s">
        <v>7020</v>
      </c>
      <c r="D26" s="14" t="s">
        <v>7021</v>
      </c>
      <c r="E26" s="14" t="s">
        <v>7006</v>
      </c>
      <c r="F26" s="14" t="s">
        <v>7007</v>
      </c>
      <c r="G26" s="14" t="s">
        <v>6927</v>
      </c>
    </row>
    <row r="27" spans="1:7" ht="270">
      <c r="A27" s="14" t="s">
        <v>6921</v>
      </c>
      <c r="B27" s="14" t="s">
        <v>7022</v>
      </c>
      <c r="C27" s="14" t="s">
        <v>7023</v>
      </c>
      <c r="D27" s="14" t="s">
        <v>7024</v>
      </c>
      <c r="E27" s="14" t="s">
        <v>6931</v>
      </c>
      <c r="F27" s="14" t="s">
        <v>6932</v>
      </c>
      <c r="G27" s="14" t="s">
        <v>7025</v>
      </c>
    </row>
    <row r="28" spans="1:7" ht="45">
      <c r="A28" s="14" t="s">
        <v>6921</v>
      </c>
      <c r="B28" s="14" t="s">
        <v>7026</v>
      </c>
      <c r="C28" s="14" t="s">
        <v>7027</v>
      </c>
      <c r="D28" s="14" t="s">
        <v>7028</v>
      </c>
      <c r="E28" s="14" t="s">
        <v>6925</v>
      </c>
      <c r="F28" s="14" t="s">
        <v>6926</v>
      </c>
      <c r="G28" s="14" t="s">
        <v>6927</v>
      </c>
    </row>
    <row r="29" spans="1:7" ht="120">
      <c r="A29" s="14" t="s">
        <v>6921</v>
      </c>
      <c r="B29" s="14" t="s">
        <v>7029</v>
      </c>
      <c r="C29" s="14" t="s">
        <v>7030</v>
      </c>
      <c r="D29" s="14" t="s">
        <v>7031</v>
      </c>
      <c r="E29" s="14" t="s">
        <v>6931</v>
      </c>
      <c r="F29" s="14" t="s">
        <v>6932</v>
      </c>
      <c r="G29" s="14" t="s">
        <v>7032</v>
      </c>
    </row>
    <row r="30" spans="1:7" ht="105">
      <c r="A30" s="14" t="s">
        <v>6921</v>
      </c>
      <c r="B30" s="14" t="s">
        <v>7033</v>
      </c>
      <c r="C30" s="14" t="s">
        <v>7034</v>
      </c>
      <c r="D30" s="14" t="s">
        <v>7035</v>
      </c>
      <c r="E30" s="14" t="s">
        <v>6931</v>
      </c>
      <c r="F30" s="14" t="s">
        <v>6932</v>
      </c>
      <c r="G30" s="14" t="s">
        <v>7036</v>
      </c>
    </row>
    <row r="31" spans="1:7" ht="30">
      <c r="A31" s="14" t="s">
        <v>6921</v>
      </c>
      <c r="B31" s="14" t="s">
        <v>7037</v>
      </c>
      <c r="C31" s="14" t="s">
        <v>7038</v>
      </c>
      <c r="D31" s="14" t="s">
        <v>7039</v>
      </c>
      <c r="E31" s="14" t="s">
        <v>6925</v>
      </c>
      <c r="F31" s="14" t="s">
        <v>6969</v>
      </c>
      <c r="G31" s="14" t="s">
        <v>6927</v>
      </c>
    </row>
    <row r="32" spans="1:7" ht="30">
      <c r="A32" s="14" t="s">
        <v>6921</v>
      </c>
      <c r="B32" s="14" t="s">
        <v>7040</v>
      </c>
      <c r="C32" s="14" t="s">
        <v>7041</v>
      </c>
      <c r="D32" s="14" t="s">
        <v>7042</v>
      </c>
      <c r="E32" s="14" t="s">
        <v>6925</v>
      </c>
      <c r="F32" s="14" t="s">
        <v>6969</v>
      </c>
      <c r="G32" s="14" t="s">
        <v>6927</v>
      </c>
    </row>
    <row r="33" spans="1:7" ht="45">
      <c r="A33" s="14" t="s">
        <v>6921</v>
      </c>
      <c r="B33" s="14" t="s">
        <v>7043</v>
      </c>
      <c r="C33" s="14" t="s">
        <v>7044</v>
      </c>
      <c r="D33" s="14" t="s">
        <v>7045</v>
      </c>
      <c r="E33" s="14" t="s">
        <v>6985</v>
      </c>
      <c r="F33" s="14" t="s">
        <v>7046</v>
      </c>
      <c r="G33" s="14" t="s">
        <v>6927</v>
      </c>
    </row>
    <row r="34" spans="1:7" ht="90">
      <c r="A34" s="14" t="s">
        <v>6921</v>
      </c>
      <c r="B34" s="14" t="s">
        <v>7047</v>
      </c>
      <c r="C34" s="14" t="s">
        <v>7048</v>
      </c>
      <c r="D34" s="14" t="s">
        <v>7049</v>
      </c>
      <c r="E34" s="14" t="s">
        <v>6931</v>
      </c>
      <c r="F34" s="14" t="s">
        <v>6932</v>
      </c>
      <c r="G34" s="14" t="s">
        <v>6952</v>
      </c>
    </row>
    <row r="35" spans="1:7" ht="45">
      <c r="A35" s="14" t="s">
        <v>6921</v>
      </c>
      <c r="B35" s="14" t="s">
        <v>7050</v>
      </c>
      <c r="C35" s="14" t="s">
        <v>7051</v>
      </c>
      <c r="D35" s="14" t="s">
        <v>7052</v>
      </c>
      <c r="E35" s="14" t="s">
        <v>6925</v>
      </c>
      <c r="F35" s="14" t="s">
        <v>6969</v>
      </c>
      <c r="G35" s="14" t="s">
        <v>6927</v>
      </c>
    </row>
    <row r="36" spans="1:7" ht="45">
      <c r="A36" s="14" t="s">
        <v>6921</v>
      </c>
      <c r="B36" s="14" t="s">
        <v>7053</v>
      </c>
      <c r="C36" s="14" t="s">
        <v>7054</v>
      </c>
      <c r="D36" s="14" t="s">
        <v>7055</v>
      </c>
      <c r="E36" s="14" t="s">
        <v>7006</v>
      </c>
      <c r="F36" s="14" t="s">
        <v>7007</v>
      </c>
      <c r="G36" s="14" t="s">
        <v>6927</v>
      </c>
    </row>
    <row r="37" spans="1:7" ht="330">
      <c r="A37" s="14" t="s">
        <v>6921</v>
      </c>
      <c r="B37" s="14" t="s">
        <v>7056</v>
      </c>
      <c r="C37" s="14" t="s">
        <v>7057</v>
      </c>
      <c r="D37" s="14" t="s">
        <v>7058</v>
      </c>
      <c r="E37" s="14" t="s">
        <v>6931</v>
      </c>
      <c r="F37" s="14" t="s">
        <v>6932</v>
      </c>
      <c r="G37" s="14" t="s">
        <v>7059</v>
      </c>
    </row>
    <row r="38" spans="1:7" ht="45">
      <c r="A38" s="14" t="s">
        <v>6921</v>
      </c>
      <c r="B38" s="14" t="s">
        <v>7060</v>
      </c>
      <c r="C38" s="14" t="s">
        <v>7061</v>
      </c>
      <c r="D38" s="14" t="s">
        <v>7062</v>
      </c>
      <c r="E38" s="14" t="s">
        <v>6931</v>
      </c>
      <c r="F38" s="14" t="s">
        <v>6932</v>
      </c>
      <c r="G38" s="14" t="s">
        <v>7063</v>
      </c>
    </row>
    <row r="39" spans="1:7" ht="30">
      <c r="A39" s="14" t="s">
        <v>6921</v>
      </c>
      <c r="B39" s="14" t="s">
        <v>7064</v>
      </c>
      <c r="C39" s="14" t="s">
        <v>7065</v>
      </c>
      <c r="D39" s="14" t="s">
        <v>7066</v>
      </c>
      <c r="E39" s="14" t="s">
        <v>6925</v>
      </c>
      <c r="F39" s="14" t="s">
        <v>7067</v>
      </c>
      <c r="G39" s="14" t="s">
        <v>6927</v>
      </c>
    </row>
    <row r="40" spans="1:7" ht="30">
      <c r="A40" s="14" t="s">
        <v>6921</v>
      </c>
      <c r="B40" s="14" t="s">
        <v>7068</v>
      </c>
      <c r="C40" s="14" t="s">
        <v>7069</v>
      </c>
      <c r="D40" s="14" t="s">
        <v>7070</v>
      </c>
      <c r="E40" s="14" t="s">
        <v>6925</v>
      </c>
      <c r="F40" s="14" t="s">
        <v>6926</v>
      </c>
      <c r="G40" s="14" t="s">
        <v>6927</v>
      </c>
    </row>
    <row r="41" spans="1:7" ht="45">
      <c r="A41" s="14" t="s">
        <v>6921</v>
      </c>
      <c r="B41" s="14" t="s">
        <v>7071</v>
      </c>
      <c r="C41" s="14" t="s">
        <v>7072</v>
      </c>
      <c r="D41" s="14" t="s">
        <v>7073</v>
      </c>
      <c r="E41" s="14" t="s">
        <v>6925</v>
      </c>
      <c r="F41" s="14" t="s">
        <v>6965</v>
      </c>
      <c r="G41" s="14" t="s">
        <v>6927</v>
      </c>
    </row>
    <row r="42" spans="1:7" ht="120">
      <c r="A42" s="14" t="s">
        <v>6921</v>
      </c>
      <c r="B42" s="14" t="s">
        <v>7074</v>
      </c>
      <c r="C42" s="14" t="s">
        <v>7075</v>
      </c>
      <c r="D42" s="14" t="s">
        <v>7076</v>
      </c>
      <c r="E42" s="14" t="s">
        <v>6931</v>
      </c>
      <c r="F42" s="14" t="s">
        <v>6932</v>
      </c>
      <c r="G42" s="14" t="s">
        <v>7077</v>
      </c>
    </row>
    <row r="43" spans="1:7" ht="135">
      <c r="A43" s="14" t="s">
        <v>6921</v>
      </c>
      <c r="B43" s="14" t="s">
        <v>7078</v>
      </c>
      <c r="C43" s="14" t="s">
        <v>7079</v>
      </c>
      <c r="D43" s="14" t="s">
        <v>7080</v>
      </c>
      <c r="E43" s="14" t="s">
        <v>6931</v>
      </c>
      <c r="F43" s="14" t="s">
        <v>6932</v>
      </c>
      <c r="G43" s="14" t="s">
        <v>7081</v>
      </c>
    </row>
    <row r="44" spans="1:7" ht="45">
      <c r="A44" s="14" t="s">
        <v>6921</v>
      </c>
      <c r="B44" s="14" t="s">
        <v>7082</v>
      </c>
      <c r="C44" s="14" t="s">
        <v>7083</v>
      </c>
      <c r="D44" s="14" t="s">
        <v>7084</v>
      </c>
      <c r="E44" s="14" t="s">
        <v>6956</v>
      </c>
      <c r="F44" s="14" t="s">
        <v>6957</v>
      </c>
      <c r="G44" s="14" t="s">
        <v>6927</v>
      </c>
    </row>
    <row r="45" spans="1:7" ht="30">
      <c r="A45" s="14" t="s">
        <v>6921</v>
      </c>
      <c r="B45" s="14" t="s">
        <v>7085</v>
      </c>
      <c r="C45" s="14" t="s">
        <v>7086</v>
      </c>
      <c r="D45" s="14" t="s">
        <v>7087</v>
      </c>
      <c r="E45" s="14" t="s">
        <v>6925</v>
      </c>
      <c r="F45" s="14" t="s">
        <v>6926</v>
      </c>
      <c r="G45" s="14" t="s">
        <v>6927</v>
      </c>
    </row>
    <row r="46" spans="1:7" ht="105">
      <c r="A46" s="14" t="s">
        <v>6921</v>
      </c>
      <c r="B46" s="14" t="s">
        <v>7088</v>
      </c>
      <c r="C46" s="14" t="s">
        <v>7089</v>
      </c>
      <c r="D46" s="14" t="s">
        <v>7090</v>
      </c>
      <c r="E46" s="14" t="s">
        <v>6931</v>
      </c>
      <c r="F46" s="14" t="s">
        <v>6932</v>
      </c>
      <c r="G46" s="14" t="s">
        <v>7091</v>
      </c>
    </row>
    <row r="47" spans="1:7" ht="45">
      <c r="A47" s="14" t="s">
        <v>6921</v>
      </c>
      <c r="B47" s="14" t="s">
        <v>7092</v>
      </c>
      <c r="C47" s="14" t="s">
        <v>7093</v>
      </c>
      <c r="D47" s="14" t="s">
        <v>7094</v>
      </c>
      <c r="E47" s="14" t="s">
        <v>6925</v>
      </c>
      <c r="F47" s="14" t="s">
        <v>6926</v>
      </c>
      <c r="G47" s="14" t="s">
        <v>6927</v>
      </c>
    </row>
    <row r="48" spans="1:7" ht="30">
      <c r="A48" s="14" t="s">
        <v>6921</v>
      </c>
      <c r="B48" s="14" t="s">
        <v>7095</v>
      </c>
      <c r="C48" s="14" t="s">
        <v>7096</v>
      </c>
      <c r="D48" s="14" t="s">
        <v>7097</v>
      </c>
      <c r="E48" s="14" t="s">
        <v>6925</v>
      </c>
      <c r="F48" s="14" t="s">
        <v>7098</v>
      </c>
      <c r="G48" s="14" t="s">
        <v>6927</v>
      </c>
    </row>
    <row r="49" spans="1:7" ht="90">
      <c r="A49" s="14" t="s">
        <v>6921</v>
      </c>
      <c r="B49" s="14" t="s">
        <v>7099</v>
      </c>
      <c r="C49" s="14" t="s">
        <v>7100</v>
      </c>
      <c r="D49" s="14" t="s">
        <v>7101</v>
      </c>
      <c r="E49" s="14" t="s">
        <v>6931</v>
      </c>
      <c r="F49" s="14" t="s">
        <v>6932</v>
      </c>
      <c r="G49" s="14" t="s">
        <v>7102</v>
      </c>
    </row>
    <row r="50" spans="1:7" ht="90">
      <c r="A50" s="14" t="s">
        <v>6921</v>
      </c>
      <c r="B50" s="14" t="s">
        <v>7103</v>
      </c>
      <c r="C50" s="14" t="s">
        <v>7104</v>
      </c>
      <c r="D50" s="14" t="s">
        <v>7105</v>
      </c>
      <c r="E50" s="14" t="s">
        <v>6931</v>
      </c>
      <c r="F50" s="14" t="s">
        <v>6932</v>
      </c>
      <c r="G50" s="14" t="s">
        <v>7106</v>
      </c>
    </row>
    <row r="51" spans="1:7" ht="30">
      <c r="A51" s="14" t="s">
        <v>6921</v>
      </c>
      <c r="B51" s="14" t="s">
        <v>7107</v>
      </c>
      <c r="C51" s="14" t="s">
        <v>7108</v>
      </c>
      <c r="D51" s="14" t="s">
        <v>7109</v>
      </c>
      <c r="E51" s="14" t="s">
        <v>6925</v>
      </c>
      <c r="F51" s="14" t="s">
        <v>7098</v>
      </c>
      <c r="G51" s="14" t="s">
        <v>6927</v>
      </c>
    </row>
    <row r="52" spans="1:7" ht="30">
      <c r="A52" s="14" t="s">
        <v>6921</v>
      </c>
      <c r="B52" s="14" t="s">
        <v>7110</v>
      </c>
      <c r="C52" s="14" t="s">
        <v>7111</v>
      </c>
      <c r="D52" s="14" t="s">
        <v>7112</v>
      </c>
      <c r="E52" s="14" t="s">
        <v>6985</v>
      </c>
      <c r="F52" s="14" t="s">
        <v>6932</v>
      </c>
      <c r="G52" s="14" t="s">
        <v>6927</v>
      </c>
    </row>
    <row r="53" spans="1:7" ht="45">
      <c r="A53" s="14" t="s">
        <v>6921</v>
      </c>
      <c r="B53" s="14" t="s">
        <v>7113</v>
      </c>
      <c r="C53" s="14" t="s">
        <v>7114</v>
      </c>
      <c r="D53" s="14" t="s">
        <v>7115</v>
      </c>
      <c r="E53" s="14" t="s">
        <v>6925</v>
      </c>
      <c r="F53" s="14" t="s">
        <v>6932</v>
      </c>
      <c r="G53" s="14" t="s">
        <v>6927</v>
      </c>
    </row>
    <row r="54" spans="1:7" ht="30">
      <c r="A54" s="14" t="s">
        <v>6921</v>
      </c>
      <c r="B54" s="14" t="s">
        <v>7116</v>
      </c>
      <c r="C54" s="14" t="s">
        <v>7117</v>
      </c>
      <c r="D54" s="14" t="s">
        <v>7118</v>
      </c>
      <c r="E54" s="14" t="s">
        <v>6925</v>
      </c>
      <c r="F54" s="14" t="s">
        <v>6965</v>
      </c>
      <c r="G54" s="14" t="s">
        <v>6927</v>
      </c>
    </row>
    <row r="55" spans="1:7" ht="30">
      <c r="A55" s="14" t="s">
        <v>6921</v>
      </c>
      <c r="B55" s="14" t="s">
        <v>7119</v>
      </c>
      <c r="C55" s="14" t="s">
        <v>7120</v>
      </c>
      <c r="D55" s="14" t="s">
        <v>7121</v>
      </c>
      <c r="E55" s="14" t="s">
        <v>6925</v>
      </c>
      <c r="F55" s="14" t="s">
        <v>6926</v>
      </c>
      <c r="G55" s="14" t="s">
        <v>6927</v>
      </c>
    </row>
    <row r="56" spans="1:7" ht="30">
      <c r="A56" s="14" t="s">
        <v>6921</v>
      </c>
      <c r="B56" s="14" t="s">
        <v>7122</v>
      </c>
      <c r="C56" s="14" t="s">
        <v>7123</v>
      </c>
      <c r="D56" s="14" t="s">
        <v>7124</v>
      </c>
      <c r="E56" s="14" t="s">
        <v>6925</v>
      </c>
      <c r="F56" s="14" t="s">
        <v>7125</v>
      </c>
      <c r="G56" s="14" t="s">
        <v>6927</v>
      </c>
    </row>
    <row r="57" spans="1:7" ht="60">
      <c r="A57" s="14" t="s">
        <v>6921</v>
      </c>
      <c r="B57" s="14" t="s">
        <v>7126</v>
      </c>
      <c r="C57" s="14" t="s">
        <v>7127</v>
      </c>
      <c r="D57" s="14" t="s">
        <v>7128</v>
      </c>
      <c r="E57" s="14" t="s">
        <v>6925</v>
      </c>
      <c r="F57" s="14" t="s">
        <v>7067</v>
      </c>
      <c r="G57" s="14" t="s">
        <v>6927</v>
      </c>
    </row>
    <row r="58" spans="1:7" ht="30">
      <c r="A58" s="14" t="s">
        <v>6921</v>
      </c>
      <c r="B58" s="14" t="s">
        <v>7129</v>
      </c>
      <c r="C58" s="14" t="s">
        <v>7130</v>
      </c>
      <c r="D58" s="14" t="s">
        <v>7131</v>
      </c>
      <c r="E58" s="14" t="s">
        <v>6925</v>
      </c>
      <c r="F58" s="14" t="s">
        <v>7067</v>
      </c>
      <c r="G58" s="14" t="s">
        <v>6927</v>
      </c>
    </row>
    <row r="59" spans="1:7" ht="30">
      <c r="A59" s="14" t="s">
        <v>6921</v>
      </c>
      <c r="B59" s="14" t="s">
        <v>7132</v>
      </c>
      <c r="C59" s="14" t="s">
        <v>7133</v>
      </c>
      <c r="D59" s="14" t="s">
        <v>7134</v>
      </c>
      <c r="E59" s="14" t="s">
        <v>6985</v>
      </c>
      <c r="F59" s="14" t="s">
        <v>7135</v>
      </c>
      <c r="G59" s="14" t="s">
        <v>6927</v>
      </c>
    </row>
    <row r="60" spans="1:7" ht="120">
      <c r="A60" s="14" t="s">
        <v>6921</v>
      </c>
      <c r="B60" s="14" t="s">
        <v>7136</v>
      </c>
      <c r="C60" s="14" t="s">
        <v>7137</v>
      </c>
      <c r="D60" s="14" t="s">
        <v>7138</v>
      </c>
      <c r="E60" s="14" t="s">
        <v>6931</v>
      </c>
      <c r="F60" s="14" t="s">
        <v>6932</v>
      </c>
      <c r="G60" s="14" t="s">
        <v>7139</v>
      </c>
    </row>
    <row r="61" spans="1:7" ht="60">
      <c r="A61" s="14" t="s">
        <v>6921</v>
      </c>
      <c r="B61" s="14" t="s">
        <v>7140</v>
      </c>
      <c r="C61" s="14" t="s">
        <v>7141</v>
      </c>
      <c r="D61" s="14" t="s">
        <v>7142</v>
      </c>
      <c r="E61" s="14" t="s">
        <v>6931</v>
      </c>
      <c r="F61" s="14" t="s">
        <v>6932</v>
      </c>
      <c r="G61" s="14" t="s">
        <v>7143</v>
      </c>
    </row>
    <row r="62" spans="1:7" ht="409.5">
      <c r="A62" s="14" t="s">
        <v>6921</v>
      </c>
      <c r="B62" s="14" t="s">
        <v>7144</v>
      </c>
      <c r="C62" s="14" t="s">
        <v>7145</v>
      </c>
      <c r="D62" s="14" t="s">
        <v>7146</v>
      </c>
      <c r="E62" s="14" t="s">
        <v>6931</v>
      </c>
      <c r="F62" s="14" t="s">
        <v>6932</v>
      </c>
      <c r="G62" s="14" t="s">
        <v>7147</v>
      </c>
    </row>
    <row r="63" spans="1:7" ht="165">
      <c r="A63" s="14" t="s">
        <v>6921</v>
      </c>
      <c r="B63" s="14" t="s">
        <v>7148</v>
      </c>
      <c r="C63" s="14" t="s">
        <v>7149</v>
      </c>
      <c r="D63" s="14" t="s">
        <v>7150</v>
      </c>
      <c r="E63" s="14" t="s">
        <v>6931</v>
      </c>
      <c r="F63" s="14" t="s">
        <v>6932</v>
      </c>
      <c r="G63" s="14" t="s">
        <v>7151</v>
      </c>
    </row>
    <row r="64" spans="1:7" ht="210">
      <c r="A64" s="14" t="s">
        <v>6921</v>
      </c>
      <c r="B64" s="14" t="s">
        <v>7152</v>
      </c>
      <c r="C64" s="14" t="s">
        <v>7153</v>
      </c>
      <c r="D64" s="14" t="s">
        <v>7154</v>
      </c>
      <c r="E64" s="14" t="s">
        <v>6931</v>
      </c>
      <c r="F64" s="14" t="s">
        <v>6932</v>
      </c>
      <c r="G64" s="14" t="s">
        <v>7155</v>
      </c>
    </row>
    <row r="65" spans="1:7" ht="409.5">
      <c r="A65" s="14" t="s">
        <v>6921</v>
      </c>
      <c r="B65" s="14" t="s">
        <v>7156</v>
      </c>
      <c r="C65" s="14" t="s">
        <v>7157</v>
      </c>
      <c r="D65" s="14" t="s">
        <v>7158</v>
      </c>
      <c r="E65" s="14" t="s">
        <v>6931</v>
      </c>
      <c r="F65" s="14" t="s">
        <v>6932</v>
      </c>
      <c r="G65" s="14" t="s">
        <v>7159</v>
      </c>
    </row>
    <row r="66" spans="1:7" ht="60">
      <c r="A66" s="14" t="s">
        <v>6921</v>
      </c>
      <c r="B66" s="14" t="s">
        <v>7160</v>
      </c>
      <c r="C66" s="14" t="s">
        <v>7161</v>
      </c>
      <c r="D66" s="14" t="s">
        <v>7162</v>
      </c>
      <c r="E66" s="14" t="s">
        <v>6925</v>
      </c>
      <c r="F66" s="14" t="s">
        <v>7067</v>
      </c>
      <c r="G66" s="14" t="s">
        <v>6927</v>
      </c>
    </row>
    <row r="67" spans="1:7" ht="30">
      <c r="A67" s="14" t="s">
        <v>6921</v>
      </c>
      <c r="B67" s="14" t="s">
        <v>7163</v>
      </c>
      <c r="C67" s="14" t="s">
        <v>7164</v>
      </c>
      <c r="D67" s="14" t="s">
        <v>7165</v>
      </c>
      <c r="E67" s="14" t="s">
        <v>6925</v>
      </c>
      <c r="F67" s="14" t="s">
        <v>6926</v>
      </c>
      <c r="G67" s="14" t="s">
        <v>6927</v>
      </c>
    </row>
    <row r="68" spans="1:7" ht="135">
      <c r="A68" s="14" t="s">
        <v>6921</v>
      </c>
      <c r="B68" s="14" t="s">
        <v>7166</v>
      </c>
      <c r="C68" s="14" t="s">
        <v>7167</v>
      </c>
      <c r="D68" s="14" t="s">
        <v>7168</v>
      </c>
      <c r="E68" s="14" t="s">
        <v>7006</v>
      </c>
      <c r="F68" s="14" t="s">
        <v>7169</v>
      </c>
      <c r="G68" s="14" t="s">
        <v>6927</v>
      </c>
    </row>
    <row r="69" spans="1:7" ht="45">
      <c r="A69" s="14" t="s">
        <v>6921</v>
      </c>
      <c r="B69" s="14" t="s">
        <v>7170</v>
      </c>
      <c r="C69" s="14" t="s">
        <v>7171</v>
      </c>
      <c r="D69" s="14" t="s">
        <v>7172</v>
      </c>
      <c r="E69" s="14" t="s">
        <v>6931</v>
      </c>
      <c r="F69" s="14" t="s">
        <v>6932</v>
      </c>
      <c r="G69" s="14" t="s">
        <v>6952</v>
      </c>
    </row>
    <row r="70" spans="1:7" ht="30">
      <c r="A70" s="14" t="s">
        <v>6921</v>
      </c>
      <c r="B70" s="14" t="s">
        <v>6822</v>
      </c>
      <c r="C70" s="14" t="s">
        <v>7173</v>
      </c>
      <c r="D70" s="14" t="s">
        <v>7174</v>
      </c>
      <c r="E70" s="14" t="s">
        <v>6925</v>
      </c>
      <c r="F70" s="14" t="s">
        <v>6926</v>
      </c>
      <c r="G70" s="14" t="s">
        <v>6927</v>
      </c>
    </row>
    <row r="71" spans="1:7" ht="90">
      <c r="A71" s="14" t="s">
        <v>6921</v>
      </c>
      <c r="B71" s="14" t="s">
        <v>7175</v>
      </c>
      <c r="C71" s="14" t="s">
        <v>7176</v>
      </c>
      <c r="D71" s="14" t="s">
        <v>7177</v>
      </c>
      <c r="E71" s="14" t="s">
        <v>6925</v>
      </c>
      <c r="F71" s="14" t="s">
        <v>6965</v>
      </c>
      <c r="G71" s="14" t="s">
        <v>6927</v>
      </c>
    </row>
    <row r="72" spans="1:7" ht="30">
      <c r="A72" s="14" t="s">
        <v>6921</v>
      </c>
      <c r="B72" s="14" t="s">
        <v>7178</v>
      </c>
      <c r="C72" s="14" t="s">
        <v>7179</v>
      </c>
      <c r="D72" s="14" t="s">
        <v>7180</v>
      </c>
      <c r="E72" s="14" t="s">
        <v>6956</v>
      </c>
      <c r="F72" s="14" t="s">
        <v>6957</v>
      </c>
      <c r="G72" s="14" t="s">
        <v>6927</v>
      </c>
    </row>
    <row r="73" spans="1:7" ht="45">
      <c r="A73" s="14" t="s">
        <v>6921</v>
      </c>
      <c r="B73" s="14" t="s">
        <v>7181</v>
      </c>
      <c r="C73" s="14" t="s">
        <v>7182</v>
      </c>
      <c r="D73" s="14" t="s">
        <v>7183</v>
      </c>
      <c r="E73" s="14" t="s">
        <v>6985</v>
      </c>
      <c r="F73" s="14" t="s">
        <v>7046</v>
      </c>
      <c r="G73" s="14" t="s">
        <v>6927</v>
      </c>
    </row>
    <row r="74" spans="1:7" ht="45">
      <c r="A74" s="14" t="s">
        <v>6921</v>
      </c>
      <c r="B74" s="14" t="s">
        <v>7184</v>
      </c>
      <c r="C74" s="14" t="s">
        <v>7185</v>
      </c>
      <c r="D74" s="14" t="s">
        <v>7186</v>
      </c>
      <c r="E74" s="14" t="s">
        <v>6925</v>
      </c>
      <c r="F74" s="14" t="s">
        <v>7125</v>
      </c>
      <c r="G74" s="14" t="s">
        <v>6927</v>
      </c>
    </row>
    <row r="75" spans="1:7" ht="75">
      <c r="A75" s="14" t="s">
        <v>6921</v>
      </c>
      <c r="B75" s="14" t="s">
        <v>7187</v>
      </c>
      <c r="C75" s="14" t="s">
        <v>7188</v>
      </c>
      <c r="D75" s="14" t="s">
        <v>7189</v>
      </c>
      <c r="E75" s="14" t="s">
        <v>6931</v>
      </c>
      <c r="F75" s="14" t="s">
        <v>6932</v>
      </c>
      <c r="G75" s="14" t="s">
        <v>7190</v>
      </c>
    </row>
    <row r="76" spans="1:7" ht="60">
      <c r="A76" s="14" t="s">
        <v>6921</v>
      </c>
      <c r="B76" s="14" t="s">
        <v>7191</v>
      </c>
      <c r="C76" s="14" t="s">
        <v>7192</v>
      </c>
      <c r="D76" s="14" t="s">
        <v>7193</v>
      </c>
      <c r="E76" s="14" t="s">
        <v>6925</v>
      </c>
      <c r="F76" s="14" t="s">
        <v>7125</v>
      </c>
      <c r="G76" s="14" t="s">
        <v>6927</v>
      </c>
    </row>
    <row r="77" spans="1:7" ht="30">
      <c r="A77" s="14" t="s">
        <v>6921</v>
      </c>
      <c r="B77" s="14" t="s">
        <v>7194</v>
      </c>
      <c r="C77" s="14" t="s">
        <v>7195</v>
      </c>
      <c r="D77" s="14" t="s">
        <v>7196</v>
      </c>
      <c r="E77" s="14" t="s">
        <v>6925</v>
      </c>
      <c r="F77" s="14" t="s">
        <v>6926</v>
      </c>
      <c r="G77" s="14" t="s">
        <v>6927</v>
      </c>
    </row>
    <row r="78" spans="1:7" ht="90">
      <c r="A78" s="14" t="s">
        <v>6921</v>
      </c>
      <c r="B78" s="14" t="s">
        <v>7197</v>
      </c>
      <c r="C78" s="14" t="s">
        <v>7198</v>
      </c>
      <c r="D78" s="14" t="s">
        <v>7199</v>
      </c>
      <c r="E78" s="14" t="s">
        <v>6931</v>
      </c>
      <c r="F78" s="14" t="s">
        <v>6932</v>
      </c>
      <c r="G78" s="14" t="s">
        <v>7200</v>
      </c>
    </row>
    <row r="79" spans="1:7" ht="30">
      <c r="A79" s="14" t="s">
        <v>6921</v>
      </c>
      <c r="B79" s="14" t="s">
        <v>7201</v>
      </c>
      <c r="C79" s="14" t="s">
        <v>7202</v>
      </c>
      <c r="D79" s="14" t="s">
        <v>7203</v>
      </c>
      <c r="E79" s="14" t="s">
        <v>6925</v>
      </c>
      <c r="F79" s="14" t="s">
        <v>7204</v>
      </c>
      <c r="G79" s="14" t="s">
        <v>6927</v>
      </c>
    </row>
    <row r="80" spans="1:7" ht="150">
      <c r="A80" s="14" t="s">
        <v>6921</v>
      </c>
      <c r="B80" s="14" t="s">
        <v>7205</v>
      </c>
      <c r="C80" s="14" t="s">
        <v>7206</v>
      </c>
      <c r="D80" s="14" t="s">
        <v>7207</v>
      </c>
      <c r="E80" s="14" t="s">
        <v>6931</v>
      </c>
      <c r="F80" s="14" t="s">
        <v>6932</v>
      </c>
      <c r="G80" s="14" t="s">
        <v>7208</v>
      </c>
    </row>
    <row r="81" spans="1:7" ht="195">
      <c r="A81" s="14" t="s">
        <v>6921</v>
      </c>
      <c r="B81" s="14" t="s">
        <v>7209</v>
      </c>
      <c r="C81" s="14" t="s">
        <v>7210</v>
      </c>
      <c r="D81" s="14" t="s">
        <v>7211</v>
      </c>
      <c r="E81" s="14" t="s">
        <v>6931</v>
      </c>
      <c r="F81" s="14" t="s">
        <v>6932</v>
      </c>
      <c r="G81" s="14" t="s">
        <v>7212</v>
      </c>
    </row>
    <row r="82" spans="1:7" ht="60">
      <c r="A82" s="14" t="s">
        <v>6921</v>
      </c>
      <c r="B82" s="14" t="s">
        <v>7213</v>
      </c>
      <c r="C82" s="14" t="s">
        <v>7214</v>
      </c>
      <c r="D82" s="14" t="s">
        <v>7215</v>
      </c>
      <c r="E82" s="14" t="s">
        <v>6931</v>
      </c>
      <c r="F82" s="14" t="s">
        <v>6932</v>
      </c>
      <c r="G82" s="14" t="s">
        <v>6952</v>
      </c>
    </row>
    <row r="83" spans="1:7" ht="45">
      <c r="A83" s="14" t="s">
        <v>6921</v>
      </c>
      <c r="B83" s="14" t="s">
        <v>7216</v>
      </c>
      <c r="C83" s="14" t="s">
        <v>7217</v>
      </c>
      <c r="D83" s="14" t="s">
        <v>7218</v>
      </c>
      <c r="E83" s="14" t="s">
        <v>6931</v>
      </c>
      <c r="F83" s="14" t="s">
        <v>6932</v>
      </c>
      <c r="G83" s="14" t="s">
        <v>6952</v>
      </c>
    </row>
    <row r="84" spans="1:7" ht="60">
      <c r="A84" s="14" t="s">
        <v>6921</v>
      </c>
      <c r="B84" s="14" t="s">
        <v>7219</v>
      </c>
      <c r="C84" s="14" t="s">
        <v>7220</v>
      </c>
      <c r="D84" s="14" t="s">
        <v>7221</v>
      </c>
      <c r="E84" s="14" t="s">
        <v>6925</v>
      </c>
      <c r="F84" s="14" t="s">
        <v>6926</v>
      </c>
      <c r="G84" s="14" t="s">
        <v>6927</v>
      </c>
    </row>
    <row r="85" spans="1:7" ht="165">
      <c r="A85" s="14" t="s">
        <v>6921</v>
      </c>
      <c r="B85" s="14" t="s">
        <v>7222</v>
      </c>
      <c r="C85" s="14" t="s">
        <v>7223</v>
      </c>
      <c r="D85" s="14" t="s">
        <v>7224</v>
      </c>
      <c r="E85" s="14" t="s">
        <v>6931</v>
      </c>
      <c r="F85" s="14" t="s">
        <v>6932</v>
      </c>
      <c r="G85" s="14" t="s">
        <v>7225</v>
      </c>
    </row>
    <row r="86" spans="1:7" ht="60">
      <c r="A86" s="14" t="s">
        <v>6921</v>
      </c>
      <c r="B86" s="14" t="s">
        <v>7226</v>
      </c>
      <c r="C86" s="14" t="s">
        <v>7227</v>
      </c>
      <c r="D86" s="14" t="s">
        <v>7228</v>
      </c>
      <c r="E86" s="14" t="s">
        <v>6925</v>
      </c>
      <c r="F86" s="14" t="s">
        <v>6965</v>
      </c>
      <c r="G86" s="14" t="s">
        <v>6927</v>
      </c>
    </row>
    <row r="87" spans="1:7" ht="45">
      <c r="A87" s="14" t="s">
        <v>6921</v>
      </c>
      <c r="B87" s="14" t="s">
        <v>7229</v>
      </c>
      <c r="C87" s="14" t="s">
        <v>7230</v>
      </c>
      <c r="D87" s="14" t="s">
        <v>7231</v>
      </c>
      <c r="E87" s="14" t="s">
        <v>7006</v>
      </c>
      <c r="F87" s="14" t="s">
        <v>7232</v>
      </c>
      <c r="G87" s="14" t="s">
        <v>6927</v>
      </c>
    </row>
    <row r="88" spans="1:7" ht="75">
      <c r="A88" s="14" t="s">
        <v>6921</v>
      </c>
      <c r="B88" s="14" t="s">
        <v>7233</v>
      </c>
      <c r="C88" s="14" t="s">
        <v>7234</v>
      </c>
      <c r="D88" s="14" t="s">
        <v>7235</v>
      </c>
      <c r="E88" s="14" t="s">
        <v>6956</v>
      </c>
      <c r="F88" s="14" t="s">
        <v>6957</v>
      </c>
      <c r="G88" s="14" t="s">
        <v>6927</v>
      </c>
    </row>
    <row r="89" spans="1:7" ht="90">
      <c r="A89" s="14" t="s">
        <v>6921</v>
      </c>
      <c r="B89" s="14" t="s">
        <v>7236</v>
      </c>
      <c r="C89" s="14" t="s">
        <v>7237</v>
      </c>
      <c r="D89" s="14" t="s">
        <v>7238</v>
      </c>
      <c r="E89" s="14" t="s">
        <v>6925</v>
      </c>
      <c r="F89" s="14" t="s">
        <v>6926</v>
      </c>
      <c r="G89" s="14" t="s">
        <v>6927</v>
      </c>
    </row>
    <row r="90" spans="1:7" ht="90">
      <c r="A90" s="14" t="s">
        <v>6921</v>
      </c>
      <c r="B90" s="14" t="s">
        <v>7239</v>
      </c>
      <c r="C90" s="14" t="s">
        <v>7240</v>
      </c>
      <c r="D90" s="14" t="s">
        <v>7241</v>
      </c>
      <c r="E90" s="14" t="s">
        <v>6931</v>
      </c>
      <c r="F90" s="14" t="s">
        <v>6932</v>
      </c>
      <c r="G90" s="14" t="s">
        <v>7242</v>
      </c>
    </row>
    <row r="91" spans="1:7" ht="75">
      <c r="A91" s="14" t="s">
        <v>6921</v>
      </c>
      <c r="B91" s="14" t="s">
        <v>7243</v>
      </c>
      <c r="C91" s="14" t="s">
        <v>7244</v>
      </c>
      <c r="D91" s="14" t="s">
        <v>7245</v>
      </c>
      <c r="E91" s="14" t="s">
        <v>6931</v>
      </c>
      <c r="F91" s="14" t="s">
        <v>6932</v>
      </c>
      <c r="G91" s="14" t="s">
        <v>7246</v>
      </c>
    </row>
    <row r="92" spans="1:7" ht="75">
      <c r="A92" s="14" t="s">
        <v>6921</v>
      </c>
      <c r="B92" s="14" t="s">
        <v>7247</v>
      </c>
      <c r="C92" s="14" t="s">
        <v>7248</v>
      </c>
      <c r="D92" s="14" t="s">
        <v>7249</v>
      </c>
      <c r="E92" s="14" t="s">
        <v>6931</v>
      </c>
      <c r="F92" s="14" t="s">
        <v>6932</v>
      </c>
      <c r="G92" s="14" t="s">
        <v>7250</v>
      </c>
    </row>
    <row r="93" spans="1:7" ht="45">
      <c r="A93" s="14" t="s">
        <v>6921</v>
      </c>
      <c r="B93" s="14" t="s">
        <v>7251</v>
      </c>
      <c r="C93" s="14" t="s">
        <v>7252</v>
      </c>
      <c r="D93" s="14" t="s">
        <v>7253</v>
      </c>
      <c r="E93" s="14" t="s">
        <v>7006</v>
      </c>
      <c r="F93" s="14" t="s">
        <v>7007</v>
      </c>
      <c r="G93" s="14" t="s">
        <v>6927</v>
      </c>
    </row>
    <row r="94" spans="1:7" ht="30">
      <c r="A94" s="14" t="s">
        <v>6921</v>
      </c>
      <c r="B94" s="14" t="s">
        <v>7254</v>
      </c>
      <c r="C94" s="14" t="s">
        <v>7255</v>
      </c>
      <c r="D94" s="14" t="s">
        <v>7256</v>
      </c>
      <c r="E94" s="14" t="s">
        <v>6925</v>
      </c>
      <c r="F94" s="14" t="s">
        <v>6965</v>
      </c>
      <c r="G94" s="14" t="s">
        <v>6927</v>
      </c>
    </row>
    <row r="95" spans="1:7" ht="30">
      <c r="A95" s="14" t="s">
        <v>6921</v>
      </c>
      <c r="B95" s="14" t="s">
        <v>7257</v>
      </c>
      <c r="C95" s="14" t="s">
        <v>7258</v>
      </c>
      <c r="D95" s="14" t="s">
        <v>7259</v>
      </c>
      <c r="E95" s="14" t="s">
        <v>6925</v>
      </c>
      <c r="F95" s="14" t="s">
        <v>6965</v>
      </c>
      <c r="G95" s="14" t="s">
        <v>6927</v>
      </c>
    </row>
    <row r="96" spans="1:7" ht="105">
      <c r="A96" s="14" t="s">
        <v>6921</v>
      </c>
      <c r="B96" s="14" t="s">
        <v>7260</v>
      </c>
      <c r="C96" s="14" t="s">
        <v>7261</v>
      </c>
      <c r="D96" s="14" t="s">
        <v>7262</v>
      </c>
      <c r="E96" s="14" t="s">
        <v>6931</v>
      </c>
      <c r="F96" s="14" t="s">
        <v>6932</v>
      </c>
      <c r="G96" s="14" t="s">
        <v>7263</v>
      </c>
    </row>
    <row r="97" spans="1:7" ht="30">
      <c r="A97" s="14" t="s">
        <v>6921</v>
      </c>
      <c r="B97" s="14" t="s">
        <v>7264</v>
      </c>
      <c r="C97" s="14" t="s">
        <v>7265</v>
      </c>
      <c r="D97" s="14" t="s">
        <v>7266</v>
      </c>
      <c r="E97" s="14" t="s">
        <v>6956</v>
      </c>
      <c r="F97" s="14" t="s">
        <v>6957</v>
      </c>
      <c r="G97" s="14" t="s">
        <v>6927</v>
      </c>
    </row>
    <row r="98" spans="1:7" ht="30">
      <c r="A98" s="14" t="s">
        <v>6921</v>
      </c>
      <c r="B98" s="14" t="s">
        <v>7267</v>
      </c>
      <c r="C98" s="14" t="s">
        <v>7268</v>
      </c>
      <c r="D98" s="14" t="s">
        <v>7269</v>
      </c>
      <c r="E98" s="14" t="s">
        <v>6925</v>
      </c>
      <c r="F98" s="14" t="s">
        <v>7204</v>
      </c>
      <c r="G98" s="14" t="s">
        <v>6927</v>
      </c>
    </row>
    <row r="99" spans="1:7" ht="30">
      <c r="A99" s="14" t="s">
        <v>6921</v>
      </c>
      <c r="B99" s="14" t="s">
        <v>7270</v>
      </c>
      <c r="C99" s="14" t="s">
        <v>7271</v>
      </c>
      <c r="D99" s="14" t="s">
        <v>7272</v>
      </c>
      <c r="E99" s="14" t="s">
        <v>6925</v>
      </c>
      <c r="F99" s="14" t="s">
        <v>7204</v>
      </c>
      <c r="G99" s="14" t="s">
        <v>6927</v>
      </c>
    </row>
    <row r="100" spans="1:7" ht="45">
      <c r="A100" s="14" t="s">
        <v>6921</v>
      </c>
      <c r="B100" s="14" t="s">
        <v>7273</v>
      </c>
      <c r="C100" s="14" t="s">
        <v>7274</v>
      </c>
      <c r="D100" s="14" t="s">
        <v>7275</v>
      </c>
      <c r="E100" s="14" t="s">
        <v>6925</v>
      </c>
      <c r="F100" s="14" t="s">
        <v>7276</v>
      </c>
      <c r="G100" s="14" t="s">
        <v>6927</v>
      </c>
    </row>
    <row r="101" spans="1:7" ht="45">
      <c r="A101" s="14" t="s">
        <v>6921</v>
      </c>
      <c r="B101" s="14" t="s">
        <v>7277</v>
      </c>
      <c r="C101" s="14" t="s">
        <v>7278</v>
      </c>
      <c r="D101" s="14" t="s">
        <v>7279</v>
      </c>
      <c r="E101" s="14" t="s">
        <v>7006</v>
      </c>
      <c r="F101" s="14" t="s">
        <v>7007</v>
      </c>
      <c r="G101" s="14" t="s">
        <v>6927</v>
      </c>
    </row>
    <row r="102" spans="1:7" ht="60">
      <c r="A102" s="14" t="s">
        <v>6921</v>
      </c>
      <c r="B102" s="14" t="s">
        <v>7280</v>
      </c>
      <c r="C102" s="14" t="s">
        <v>7281</v>
      </c>
      <c r="D102" s="14" t="s">
        <v>7282</v>
      </c>
      <c r="E102" s="14" t="s">
        <v>6931</v>
      </c>
      <c r="F102" s="14" t="s">
        <v>6932</v>
      </c>
      <c r="G102" s="14" t="s">
        <v>7283</v>
      </c>
    </row>
    <row r="103" spans="1:7" ht="165">
      <c r="A103" s="14" t="s">
        <v>6921</v>
      </c>
      <c r="B103" s="14" t="s">
        <v>7284</v>
      </c>
      <c r="C103" s="14" t="s">
        <v>7285</v>
      </c>
      <c r="D103" s="14" t="s">
        <v>7286</v>
      </c>
      <c r="E103" s="14" t="s">
        <v>6931</v>
      </c>
      <c r="F103" s="14" t="s">
        <v>6932</v>
      </c>
      <c r="G103" s="14" t="s">
        <v>7287</v>
      </c>
    </row>
    <row r="104" spans="1:7" ht="60">
      <c r="A104" s="14" t="s">
        <v>6921</v>
      </c>
      <c r="B104" s="14" t="s">
        <v>7288</v>
      </c>
      <c r="C104" s="14" t="s">
        <v>7289</v>
      </c>
      <c r="D104" s="14" t="s">
        <v>7290</v>
      </c>
      <c r="E104" s="14" t="s">
        <v>6956</v>
      </c>
      <c r="F104" s="14" t="s">
        <v>6957</v>
      </c>
      <c r="G104" s="14" t="s">
        <v>6927</v>
      </c>
    </row>
    <row r="105" spans="1:7" ht="90">
      <c r="A105" s="14" t="s">
        <v>6921</v>
      </c>
      <c r="B105" s="14" t="s">
        <v>7291</v>
      </c>
      <c r="C105" s="14" t="s">
        <v>7292</v>
      </c>
      <c r="D105" s="14" t="s">
        <v>7293</v>
      </c>
      <c r="E105" s="14" t="s">
        <v>6931</v>
      </c>
      <c r="F105" s="14" t="s">
        <v>6932</v>
      </c>
      <c r="G105" s="14" t="s">
        <v>7294</v>
      </c>
    </row>
    <row r="106" spans="1:7" ht="45">
      <c r="A106" s="14" t="s">
        <v>6921</v>
      </c>
      <c r="B106" s="14" t="s">
        <v>7295</v>
      </c>
      <c r="C106" s="14" t="s">
        <v>7296</v>
      </c>
      <c r="D106" s="14" t="s">
        <v>7297</v>
      </c>
      <c r="E106" s="14" t="s">
        <v>6925</v>
      </c>
      <c r="F106" s="14" t="s">
        <v>6926</v>
      </c>
      <c r="G106" s="14" t="s">
        <v>6927</v>
      </c>
    </row>
    <row r="107" spans="1:7" ht="75">
      <c r="A107" s="14" t="s">
        <v>6921</v>
      </c>
      <c r="B107" s="14" t="s">
        <v>7298</v>
      </c>
      <c r="C107" s="14" t="s">
        <v>7299</v>
      </c>
      <c r="D107" s="14" t="s">
        <v>7300</v>
      </c>
      <c r="E107" s="14" t="s">
        <v>6925</v>
      </c>
      <c r="F107" s="14" t="s">
        <v>6957</v>
      </c>
      <c r="G107" s="14" t="s">
        <v>6927</v>
      </c>
    </row>
    <row r="108" spans="1:7" ht="90">
      <c r="A108" s="14" t="s">
        <v>6921</v>
      </c>
      <c r="B108" s="14" t="s">
        <v>7301</v>
      </c>
      <c r="C108" s="14" t="s">
        <v>7302</v>
      </c>
      <c r="D108" s="14" t="s">
        <v>7303</v>
      </c>
      <c r="E108" s="14" t="s">
        <v>6931</v>
      </c>
      <c r="F108" s="14" t="s">
        <v>6932</v>
      </c>
      <c r="G108" s="14" t="s">
        <v>7304</v>
      </c>
    </row>
    <row r="109" spans="1:7" ht="30">
      <c r="A109" s="14" t="s">
        <v>6921</v>
      </c>
      <c r="B109" s="14" t="s">
        <v>7305</v>
      </c>
      <c r="C109" s="14" t="s">
        <v>7306</v>
      </c>
      <c r="D109" s="14" t="s">
        <v>7307</v>
      </c>
      <c r="E109" s="14" t="s">
        <v>7006</v>
      </c>
      <c r="F109" s="14" t="s">
        <v>7308</v>
      </c>
      <c r="G109" s="14" t="s">
        <v>6927</v>
      </c>
    </row>
    <row r="110" spans="1:7" ht="30">
      <c r="A110" s="14" t="s">
        <v>6921</v>
      </c>
      <c r="B110" s="14" t="s">
        <v>7309</v>
      </c>
      <c r="C110" s="14" t="s">
        <v>7310</v>
      </c>
      <c r="D110" s="14" t="s">
        <v>7311</v>
      </c>
      <c r="E110" s="14" t="s">
        <v>6985</v>
      </c>
      <c r="F110" s="14" t="s">
        <v>7046</v>
      </c>
      <c r="G110" s="14" t="s">
        <v>6927</v>
      </c>
    </row>
    <row r="111" spans="1:7" ht="30">
      <c r="A111" s="14" t="s">
        <v>6921</v>
      </c>
      <c r="B111" s="14" t="s">
        <v>7312</v>
      </c>
      <c r="C111" s="14" t="s">
        <v>7313</v>
      </c>
      <c r="D111" s="14" t="s">
        <v>7314</v>
      </c>
      <c r="E111" s="14" t="s">
        <v>6985</v>
      </c>
      <c r="F111" s="14" t="s">
        <v>6986</v>
      </c>
      <c r="G111" s="14" t="s">
        <v>6927</v>
      </c>
    </row>
    <row r="112" spans="1:7" ht="30">
      <c r="A112" s="14" t="s">
        <v>6921</v>
      </c>
      <c r="B112" s="14" t="s">
        <v>7315</v>
      </c>
      <c r="C112" s="14" t="s">
        <v>7316</v>
      </c>
      <c r="D112" s="14" t="s">
        <v>7317</v>
      </c>
      <c r="E112" s="14" t="s">
        <v>6925</v>
      </c>
      <c r="F112" s="14" t="s">
        <v>6965</v>
      </c>
      <c r="G112" s="14" t="s">
        <v>6927</v>
      </c>
    </row>
    <row r="113" spans="1:7" ht="60">
      <c r="A113" s="14" t="s">
        <v>6921</v>
      </c>
      <c r="B113" s="14" t="s">
        <v>7318</v>
      </c>
      <c r="C113" s="14" t="s">
        <v>7319</v>
      </c>
      <c r="D113" s="14" t="s">
        <v>7320</v>
      </c>
      <c r="E113" s="14" t="s">
        <v>6925</v>
      </c>
      <c r="F113" s="14" t="s">
        <v>7125</v>
      </c>
      <c r="G113" s="14" t="s">
        <v>6927</v>
      </c>
    </row>
    <row r="114" spans="1:7" ht="150">
      <c r="A114" s="14" t="s">
        <v>6921</v>
      </c>
      <c r="B114" s="14" t="s">
        <v>7321</v>
      </c>
      <c r="C114" s="14" t="s">
        <v>7322</v>
      </c>
      <c r="D114" s="14" t="s">
        <v>7323</v>
      </c>
      <c r="E114" s="14" t="s">
        <v>6925</v>
      </c>
      <c r="F114" s="14" t="s">
        <v>7125</v>
      </c>
      <c r="G114" s="14" t="s">
        <v>6927</v>
      </c>
    </row>
    <row r="115" spans="1:7" ht="225">
      <c r="A115" s="14" t="s">
        <v>6921</v>
      </c>
      <c r="B115" s="14" t="s">
        <v>7324</v>
      </c>
      <c r="C115" s="14" t="s">
        <v>7325</v>
      </c>
      <c r="D115" s="14" t="s">
        <v>7326</v>
      </c>
      <c r="E115" s="14" t="s">
        <v>6931</v>
      </c>
      <c r="F115" s="14" t="s">
        <v>6932</v>
      </c>
      <c r="G115" s="14" t="s">
        <v>7327</v>
      </c>
    </row>
    <row r="116" spans="1:7" ht="30">
      <c r="A116" s="14" t="s">
        <v>6921</v>
      </c>
      <c r="B116" s="14" t="s">
        <v>7328</v>
      </c>
      <c r="C116" s="14" t="s">
        <v>7329</v>
      </c>
      <c r="D116" s="14" t="s">
        <v>7330</v>
      </c>
      <c r="E116" s="14" t="s">
        <v>6925</v>
      </c>
      <c r="F116" s="14" t="s">
        <v>7098</v>
      </c>
      <c r="G116" s="14" t="s">
        <v>6927</v>
      </c>
    </row>
    <row r="117" spans="1:7" ht="45">
      <c r="A117" s="14" t="s">
        <v>6921</v>
      </c>
      <c r="B117" s="14" t="s">
        <v>7331</v>
      </c>
      <c r="C117" s="14" t="s">
        <v>7332</v>
      </c>
      <c r="D117" s="14" t="s">
        <v>7333</v>
      </c>
      <c r="E117" s="14" t="s">
        <v>6931</v>
      </c>
      <c r="F117" s="14" t="s">
        <v>6932</v>
      </c>
      <c r="G117" s="14" t="s">
        <v>7334</v>
      </c>
    </row>
    <row r="118" spans="1:7" ht="90">
      <c r="A118" s="14" t="s">
        <v>6921</v>
      </c>
      <c r="B118" s="14" t="s">
        <v>7335</v>
      </c>
      <c r="C118" s="14" t="s">
        <v>7336</v>
      </c>
      <c r="D118" s="14" t="s">
        <v>7337</v>
      </c>
      <c r="E118" s="14" t="s">
        <v>6931</v>
      </c>
      <c r="F118" s="14" t="s">
        <v>6932</v>
      </c>
      <c r="G118" s="14" t="s">
        <v>7338</v>
      </c>
    </row>
    <row r="119" spans="1:7" ht="270">
      <c r="A119" s="14" t="s">
        <v>6921</v>
      </c>
      <c r="B119" s="14" t="s">
        <v>7339</v>
      </c>
      <c r="C119" s="14" t="s">
        <v>7340</v>
      </c>
      <c r="D119" s="14" t="s">
        <v>7341</v>
      </c>
      <c r="E119" s="14" t="s">
        <v>6931</v>
      </c>
      <c r="F119" s="14" t="s">
        <v>6932</v>
      </c>
      <c r="G119" s="14" t="s">
        <v>7025</v>
      </c>
    </row>
    <row r="120" spans="1:7" ht="30">
      <c r="A120" s="14" t="s">
        <v>6921</v>
      </c>
      <c r="B120" s="14" t="s">
        <v>7342</v>
      </c>
      <c r="C120" s="14" t="s">
        <v>7343</v>
      </c>
      <c r="D120" s="14" t="s">
        <v>7344</v>
      </c>
      <c r="E120" s="14" t="s">
        <v>6985</v>
      </c>
      <c r="F120" s="14" t="s">
        <v>6932</v>
      </c>
      <c r="G120" s="14" t="s">
        <v>6927</v>
      </c>
    </row>
    <row r="121" spans="1:7" ht="45">
      <c r="A121" s="14" t="s">
        <v>6921</v>
      </c>
      <c r="B121" s="14" t="s">
        <v>7345</v>
      </c>
      <c r="C121" s="14" t="s">
        <v>7346</v>
      </c>
      <c r="D121" s="14" t="s">
        <v>7347</v>
      </c>
      <c r="E121" s="14" t="s">
        <v>6925</v>
      </c>
      <c r="F121" s="14" t="s">
        <v>7067</v>
      </c>
      <c r="G121" s="14" t="s">
        <v>6927</v>
      </c>
    </row>
    <row r="122" spans="1:7" ht="30">
      <c r="A122" s="14" t="s">
        <v>6921</v>
      </c>
      <c r="B122" s="14" t="s">
        <v>7348</v>
      </c>
      <c r="C122" s="14" t="s">
        <v>7349</v>
      </c>
      <c r="D122" s="14" t="s">
        <v>7350</v>
      </c>
      <c r="E122" s="14" t="s">
        <v>6956</v>
      </c>
      <c r="F122" s="14" t="s">
        <v>6957</v>
      </c>
      <c r="G122" s="14" t="s">
        <v>6927</v>
      </c>
    </row>
    <row r="123" spans="1:7" ht="75">
      <c r="A123" s="14" t="s">
        <v>6921</v>
      </c>
      <c r="B123" s="14" t="s">
        <v>7351</v>
      </c>
      <c r="C123" s="14" t="s">
        <v>7352</v>
      </c>
      <c r="D123" s="14" t="s">
        <v>7353</v>
      </c>
      <c r="E123" s="14" t="s">
        <v>6931</v>
      </c>
      <c r="F123" s="14" t="s">
        <v>6932</v>
      </c>
      <c r="G123" s="14" t="s">
        <v>7354</v>
      </c>
    </row>
    <row r="124" spans="1:7" ht="45">
      <c r="A124" s="14" t="s">
        <v>6921</v>
      </c>
      <c r="B124" s="14" t="s">
        <v>7355</v>
      </c>
      <c r="C124" s="14" t="s">
        <v>7356</v>
      </c>
      <c r="D124" s="14" t="s">
        <v>7357</v>
      </c>
      <c r="E124" s="14" t="s">
        <v>6931</v>
      </c>
      <c r="F124" s="14" t="s">
        <v>6932</v>
      </c>
      <c r="G124" s="14" t="s">
        <v>7358</v>
      </c>
    </row>
    <row r="125" spans="1:7" ht="30">
      <c r="A125" s="14" t="s">
        <v>6921</v>
      </c>
      <c r="B125" s="14" t="s">
        <v>7359</v>
      </c>
      <c r="C125" s="14" t="s">
        <v>7360</v>
      </c>
      <c r="D125" s="14" t="s">
        <v>7361</v>
      </c>
      <c r="E125" s="14" t="s">
        <v>6985</v>
      </c>
      <c r="F125" s="14" t="s">
        <v>6986</v>
      </c>
      <c r="G125" s="14" t="s">
        <v>6927</v>
      </c>
    </row>
    <row r="126" spans="1:7" ht="30">
      <c r="A126" s="14" t="s">
        <v>6921</v>
      </c>
      <c r="B126" s="14" t="s">
        <v>7362</v>
      </c>
      <c r="C126" s="14" t="s">
        <v>7363</v>
      </c>
      <c r="D126" s="14" t="s">
        <v>7364</v>
      </c>
      <c r="E126" s="14" t="s">
        <v>7006</v>
      </c>
      <c r="F126" s="14" t="s">
        <v>7365</v>
      </c>
      <c r="G126" s="14" t="s">
        <v>6927</v>
      </c>
    </row>
    <row r="127" spans="1:7" ht="30">
      <c r="A127" s="14" t="s">
        <v>6921</v>
      </c>
      <c r="B127" s="14" t="s">
        <v>7366</v>
      </c>
      <c r="C127" s="14" t="s">
        <v>7367</v>
      </c>
      <c r="D127" s="14" t="s">
        <v>7368</v>
      </c>
      <c r="E127" s="14" t="s">
        <v>7006</v>
      </c>
      <c r="F127" s="14" t="s">
        <v>7365</v>
      </c>
      <c r="G127" s="14" t="s">
        <v>6927</v>
      </c>
    </row>
    <row r="128" spans="1:7" ht="360">
      <c r="A128" s="14" t="s">
        <v>6921</v>
      </c>
      <c r="B128" s="14" t="s">
        <v>7369</v>
      </c>
      <c r="C128" s="14" t="s">
        <v>7370</v>
      </c>
      <c r="D128" s="14" t="s">
        <v>7371</v>
      </c>
      <c r="E128" s="14" t="s">
        <v>6931</v>
      </c>
      <c r="F128" s="14" t="s">
        <v>6932</v>
      </c>
      <c r="G128" s="14" t="s">
        <v>7372</v>
      </c>
    </row>
    <row r="129" spans="1:7" ht="45">
      <c r="A129" s="14" t="s">
        <v>6921</v>
      </c>
      <c r="B129" s="14" t="s">
        <v>7373</v>
      </c>
      <c r="C129" s="14" t="s">
        <v>7374</v>
      </c>
      <c r="D129" s="14" t="s">
        <v>7375</v>
      </c>
      <c r="E129" s="14" t="s">
        <v>6956</v>
      </c>
      <c r="F129" s="14" t="s">
        <v>6957</v>
      </c>
      <c r="G129" s="14" t="s">
        <v>6927</v>
      </c>
    </row>
    <row r="130" spans="1:7" ht="60">
      <c r="A130" s="14" t="s">
        <v>6921</v>
      </c>
      <c r="B130" s="14" t="s">
        <v>7376</v>
      </c>
      <c r="C130" s="14" t="s">
        <v>7377</v>
      </c>
      <c r="D130" s="14" t="s">
        <v>7378</v>
      </c>
      <c r="E130" s="14" t="s">
        <v>6956</v>
      </c>
      <c r="F130" s="14" t="s">
        <v>6957</v>
      </c>
      <c r="G130" s="14" t="s">
        <v>6927</v>
      </c>
    </row>
    <row r="131" spans="1:7" ht="30">
      <c r="A131" s="14" t="s">
        <v>6921</v>
      </c>
      <c r="B131" s="14" t="s">
        <v>7379</v>
      </c>
      <c r="C131" s="14" t="s">
        <v>7380</v>
      </c>
      <c r="D131" s="14" t="s">
        <v>7381</v>
      </c>
      <c r="E131" s="14" t="s">
        <v>6956</v>
      </c>
      <c r="F131" s="14" t="s">
        <v>6957</v>
      </c>
      <c r="G131" s="14" t="s">
        <v>6927</v>
      </c>
    </row>
    <row r="132" spans="1:7" ht="135">
      <c r="A132" s="14" t="s">
        <v>6921</v>
      </c>
      <c r="B132" s="14" t="s">
        <v>7382</v>
      </c>
      <c r="C132" s="14" t="s">
        <v>7383</v>
      </c>
      <c r="D132" s="14" t="s">
        <v>7384</v>
      </c>
      <c r="E132" s="14" t="s">
        <v>6931</v>
      </c>
      <c r="F132" s="14" t="s">
        <v>6932</v>
      </c>
      <c r="G132" s="14" t="s">
        <v>7385</v>
      </c>
    </row>
    <row r="133" spans="1:7" ht="30">
      <c r="A133" s="14" t="s">
        <v>6921</v>
      </c>
      <c r="B133" s="14" t="s">
        <v>7386</v>
      </c>
      <c r="C133" s="14" t="s">
        <v>7387</v>
      </c>
      <c r="D133" s="14" t="s">
        <v>7388</v>
      </c>
      <c r="E133" s="14" t="s">
        <v>7006</v>
      </c>
      <c r="F133" s="14" t="s">
        <v>7365</v>
      </c>
      <c r="G133" s="14" t="s">
        <v>6927</v>
      </c>
    </row>
    <row r="134" spans="1:7" ht="45">
      <c r="A134" s="14" t="s">
        <v>6921</v>
      </c>
      <c r="B134" s="14" t="s">
        <v>7389</v>
      </c>
      <c r="C134" s="14" t="s">
        <v>7390</v>
      </c>
      <c r="D134" s="14" t="s">
        <v>7391</v>
      </c>
      <c r="E134" s="14" t="s">
        <v>6956</v>
      </c>
      <c r="F134" s="14" t="s">
        <v>6957</v>
      </c>
      <c r="G134" s="14" t="s">
        <v>6927</v>
      </c>
    </row>
    <row r="135" spans="1:7" ht="30">
      <c r="A135" s="14" t="s">
        <v>6921</v>
      </c>
      <c r="B135" s="14" t="s">
        <v>7392</v>
      </c>
      <c r="C135" s="14" t="s">
        <v>7393</v>
      </c>
      <c r="D135" s="14" t="s">
        <v>7394</v>
      </c>
      <c r="E135" s="14" t="s">
        <v>6925</v>
      </c>
      <c r="F135" s="14" t="s">
        <v>6965</v>
      </c>
      <c r="G135" s="14" t="s">
        <v>6927</v>
      </c>
    </row>
    <row r="136" spans="1:7" ht="30">
      <c r="A136" s="14" t="s">
        <v>6921</v>
      </c>
      <c r="B136" s="14" t="s">
        <v>7395</v>
      </c>
      <c r="C136" s="14" t="s">
        <v>7396</v>
      </c>
      <c r="D136" s="14" t="s">
        <v>7397</v>
      </c>
      <c r="E136" s="14" t="s">
        <v>6956</v>
      </c>
      <c r="F136" s="14" t="s">
        <v>6957</v>
      </c>
      <c r="G136" s="14" t="s">
        <v>6927</v>
      </c>
    </row>
    <row r="137" spans="1:7" ht="285">
      <c r="A137" s="14" t="s">
        <v>6921</v>
      </c>
      <c r="B137" s="14" t="s">
        <v>7398</v>
      </c>
      <c r="C137" s="14" t="s">
        <v>7399</v>
      </c>
      <c r="D137" s="14" t="s">
        <v>7400</v>
      </c>
      <c r="E137" s="14" t="s">
        <v>6931</v>
      </c>
      <c r="F137" s="14" t="s">
        <v>6932</v>
      </c>
      <c r="G137" s="14" t="s">
        <v>7401</v>
      </c>
    </row>
    <row r="138" spans="1:7" ht="285">
      <c r="A138" s="14" t="s">
        <v>6921</v>
      </c>
      <c r="B138" s="14" t="s">
        <v>7402</v>
      </c>
      <c r="C138" s="14" t="s">
        <v>7403</v>
      </c>
      <c r="D138" s="14" t="s">
        <v>7404</v>
      </c>
      <c r="E138" s="14" t="s">
        <v>6931</v>
      </c>
      <c r="F138" s="14" t="s">
        <v>6932</v>
      </c>
      <c r="G138" s="14" t="s">
        <v>7401</v>
      </c>
    </row>
    <row r="139" spans="1:7" ht="30">
      <c r="A139" s="14" t="s">
        <v>6921</v>
      </c>
      <c r="B139" s="14" t="s">
        <v>7405</v>
      </c>
      <c r="C139" s="14" t="s">
        <v>7406</v>
      </c>
      <c r="D139" s="14" t="s">
        <v>7407</v>
      </c>
      <c r="E139" s="14" t="s">
        <v>6956</v>
      </c>
      <c r="F139" s="14" t="s">
        <v>6957</v>
      </c>
      <c r="G139" s="14" t="s">
        <v>6927</v>
      </c>
    </row>
    <row r="140" spans="1:7" ht="60">
      <c r="A140" s="14" t="s">
        <v>6921</v>
      </c>
      <c r="B140" s="14" t="s">
        <v>7408</v>
      </c>
      <c r="C140" s="14" t="s">
        <v>7409</v>
      </c>
      <c r="D140" s="14" t="s">
        <v>7410</v>
      </c>
      <c r="E140" s="14" t="s">
        <v>6931</v>
      </c>
      <c r="F140" s="14" t="s">
        <v>6932</v>
      </c>
      <c r="G140" s="14" t="s">
        <v>7411</v>
      </c>
    </row>
    <row r="141" spans="1:7" ht="45">
      <c r="A141" s="14" t="s">
        <v>6921</v>
      </c>
      <c r="B141" s="14" t="s">
        <v>7412</v>
      </c>
      <c r="C141" s="14" t="s">
        <v>7413</v>
      </c>
      <c r="D141" s="14" t="s">
        <v>7414</v>
      </c>
      <c r="E141" s="14" t="s">
        <v>6956</v>
      </c>
      <c r="F141" s="14" t="s">
        <v>6957</v>
      </c>
      <c r="G141" s="14" t="s">
        <v>6927</v>
      </c>
    </row>
    <row r="142" spans="1:7" ht="45">
      <c r="A142" s="14" t="s">
        <v>6921</v>
      </c>
      <c r="B142" s="14" t="s">
        <v>7415</v>
      </c>
      <c r="C142" s="14" t="s">
        <v>7416</v>
      </c>
      <c r="D142" s="14" t="s">
        <v>7417</v>
      </c>
      <c r="E142" s="14" t="s">
        <v>7006</v>
      </c>
      <c r="F142" s="14" t="s">
        <v>7418</v>
      </c>
      <c r="G142" s="14" t="s">
        <v>6927</v>
      </c>
    </row>
    <row r="143" spans="1:7" ht="105">
      <c r="A143" s="14" t="s">
        <v>6921</v>
      </c>
      <c r="B143" s="14" t="s">
        <v>7419</v>
      </c>
      <c r="C143" s="14" t="s">
        <v>7420</v>
      </c>
      <c r="D143" s="14" t="s">
        <v>7421</v>
      </c>
      <c r="E143" s="14" t="s">
        <v>6931</v>
      </c>
      <c r="F143" s="14" t="s">
        <v>6932</v>
      </c>
      <c r="G143" s="14" t="s">
        <v>7422</v>
      </c>
    </row>
    <row r="144" spans="1:7" ht="60">
      <c r="A144" s="14" t="s">
        <v>6921</v>
      </c>
      <c r="B144" s="14" t="s">
        <v>7423</v>
      </c>
      <c r="C144" s="14" t="s">
        <v>7424</v>
      </c>
      <c r="D144" s="14" t="s">
        <v>7425</v>
      </c>
      <c r="E144" s="14" t="s">
        <v>6931</v>
      </c>
      <c r="F144" s="14" t="s">
        <v>6932</v>
      </c>
      <c r="G144" s="14" t="s">
        <v>7426</v>
      </c>
    </row>
    <row r="145" spans="1:7" ht="409.5">
      <c r="A145" s="14" t="s">
        <v>6921</v>
      </c>
      <c r="B145" s="14" t="s">
        <v>7427</v>
      </c>
      <c r="C145" s="14" t="s">
        <v>7428</v>
      </c>
      <c r="D145" s="14" t="s">
        <v>7429</v>
      </c>
      <c r="E145" s="14" t="s">
        <v>6931</v>
      </c>
      <c r="F145" s="14" t="s">
        <v>6932</v>
      </c>
      <c r="G145" s="14" t="s">
        <v>7430</v>
      </c>
    </row>
    <row r="146" spans="1:7" ht="30">
      <c r="A146" s="14" t="s">
        <v>6921</v>
      </c>
      <c r="B146" s="14" t="s">
        <v>7431</v>
      </c>
      <c r="C146" s="14" t="s">
        <v>7432</v>
      </c>
      <c r="D146" s="14" t="s">
        <v>7433</v>
      </c>
      <c r="E146" s="14" t="s">
        <v>6925</v>
      </c>
      <c r="F146" s="14" t="s">
        <v>7067</v>
      </c>
      <c r="G146" s="14" t="s">
        <v>6927</v>
      </c>
    </row>
    <row r="147" spans="1:7" ht="409.5">
      <c r="A147" s="14" t="s">
        <v>6921</v>
      </c>
      <c r="B147" s="14" t="s">
        <v>7434</v>
      </c>
      <c r="C147" s="14" t="s">
        <v>7435</v>
      </c>
      <c r="D147" s="14" t="s">
        <v>7436</v>
      </c>
      <c r="E147" s="14" t="s">
        <v>6931</v>
      </c>
      <c r="F147" s="14" t="s">
        <v>6932</v>
      </c>
      <c r="G147" s="14" t="s">
        <v>7437</v>
      </c>
    </row>
    <row r="148" spans="1:7" ht="30">
      <c r="A148" s="14" t="s">
        <v>6921</v>
      </c>
      <c r="B148" s="14" t="s">
        <v>7438</v>
      </c>
      <c r="C148" s="14" t="s">
        <v>7439</v>
      </c>
      <c r="D148" s="14" t="s">
        <v>7440</v>
      </c>
      <c r="E148" s="14" t="s">
        <v>6985</v>
      </c>
      <c r="F148" s="14" t="s">
        <v>6957</v>
      </c>
      <c r="G148" s="14" t="s">
        <v>6927</v>
      </c>
    </row>
    <row r="149" spans="1:7" ht="45">
      <c r="A149" s="14" t="s">
        <v>6921</v>
      </c>
      <c r="B149" s="14" t="s">
        <v>7441</v>
      </c>
      <c r="C149" s="14" t="s">
        <v>7442</v>
      </c>
      <c r="D149" s="14" t="s">
        <v>7443</v>
      </c>
      <c r="E149" s="14" t="s">
        <v>6931</v>
      </c>
      <c r="F149" s="14" t="s">
        <v>6932</v>
      </c>
      <c r="G149" s="14" t="s">
        <v>6952</v>
      </c>
    </row>
    <row r="150" spans="1:7" ht="45">
      <c r="A150" s="14" t="s">
        <v>6921</v>
      </c>
      <c r="B150" s="14" t="s">
        <v>7444</v>
      </c>
      <c r="C150" s="14" t="s">
        <v>7445</v>
      </c>
      <c r="D150" s="14" t="s">
        <v>7446</v>
      </c>
      <c r="E150" s="14" t="s">
        <v>6931</v>
      </c>
      <c r="F150" s="14" t="s">
        <v>6932</v>
      </c>
      <c r="G150" s="14" t="s">
        <v>7447</v>
      </c>
    </row>
    <row r="151" spans="1:7" ht="75">
      <c r="A151" s="14" t="s">
        <v>6921</v>
      </c>
      <c r="B151" s="14" t="s">
        <v>7448</v>
      </c>
      <c r="C151" s="14" t="s">
        <v>7449</v>
      </c>
      <c r="D151" s="14" t="s">
        <v>7450</v>
      </c>
      <c r="E151" s="14" t="s">
        <v>6931</v>
      </c>
      <c r="F151" s="14" t="s">
        <v>6932</v>
      </c>
      <c r="G151" s="14" t="s">
        <v>7451</v>
      </c>
    </row>
    <row r="152" spans="1:7" ht="30">
      <c r="A152" s="14" t="s">
        <v>6921</v>
      </c>
      <c r="B152" s="14" t="s">
        <v>7452</v>
      </c>
      <c r="C152" s="14" t="s">
        <v>7453</v>
      </c>
      <c r="D152" s="14" t="s">
        <v>7454</v>
      </c>
      <c r="E152" s="14" t="s">
        <v>7006</v>
      </c>
      <c r="F152" s="14" t="s">
        <v>7455</v>
      </c>
      <c r="G152" s="14" t="s">
        <v>6927</v>
      </c>
    </row>
    <row r="153" spans="1:7" ht="135">
      <c r="A153" s="14" t="s">
        <v>6921</v>
      </c>
      <c r="B153" s="14" t="s">
        <v>7456</v>
      </c>
      <c r="C153" s="14" t="s">
        <v>7457</v>
      </c>
      <c r="D153" s="14" t="s">
        <v>7458</v>
      </c>
      <c r="E153" s="14" t="s">
        <v>6931</v>
      </c>
      <c r="F153" s="14" t="s">
        <v>6932</v>
      </c>
      <c r="G153" s="14" t="s">
        <v>7459</v>
      </c>
    </row>
    <row r="154" spans="1:7" ht="150">
      <c r="A154" s="14" t="s">
        <v>6921</v>
      </c>
      <c r="B154" s="14" t="s">
        <v>7460</v>
      </c>
      <c r="C154" s="14" t="s">
        <v>7461</v>
      </c>
      <c r="D154" s="14" t="s">
        <v>7462</v>
      </c>
      <c r="E154" s="14" t="s">
        <v>6931</v>
      </c>
      <c r="F154" s="14" t="s">
        <v>6932</v>
      </c>
      <c r="G154" s="14" t="s">
        <v>7463</v>
      </c>
    </row>
    <row r="155" spans="1:7" ht="75">
      <c r="A155" s="14" t="s">
        <v>6921</v>
      </c>
      <c r="B155" s="14" t="s">
        <v>7464</v>
      </c>
      <c r="C155" s="14" t="s">
        <v>7465</v>
      </c>
      <c r="D155" s="14" t="s">
        <v>7466</v>
      </c>
      <c r="E155" s="14" t="s">
        <v>6931</v>
      </c>
      <c r="F155" s="14" t="s">
        <v>6932</v>
      </c>
      <c r="G155" s="14" t="s">
        <v>7467</v>
      </c>
    </row>
    <row r="156" spans="1:7" ht="120">
      <c r="A156" s="14" t="s">
        <v>6921</v>
      </c>
      <c r="B156" s="14" t="s">
        <v>7468</v>
      </c>
      <c r="C156" s="14" t="s">
        <v>7469</v>
      </c>
      <c r="D156" s="14" t="s">
        <v>7470</v>
      </c>
      <c r="E156" s="14" t="s">
        <v>6931</v>
      </c>
      <c r="F156" s="14" t="s">
        <v>6932</v>
      </c>
      <c r="G156" s="14" t="s">
        <v>7471</v>
      </c>
    </row>
    <row r="157" spans="1:7" ht="60">
      <c r="A157" s="14" t="s">
        <v>6921</v>
      </c>
      <c r="B157" s="14" t="s">
        <v>7472</v>
      </c>
      <c r="C157" s="14" t="s">
        <v>7473</v>
      </c>
      <c r="D157" s="14" t="s">
        <v>7474</v>
      </c>
      <c r="E157" s="14" t="s">
        <v>6931</v>
      </c>
      <c r="F157" s="14" t="s">
        <v>6932</v>
      </c>
      <c r="G157" s="14" t="s">
        <v>7475</v>
      </c>
    </row>
    <row r="158" spans="1:7" ht="105">
      <c r="A158" s="14" t="s">
        <v>6921</v>
      </c>
      <c r="B158" s="14" t="s">
        <v>7476</v>
      </c>
      <c r="C158" s="14" t="s">
        <v>7477</v>
      </c>
      <c r="D158" s="14" t="s">
        <v>7478</v>
      </c>
      <c r="E158" s="14" t="s">
        <v>6931</v>
      </c>
      <c r="F158" s="14" t="s">
        <v>6932</v>
      </c>
      <c r="G158" s="14" t="s">
        <v>7263</v>
      </c>
    </row>
    <row r="159" spans="1:7" ht="90">
      <c r="A159" s="14" t="s">
        <v>6921</v>
      </c>
      <c r="B159" s="14" t="s">
        <v>7479</v>
      </c>
      <c r="C159" s="14" t="s">
        <v>7480</v>
      </c>
      <c r="D159" s="14" t="s">
        <v>7481</v>
      </c>
      <c r="E159" s="14" t="s">
        <v>6931</v>
      </c>
      <c r="F159" s="14" t="s">
        <v>6932</v>
      </c>
      <c r="G159" s="14" t="s">
        <v>7482</v>
      </c>
    </row>
    <row r="160" spans="1:7" ht="60">
      <c r="A160" s="14" t="s">
        <v>6921</v>
      </c>
      <c r="B160" s="14" t="s">
        <v>7483</v>
      </c>
      <c r="C160" s="14" t="s">
        <v>7484</v>
      </c>
      <c r="D160" s="14" t="s">
        <v>7485</v>
      </c>
      <c r="E160" s="14" t="s">
        <v>6931</v>
      </c>
      <c r="F160" s="14" t="s">
        <v>6932</v>
      </c>
      <c r="G160" s="14" t="s">
        <v>7486</v>
      </c>
    </row>
    <row r="161" spans="1:7" ht="60">
      <c r="A161" s="14" t="s">
        <v>6921</v>
      </c>
      <c r="B161" s="14" t="s">
        <v>7487</v>
      </c>
      <c r="C161" s="14" t="s">
        <v>7488</v>
      </c>
      <c r="D161" s="14" t="s">
        <v>7489</v>
      </c>
      <c r="E161" s="14" t="s">
        <v>6931</v>
      </c>
      <c r="F161" s="14" t="s">
        <v>6932</v>
      </c>
      <c r="G161" s="14" t="s">
        <v>7490</v>
      </c>
    </row>
    <row r="162" spans="1:7" ht="45">
      <c r="A162" s="14" t="s">
        <v>6921</v>
      </c>
      <c r="B162" s="14" t="s">
        <v>7491</v>
      </c>
      <c r="C162" s="14" t="s">
        <v>7492</v>
      </c>
      <c r="D162" s="14" t="s">
        <v>7493</v>
      </c>
      <c r="E162" s="14" t="s">
        <v>6925</v>
      </c>
      <c r="F162" s="14" t="s">
        <v>6965</v>
      </c>
      <c r="G162" s="14" t="s">
        <v>6927</v>
      </c>
    </row>
    <row r="163" spans="1:7" ht="105">
      <c r="A163" s="14" t="s">
        <v>6921</v>
      </c>
      <c r="B163" s="14" t="s">
        <v>7494</v>
      </c>
      <c r="C163" s="14" t="s">
        <v>7495</v>
      </c>
      <c r="D163" s="14" t="s">
        <v>7496</v>
      </c>
      <c r="E163" s="14" t="s">
        <v>6931</v>
      </c>
      <c r="F163" s="14" t="s">
        <v>6932</v>
      </c>
      <c r="G163" s="14" t="s">
        <v>7497</v>
      </c>
    </row>
    <row r="164" spans="1:7" ht="30">
      <c r="A164" s="14" t="s">
        <v>6921</v>
      </c>
      <c r="B164" s="14" t="s">
        <v>7498</v>
      </c>
      <c r="C164" s="14" t="s">
        <v>7499</v>
      </c>
      <c r="D164" s="14" t="s">
        <v>7500</v>
      </c>
      <c r="E164" s="14" t="s">
        <v>6985</v>
      </c>
      <c r="F164" s="14" t="s">
        <v>6932</v>
      </c>
      <c r="G164" s="14" t="s">
        <v>6927</v>
      </c>
    </row>
    <row r="165" spans="1:7" ht="135">
      <c r="A165" s="14" t="s">
        <v>6921</v>
      </c>
      <c r="B165" s="14" t="s">
        <v>7501</v>
      </c>
      <c r="C165" s="14" t="s">
        <v>7502</v>
      </c>
      <c r="D165" s="14" t="s">
        <v>7503</v>
      </c>
      <c r="E165" s="14" t="s">
        <v>6931</v>
      </c>
      <c r="F165" s="14" t="s">
        <v>6932</v>
      </c>
      <c r="G165" s="14" t="s">
        <v>7504</v>
      </c>
    </row>
    <row r="166" spans="1:7" ht="165">
      <c r="A166" s="14" t="s">
        <v>6921</v>
      </c>
      <c r="B166" s="14" t="s">
        <v>7505</v>
      </c>
      <c r="C166" s="14" t="s">
        <v>7506</v>
      </c>
      <c r="D166" s="14" t="s">
        <v>7507</v>
      </c>
      <c r="E166" s="14" t="s">
        <v>6931</v>
      </c>
      <c r="F166" s="14" t="s">
        <v>6932</v>
      </c>
      <c r="G166" s="14" t="s">
        <v>7508</v>
      </c>
    </row>
    <row r="167" spans="1:7" ht="60">
      <c r="A167" s="14" t="s">
        <v>6921</v>
      </c>
      <c r="B167" s="14" t="s">
        <v>7509</v>
      </c>
      <c r="C167" s="14" t="s">
        <v>7510</v>
      </c>
      <c r="D167" s="14" t="s">
        <v>7511</v>
      </c>
      <c r="E167" s="14" t="s">
        <v>7006</v>
      </c>
      <c r="F167" s="14" t="s">
        <v>7007</v>
      </c>
      <c r="G167" s="14" t="s">
        <v>6927</v>
      </c>
    </row>
    <row r="168" spans="1:7" ht="60">
      <c r="A168" s="14" t="s">
        <v>6921</v>
      </c>
      <c r="B168" s="14" t="s">
        <v>7512</v>
      </c>
      <c r="C168" s="14" t="s">
        <v>7513</v>
      </c>
      <c r="D168" s="14" t="s">
        <v>7514</v>
      </c>
      <c r="E168" s="14" t="s">
        <v>6925</v>
      </c>
      <c r="F168" s="14" t="s">
        <v>6926</v>
      </c>
      <c r="G168" s="14" t="s">
        <v>6927</v>
      </c>
    </row>
    <row r="169" spans="1:7" ht="75">
      <c r="A169" s="14" t="s">
        <v>6921</v>
      </c>
      <c r="B169" s="14" t="s">
        <v>7515</v>
      </c>
      <c r="C169" s="14" t="s">
        <v>7516</v>
      </c>
      <c r="D169" s="14" t="s">
        <v>7517</v>
      </c>
      <c r="E169" s="14" t="s">
        <v>6925</v>
      </c>
      <c r="F169" s="14" t="s">
        <v>6926</v>
      </c>
      <c r="G169" s="14" t="s">
        <v>6927</v>
      </c>
    </row>
    <row r="170" spans="1:7" ht="45">
      <c r="A170" s="14" t="s">
        <v>6921</v>
      </c>
      <c r="B170" s="14" t="s">
        <v>7518</v>
      </c>
      <c r="C170" s="14" t="s">
        <v>7519</v>
      </c>
      <c r="D170" s="14" t="s">
        <v>7520</v>
      </c>
      <c r="E170" s="14" t="s">
        <v>6956</v>
      </c>
      <c r="F170" s="14" t="s">
        <v>6957</v>
      </c>
      <c r="G170" s="14" t="s">
        <v>6927</v>
      </c>
    </row>
    <row r="171" spans="1:7" ht="105">
      <c r="A171" s="14" t="s">
        <v>6921</v>
      </c>
      <c r="B171" s="14" t="s">
        <v>7521</v>
      </c>
      <c r="C171" s="14" t="s">
        <v>7522</v>
      </c>
      <c r="D171" s="14" t="s">
        <v>7523</v>
      </c>
      <c r="E171" s="14" t="s">
        <v>6931</v>
      </c>
      <c r="F171" s="14" t="s">
        <v>6932</v>
      </c>
      <c r="G171" s="14" t="s">
        <v>7524</v>
      </c>
    </row>
    <row r="172" spans="1:7" ht="60">
      <c r="A172" s="14" t="s">
        <v>6921</v>
      </c>
      <c r="B172" s="14" t="s">
        <v>7525</v>
      </c>
      <c r="C172" s="14" t="s">
        <v>7526</v>
      </c>
      <c r="D172" s="14" t="s">
        <v>7527</v>
      </c>
      <c r="E172" s="14" t="s">
        <v>6956</v>
      </c>
      <c r="F172" s="14" t="s">
        <v>6957</v>
      </c>
      <c r="G172" s="14" t="s">
        <v>6927</v>
      </c>
    </row>
    <row r="173" spans="1:7" ht="60">
      <c r="A173" s="14" t="s">
        <v>6921</v>
      </c>
      <c r="B173" s="14" t="s">
        <v>7528</v>
      </c>
      <c r="C173" s="14" t="s">
        <v>7529</v>
      </c>
      <c r="D173" s="14" t="s">
        <v>7530</v>
      </c>
      <c r="E173" s="14" t="s">
        <v>6925</v>
      </c>
      <c r="F173" s="14" t="s">
        <v>6965</v>
      </c>
      <c r="G173" s="14" t="s">
        <v>6927</v>
      </c>
    </row>
    <row r="174" spans="1:7" ht="105">
      <c r="A174" s="14" t="s">
        <v>6921</v>
      </c>
      <c r="B174" s="14" t="s">
        <v>7531</v>
      </c>
      <c r="C174" s="14" t="s">
        <v>7532</v>
      </c>
      <c r="D174" s="14" t="s">
        <v>7533</v>
      </c>
      <c r="E174" s="14" t="s">
        <v>6931</v>
      </c>
      <c r="F174" s="14" t="s">
        <v>6932</v>
      </c>
      <c r="G174" s="14" t="s">
        <v>7534</v>
      </c>
    </row>
    <row r="175" spans="1:7" ht="45">
      <c r="A175" s="14" t="s">
        <v>6921</v>
      </c>
      <c r="B175" s="14" t="s">
        <v>7535</v>
      </c>
      <c r="C175" s="14" t="s">
        <v>7536</v>
      </c>
      <c r="D175" s="14" t="s">
        <v>7537</v>
      </c>
      <c r="E175" s="14" t="s">
        <v>6925</v>
      </c>
      <c r="F175" s="14" t="s">
        <v>6965</v>
      </c>
      <c r="G175" s="14" t="s">
        <v>6927</v>
      </c>
    </row>
    <row r="176" spans="1:7" ht="45">
      <c r="A176" s="14" t="s">
        <v>6921</v>
      </c>
      <c r="B176" s="14" t="s">
        <v>7538</v>
      </c>
      <c r="C176" s="14" t="s">
        <v>7539</v>
      </c>
      <c r="D176" s="14" t="s">
        <v>7540</v>
      </c>
      <c r="E176" s="14" t="s">
        <v>6925</v>
      </c>
      <c r="F176" s="14" t="s">
        <v>7125</v>
      </c>
      <c r="G176" s="14" t="s">
        <v>6927</v>
      </c>
    </row>
    <row r="177" spans="1:7" ht="150">
      <c r="A177" s="14" t="s">
        <v>6921</v>
      </c>
      <c r="B177" s="14" t="s">
        <v>7541</v>
      </c>
      <c r="C177" s="14" t="s">
        <v>7542</v>
      </c>
      <c r="D177" s="14" t="s">
        <v>7543</v>
      </c>
      <c r="E177" s="14" t="s">
        <v>6925</v>
      </c>
      <c r="F177" s="14" t="s">
        <v>6926</v>
      </c>
      <c r="G177" s="14" t="s">
        <v>6927</v>
      </c>
    </row>
    <row r="178" spans="1:7" ht="45">
      <c r="A178" s="14" t="s">
        <v>6921</v>
      </c>
      <c r="B178" s="14" t="s">
        <v>7544</v>
      </c>
      <c r="C178" s="14" t="s">
        <v>7545</v>
      </c>
      <c r="D178" s="14" t="s">
        <v>7546</v>
      </c>
      <c r="E178" s="14" t="s">
        <v>6925</v>
      </c>
      <c r="F178" s="14" t="s">
        <v>6926</v>
      </c>
      <c r="G178" s="14" t="s">
        <v>6927</v>
      </c>
    </row>
    <row r="179" spans="1:7" ht="135">
      <c r="A179" s="14" t="s">
        <v>6921</v>
      </c>
      <c r="B179" s="14" t="s">
        <v>7547</v>
      </c>
      <c r="C179" s="14" t="s">
        <v>7548</v>
      </c>
      <c r="D179" s="14" t="s">
        <v>7549</v>
      </c>
      <c r="E179" s="14" t="s">
        <v>6931</v>
      </c>
      <c r="F179" s="14" t="s">
        <v>6932</v>
      </c>
      <c r="G179" s="14" t="s">
        <v>7550</v>
      </c>
    </row>
    <row r="180" spans="1:7" ht="30">
      <c r="A180" s="14" t="s">
        <v>6921</v>
      </c>
      <c r="B180" s="14" t="s">
        <v>7551</v>
      </c>
      <c r="C180" s="14" t="s">
        <v>7552</v>
      </c>
      <c r="D180" s="14" t="s">
        <v>7553</v>
      </c>
      <c r="E180" s="14" t="s">
        <v>6956</v>
      </c>
      <c r="F180" s="14" t="s">
        <v>6957</v>
      </c>
      <c r="G180" s="14" t="s">
        <v>6927</v>
      </c>
    </row>
    <row r="181" spans="1:7" ht="255">
      <c r="A181" s="14" t="s">
        <v>6921</v>
      </c>
      <c r="B181" s="14" t="s">
        <v>7554</v>
      </c>
      <c r="C181" s="14" t="s">
        <v>7555</v>
      </c>
      <c r="D181" s="14" t="s">
        <v>7556</v>
      </c>
      <c r="E181" s="14" t="s">
        <v>6925</v>
      </c>
      <c r="F181" s="14" t="s">
        <v>7046</v>
      </c>
      <c r="G181" s="14" t="s">
        <v>6927</v>
      </c>
    </row>
    <row r="182" spans="1:7" ht="45">
      <c r="A182" s="14" t="s">
        <v>6921</v>
      </c>
      <c r="B182" s="14" t="s">
        <v>7557</v>
      </c>
      <c r="C182" s="14" t="s">
        <v>7558</v>
      </c>
      <c r="D182" s="14" t="s">
        <v>7559</v>
      </c>
      <c r="E182" s="14" t="s">
        <v>6956</v>
      </c>
      <c r="F182" s="14" t="s">
        <v>6957</v>
      </c>
      <c r="G182" s="14" t="s">
        <v>6927</v>
      </c>
    </row>
    <row r="183" spans="1:7" ht="45">
      <c r="A183" s="14" t="s">
        <v>6921</v>
      </c>
      <c r="B183" s="14" t="s">
        <v>7560</v>
      </c>
      <c r="C183" s="14" t="s">
        <v>7561</v>
      </c>
      <c r="D183" s="14" t="s">
        <v>7562</v>
      </c>
      <c r="E183" s="14" t="s">
        <v>6931</v>
      </c>
      <c r="F183" s="14" t="s">
        <v>6932</v>
      </c>
      <c r="G183" s="14" t="s">
        <v>7563</v>
      </c>
    </row>
    <row r="184" spans="1:7" ht="165">
      <c r="A184" s="14" t="s">
        <v>6921</v>
      </c>
      <c r="B184" s="14" t="s">
        <v>7564</v>
      </c>
      <c r="C184" s="14" t="s">
        <v>7565</v>
      </c>
      <c r="D184" s="14" t="s">
        <v>7566</v>
      </c>
      <c r="E184" s="14" t="s">
        <v>6931</v>
      </c>
      <c r="F184" s="14" t="s">
        <v>6932</v>
      </c>
      <c r="G184" s="14" t="s">
        <v>7567</v>
      </c>
    </row>
    <row r="185" spans="1:7" ht="75">
      <c r="A185" s="14" t="s">
        <v>6921</v>
      </c>
      <c r="B185" s="14" t="s">
        <v>7568</v>
      </c>
      <c r="C185" s="14" t="s">
        <v>7569</v>
      </c>
      <c r="D185" s="14" t="s">
        <v>7570</v>
      </c>
      <c r="E185" s="14" t="s">
        <v>6956</v>
      </c>
      <c r="F185" s="14" t="s">
        <v>6957</v>
      </c>
      <c r="G185" s="14" t="s">
        <v>6927</v>
      </c>
    </row>
    <row r="186" spans="1:7" ht="75">
      <c r="A186" s="14" t="s">
        <v>6921</v>
      </c>
      <c r="B186" s="14" t="s">
        <v>7571</v>
      </c>
      <c r="C186" s="14" t="s">
        <v>7572</v>
      </c>
      <c r="D186" s="14" t="s">
        <v>7573</v>
      </c>
      <c r="E186" s="14" t="s">
        <v>6956</v>
      </c>
      <c r="F186" s="14" t="s">
        <v>6957</v>
      </c>
      <c r="G186" s="14" t="s">
        <v>6927</v>
      </c>
    </row>
    <row r="187" spans="1:7" ht="105">
      <c r="A187" s="14" t="s">
        <v>6921</v>
      </c>
      <c r="B187" s="14" t="s">
        <v>7574</v>
      </c>
      <c r="C187" s="14" t="s">
        <v>7575</v>
      </c>
      <c r="D187" s="14" t="s">
        <v>7576</v>
      </c>
      <c r="E187" s="14" t="s">
        <v>6931</v>
      </c>
      <c r="F187" s="14" t="s">
        <v>6932</v>
      </c>
      <c r="G187" s="14" t="s">
        <v>7577</v>
      </c>
    </row>
    <row r="188" spans="1:7" ht="30">
      <c r="A188" s="14" t="s">
        <v>6921</v>
      </c>
      <c r="B188" s="14" t="s">
        <v>7578</v>
      </c>
      <c r="C188" s="14" t="s">
        <v>7579</v>
      </c>
      <c r="D188" s="14" t="s">
        <v>7580</v>
      </c>
      <c r="E188" s="14" t="s">
        <v>6985</v>
      </c>
      <c r="F188" s="14" t="s">
        <v>6986</v>
      </c>
      <c r="G188" s="14" t="s">
        <v>6927</v>
      </c>
    </row>
    <row r="189" spans="1:7" ht="135">
      <c r="A189" s="14" t="s">
        <v>6921</v>
      </c>
      <c r="B189" s="14" t="s">
        <v>7581</v>
      </c>
      <c r="C189" s="14" t="s">
        <v>7582</v>
      </c>
      <c r="D189" s="14" t="s">
        <v>7583</v>
      </c>
      <c r="E189" s="14" t="s">
        <v>6931</v>
      </c>
      <c r="F189" s="14" t="s">
        <v>6932</v>
      </c>
      <c r="G189" s="14" t="s">
        <v>7584</v>
      </c>
    </row>
    <row r="190" spans="1:7" ht="30">
      <c r="A190" s="14" t="s">
        <v>6921</v>
      </c>
      <c r="B190" s="14" t="s">
        <v>7585</v>
      </c>
      <c r="C190" s="14" t="s">
        <v>7586</v>
      </c>
      <c r="D190" s="14" t="s">
        <v>7587</v>
      </c>
      <c r="E190" s="14" t="s">
        <v>6956</v>
      </c>
      <c r="F190" s="14" t="s">
        <v>6957</v>
      </c>
      <c r="G190" s="14" t="s">
        <v>6927</v>
      </c>
    </row>
    <row r="191" spans="1:7" ht="30">
      <c r="A191" s="14" t="s">
        <v>6921</v>
      </c>
      <c r="B191" s="14" t="s">
        <v>7588</v>
      </c>
      <c r="C191" s="14" t="s">
        <v>7589</v>
      </c>
      <c r="D191" s="14" t="s">
        <v>7590</v>
      </c>
      <c r="E191" s="14" t="s">
        <v>6925</v>
      </c>
      <c r="F191" s="14" t="s">
        <v>6926</v>
      </c>
      <c r="G191" s="14" t="s">
        <v>6927</v>
      </c>
    </row>
    <row r="192" spans="1:7" ht="90">
      <c r="A192" s="14" t="s">
        <v>6921</v>
      </c>
      <c r="B192" s="14" t="s">
        <v>7591</v>
      </c>
      <c r="C192" s="14" t="s">
        <v>7592</v>
      </c>
      <c r="D192" s="14" t="s">
        <v>7593</v>
      </c>
      <c r="E192" s="14" t="s">
        <v>6925</v>
      </c>
      <c r="F192" s="14" t="s">
        <v>6969</v>
      </c>
      <c r="G192" s="14" t="s">
        <v>6927</v>
      </c>
    </row>
    <row r="193" spans="1:7" ht="45">
      <c r="A193" s="14" t="s">
        <v>6921</v>
      </c>
      <c r="B193" s="14" t="s">
        <v>7594</v>
      </c>
      <c r="C193" s="14" t="s">
        <v>7595</v>
      </c>
      <c r="D193" s="14" t="s">
        <v>7596</v>
      </c>
      <c r="E193" s="14" t="s">
        <v>6925</v>
      </c>
      <c r="F193" s="14" t="s">
        <v>6969</v>
      </c>
      <c r="G193" s="14" t="s">
        <v>6927</v>
      </c>
    </row>
    <row r="194" spans="1:7" ht="30">
      <c r="A194" s="14" t="s">
        <v>6921</v>
      </c>
      <c r="B194" s="14" t="s">
        <v>7597</v>
      </c>
      <c r="C194" s="14" t="s">
        <v>7598</v>
      </c>
      <c r="D194" s="14" t="s">
        <v>7599</v>
      </c>
      <c r="E194" s="14" t="s">
        <v>6925</v>
      </c>
      <c r="F194" s="14" t="s">
        <v>6926</v>
      </c>
      <c r="G194" s="14" t="s">
        <v>6927</v>
      </c>
    </row>
    <row r="195" spans="1:7" ht="409.5">
      <c r="A195" s="14" t="s">
        <v>6921</v>
      </c>
      <c r="B195" s="14" t="s">
        <v>7600</v>
      </c>
      <c r="C195" s="14" t="s">
        <v>7601</v>
      </c>
      <c r="D195" s="14" t="s">
        <v>7602</v>
      </c>
      <c r="E195" s="14" t="s">
        <v>6931</v>
      </c>
      <c r="F195" s="14" t="s">
        <v>6932</v>
      </c>
      <c r="G195" s="14" t="s">
        <v>7603</v>
      </c>
    </row>
    <row r="196" spans="1:7" ht="75">
      <c r="A196" s="14" t="s">
        <v>6921</v>
      </c>
      <c r="B196" s="14" t="s">
        <v>7604</v>
      </c>
      <c r="C196" s="14" t="s">
        <v>7605</v>
      </c>
      <c r="D196" s="14" t="s">
        <v>7606</v>
      </c>
      <c r="E196" s="14" t="s">
        <v>6925</v>
      </c>
      <c r="F196" s="14" t="s">
        <v>7125</v>
      </c>
      <c r="G196" s="14" t="s">
        <v>6927</v>
      </c>
    </row>
    <row r="197" spans="1:7" ht="60">
      <c r="A197" s="14" t="s">
        <v>6921</v>
      </c>
      <c r="B197" s="14" t="s">
        <v>7607</v>
      </c>
      <c r="C197" s="14" t="s">
        <v>7608</v>
      </c>
      <c r="D197" s="14" t="s">
        <v>7609</v>
      </c>
      <c r="E197" s="14" t="s">
        <v>6931</v>
      </c>
      <c r="F197" s="14" t="s">
        <v>6932</v>
      </c>
      <c r="G197" s="14" t="s">
        <v>6952</v>
      </c>
    </row>
    <row r="198" spans="1:7" ht="30">
      <c r="A198" s="14" t="s">
        <v>6921</v>
      </c>
      <c r="B198" s="14" t="s">
        <v>7610</v>
      </c>
      <c r="C198" s="14" t="s">
        <v>7611</v>
      </c>
      <c r="D198" s="14" t="s">
        <v>7612</v>
      </c>
      <c r="E198" s="14" t="s">
        <v>6985</v>
      </c>
      <c r="F198" s="14" t="s">
        <v>6932</v>
      </c>
      <c r="G198" s="14" t="s">
        <v>6927</v>
      </c>
    </row>
    <row r="199" spans="1:7" ht="30">
      <c r="A199" s="14" t="s">
        <v>6921</v>
      </c>
      <c r="B199" s="14" t="s">
        <v>7613</v>
      </c>
      <c r="C199" s="14" t="s">
        <v>7614</v>
      </c>
      <c r="D199" s="14" t="s">
        <v>7615</v>
      </c>
      <c r="E199" s="14" t="s">
        <v>7006</v>
      </c>
      <c r="F199" s="14" t="s">
        <v>7232</v>
      </c>
      <c r="G199" s="14" t="s">
        <v>6927</v>
      </c>
    </row>
    <row r="200" spans="1:7" ht="30">
      <c r="A200" s="14" t="s">
        <v>6921</v>
      </c>
      <c r="B200" s="14" t="s">
        <v>7616</v>
      </c>
      <c r="C200" s="14" t="s">
        <v>7617</v>
      </c>
      <c r="D200" s="14" t="s">
        <v>7618</v>
      </c>
      <c r="E200" s="14" t="s">
        <v>6956</v>
      </c>
      <c r="F200" s="14" t="s">
        <v>6957</v>
      </c>
      <c r="G200" s="14" t="s">
        <v>6927</v>
      </c>
    </row>
    <row r="201" spans="1:7" ht="45">
      <c r="A201" s="14" t="s">
        <v>6921</v>
      </c>
      <c r="B201" s="14" t="s">
        <v>7619</v>
      </c>
      <c r="C201" s="14" t="s">
        <v>7620</v>
      </c>
      <c r="D201" s="14" t="s">
        <v>7621</v>
      </c>
      <c r="E201" s="14" t="s">
        <v>6925</v>
      </c>
      <c r="F201" s="14" t="s">
        <v>6965</v>
      </c>
      <c r="G201" s="14" t="s">
        <v>6927</v>
      </c>
    </row>
    <row r="202" spans="1:7" ht="30">
      <c r="A202" s="14" t="s">
        <v>6921</v>
      </c>
      <c r="B202" s="14" t="s">
        <v>7622</v>
      </c>
      <c r="C202" s="14" t="s">
        <v>7623</v>
      </c>
      <c r="D202" s="14" t="s">
        <v>7624</v>
      </c>
      <c r="E202" s="14" t="s">
        <v>6956</v>
      </c>
      <c r="F202" s="14" t="s">
        <v>6957</v>
      </c>
      <c r="G202" s="14" t="s">
        <v>6927</v>
      </c>
    </row>
    <row r="203" spans="1:7" ht="45">
      <c r="A203" s="14" t="s">
        <v>6921</v>
      </c>
      <c r="B203" s="14" t="s">
        <v>7625</v>
      </c>
      <c r="C203" s="14" t="s">
        <v>7626</v>
      </c>
      <c r="D203" s="14" t="s">
        <v>7627</v>
      </c>
      <c r="E203" s="14" t="s">
        <v>6925</v>
      </c>
      <c r="F203" s="14" t="s">
        <v>7067</v>
      </c>
      <c r="G203" s="14" t="s">
        <v>6927</v>
      </c>
    </row>
    <row r="204" spans="1:7" ht="135">
      <c r="A204" s="14" t="s">
        <v>6921</v>
      </c>
      <c r="B204" s="14" t="s">
        <v>7628</v>
      </c>
      <c r="C204" s="14" t="s">
        <v>7629</v>
      </c>
      <c r="D204" s="14" t="s">
        <v>7630</v>
      </c>
      <c r="E204" s="14" t="s">
        <v>6925</v>
      </c>
      <c r="F204" s="14" t="s">
        <v>6926</v>
      </c>
      <c r="G204" s="14" t="s">
        <v>7631</v>
      </c>
    </row>
    <row r="205" spans="1:7" ht="210">
      <c r="A205" s="14" t="s">
        <v>6921</v>
      </c>
      <c r="B205" s="14" t="s">
        <v>7632</v>
      </c>
      <c r="C205" s="14" t="s">
        <v>7633</v>
      </c>
      <c r="D205" s="14" t="s">
        <v>7634</v>
      </c>
      <c r="E205" s="14" t="s">
        <v>6931</v>
      </c>
      <c r="F205" s="14" t="s">
        <v>6932</v>
      </c>
      <c r="G205" s="14" t="s">
        <v>7635</v>
      </c>
    </row>
    <row r="206" spans="1:7" ht="60">
      <c r="A206" s="14" t="s">
        <v>6921</v>
      </c>
      <c r="B206" s="14" t="s">
        <v>7636</v>
      </c>
      <c r="C206" s="14" t="s">
        <v>7637</v>
      </c>
      <c r="D206" s="14" t="s">
        <v>7638</v>
      </c>
      <c r="E206" s="14" t="s">
        <v>6925</v>
      </c>
      <c r="F206" s="14" t="s">
        <v>7125</v>
      </c>
      <c r="G206" s="14" t="s">
        <v>6927</v>
      </c>
    </row>
    <row r="207" spans="1:7" ht="210">
      <c r="A207" s="14" t="s">
        <v>6921</v>
      </c>
      <c r="B207" s="14" t="s">
        <v>7639</v>
      </c>
      <c r="C207" s="14" t="s">
        <v>7640</v>
      </c>
      <c r="D207" s="14" t="s">
        <v>7641</v>
      </c>
      <c r="E207" s="14" t="s">
        <v>6931</v>
      </c>
      <c r="F207" s="14" t="s">
        <v>6932</v>
      </c>
      <c r="G207" s="14" t="s">
        <v>7642</v>
      </c>
    </row>
    <row r="208" spans="1:7" ht="60">
      <c r="A208" s="14" t="s">
        <v>6921</v>
      </c>
      <c r="B208" s="14" t="s">
        <v>7643</v>
      </c>
      <c r="C208" s="14" t="s">
        <v>7644</v>
      </c>
      <c r="D208" s="14" t="s">
        <v>7645</v>
      </c>
      <c r="E208" s="14" t="s">
        <v>6925</v>
      </c>
      <c r="F208" s="14" t="s">
        <v>6969</v>
      </c>
      <c r="G208" s="14" t="s">
        <v>6927</v>
      </c>
    </row>
    <row r="209" spans="1:7" ht="30">
      <c r="A209" s="14" t="s">
        <v>6921</v>
      </c>
      <c r="B209" s="14" t="s">
        <v>7646</v>
      </c>
      <c r="C209" s="14" t="s">
        <v>7647</v>
      </c>
      <c r="D209" s="14" t="s">
        <v>7648</v>
      </c>
      <c r="E209" s="14" t="s">
        <v>6956</v>
      </c>
      <c r="F209" s="14" t="s">
        <v>6957</v>
      </c>
      <c r="G209" s="14" t="s">
        <v>6927</v>
      </c>
    </row>
    <row r="210" spans="1:7" ht="75">
      <c r="A210" s="14" t="s">
        <v>6921</v>
      </c>
      <c r="B210" s="14" t="s">
        <v>7649</v>
      </c>
      <c r="C210" s="14" t="s">
        <v>7650</v>
      </c>
      <c r="D210" s="14" t="s">
        <v>7651</v>
      </c>
      <c r="E210" s="14" t="s">
        <v>6931</v>
      </c>
      <c r="F210" s="14" t="s">
        <v>6932</v>
      </c>
      <c r="G210" s="14" t="s">
        <v>7652</v>
      </c>
    </row>
    <row r="211" spans="1:7" ht="45">
      <c r="A211" s="14" t="s">
        <v>6921</v>
      </c>
      <c r="B211" s="14" t="s">
        <v>7653</v>
      </c>
      <c r="C211" s="14" t="s">
        <v>7654</v>
      </c>
      <c r="D211" s="14" t="s">
        <v>7655</v>
      </c>
      <c r="E211" s="14" t="s">
        <v>6925</v>
      </c>
      <c r="F211" s="14" t="s">
        <v>6969</v>
      </c>
      <c r="G211" s="14" t="s">
        <v>6927</v>
      </c>
    </row>
    <row r="212" spans="1:7" ht="75">
      <c r="A212" s="14" t="s">
        <v>6921</v>
      </c>
      <c r="B212" s="14" t="s">
        <v>7656</v>
      </c>
      <c r="C212" s="14" t="s">
        <v>7657</v>
      </c>
      <c r="D212" s="14" t="s">
        <v>7658</v>
      </c>
      <c r="E212" s="14" t="s">
        <v>6925</v>
      </c>
      <c r="F212" s="14" t="s">
        <v>7125</v>
      </c>
      <c r="G212" s="14" t="s">
        <v>6927</v>
      </c>
    </row>
    <row r="213" spans="1:7" ht="30">
      <c r="A213" s="14" t="s">
        <v>6921</v>
      </c>
      <c r="B213" s="14" t="s">
        <v>7659</v>
      </c>
      <c r="C213" s="14" t="s">
        <v>7660</v>
      </c>
      <c r="D213" s="14" t="s">
        <v>7661</v>
      </c>
      <c r="E213" s="14" t="s">
        <v>6925</v>
      </c>
      <c r="F213" s="14" t="s">
        <v>6926</v>
      </c>
      <c r="G213" s="14" t="s">
        <v>6927</v>
      </c>
    </row>
    <row r="214" spans="1:7" ht="30">
      <c r="A214" s="14" t="s">
        <v>6921</v>
      </c>
      <c r="B214" s="14" t="s">
        <v>7662</v>
      </c>
      <c r="C214" s="14" t="s">
        <v>7663</v>
      </c>
      <c r="D214" s="14" t="s">
        <v>7664</v>
      </c>
      <c r="E214" s="14" t="s">
        <v>7006</v>
      </c>
      <c r="F214" s="14" t="s">
        <v>7455</v>
      </c>
      <c r="G214" s="14" t="s">
        <v>6927</v>
      </c>
    </row>
    <row r="215" spans="1:7" ht="45">
      <c r="A215" s="14" t="s">
        <v>6921</v>
      </c>
      <c r="B215" s="14" t="s">
        <v>7665</v>
      </c>
      <c r="C215" s="14" t="s">
        <v>7666</v>
      </c>
      <c r="D215" s="14" t="s">
        <v>7667</v>
      </c>
      <c r="E215" s="14" t="s">
        <v>6956</v>
      </c>
      <c r="F215" s="14" t="s">
        <v>6957</v>
      </c>
      <c r="G215" s="14" t="s">
        <v>6927</v>
      </c>
    </row>
    <row r="216" spans="1:7" ht="330">
      <c r="A216" s="14" t="s">
        <v>6921</v>
      </c>
      <c r="B216" s="14" t="s">
        <v>7668</v>
      </c>
      <c r="C216" s="14" t="s">
        <v>7669</v>
      </c>
      <c r="D216" s="14" t="s">
        <v>7670</v>
      </c>
      <c r="E216" s="14" t="s">
        <v>6931</v>
      </c>
      <c r="F216" s="14" t="s">
        <v>6932</v>
      </c>
      <c r="G216" s="14" t="s">
        <v>7671</v>
      </c>
    </row>
    <row r="217" spans="1:7" ht="45">
      <c r="A217" s="14" t="s">
        <v>6921</v>
      </c>
      <c r="B217" s="14" t="s">
        <v>7672</v>
      </c>
      <c r="C217" s="14" t="s">
        <v>7673</v>
      </c>
      <c r="D217" s="14" t="s">
        <v>7674</v>
      </c>
      <c r="E217" s="14" t="s">
        <v>6985</v>
      </c>
      <c r="F217" s="14" t="s">
        <v>7135</v>
      </c>
      <c r="G217" s="14" t="s">
        <v>6927</v>
      </c>
    </row>
    <row r="218" spans="1:7" ht="45">
      <c r="A218" s="14" t="s">
        <v>6921</v>
      </c>
      <c r="B218" s="14" t="s">
        <v>7675</v>
      </c>
      <c r="C218" s="14" t="s">
        <v>7676</v>
      </c>
      <c r="D218" s="14" t="s">
        <v>7677</v>
      </c>
      <c r="E218" s="14" t="s">
        <v>6985</v>
      </c>
      <c r="F218" s="14" t="s">
        <v>7135</v>
      </c>
      <c r="G218" s="14" t="s">
        <v>6927</v>
      </c>
    </row>
    <row r="219" spans="1:7" ht="30">
      <c r="A219" s="14" t="s">
        <v>6921</v>
      </c>
      <c r="B219" s="14" t="s">
        <v>7678</v>
      </c>
      <c r="C219" s="14" t="s">
        <v>7679</v>
      </c>
      <c r="D219" s="14" t="s">
        <v>7680</v>
      </c>
      <c r="E219" s="14" t="s">
        <v>6956</v>
      </c>
      <c r="F219" s="14" t="s">
        <v>6957</v>
      </c>
      <c r="G219" s="14" t="s">
        <v>6927</v>
      </c>
    </row>
    <row r="220" spans="1:7" ht="30">
      <c r="A220" s="14" t="s">
        <v>6921</v>
      </c>
      <c r="B220" s="14" t="s">
        <v>7681</v>
      </c>
      <c r="C220" s="14" t="s">
        <v>7682</v>
      </c>
      <c r="D220" s="14" t="s">
        <v>7683</v>
      </c>
      <c r="E220" s="14" t="s">
        <v>6925</v>
      </c>
      <c r="F220" s="14" t="s">
        <v>6926</v>
      </c>
      <c r="G220" s="14" t="s">
        <v>6927</v>
      </c>
    </row>
    <row r="221" spans="1:7" ht="45">
      <c r="A221" s="14" t="s">
        <v>6921</v>
      </c>
      <c r="B221" s="14" t="s">
        <v>7684</v>
      </c>
      <c r="C221" s="14" t="s">
        <v>7685</v>
      </c>
      <c r="D221" s="14" t="s">
        <v>7686</v>
      </c>
      <c r="E221" s="14" t="s">
        <v>7006</v>
      </c>
      <c r="F221" s="14" t="s">
        <v>7687</v>
      </c>
      <c r="G221" s="14" t="s">
        <v>6927</v>
      </c>
    </row>
    <row r="222" spans="1:7" ht="30">
      <c r="A222" s="14" t="s">
        <v>6921</v>
      </c>
      <c r="B222" s="14" t="s">
        <v>7688</v>
      </c>
      <c r="C222" s="14" t="s">
        <v>7689</v>
      </c>
      <c r="D222" s="14" t="s">
        <v>7690</v>
      </c>
      <c r="E222" s="14" t="s">
        <v>6925</v>
      </c>
      <c r="F222" s="14" t="s">
        <v>6969</v>
      </c>
      <c r="G222" s="14" t="s">
        <v>6927</v>
      </c>
    </row>
    <row r="223" spans="1:7" ht="30">
      <c r="A223" s="14" t="s">
        <v>6921</v>
      </c>
      <c r="B223" s="14" t="s">
        <v>7691</v>
      </c>
      <c r="C223" s="14" t="s">
        <v>7692</v>
      </c>
      <c r="D223" s="14" t="s">
        <v>7693</v>
      </c>
      <c r="E223" s="14" t="s">
        <v>6925</v>
      </c>
      <c r="F223" s="14" t="s">
        <v>7067</v>
      </c>
      <c r="G223" s="14" t="s">
        <v>6927</v>
      </c>
    </row>
    <row r="224" spans="1:7" ht="90">
      <c r="A224" s="14" t="s">
        <v>6921</v>
      </c>
      <c r="B224" s="14" t="s">
        <v>7694</v>
      </c>
      <c r="C224" s="14" t="s">
        <v>7695</v>
      </c>
      <c r="D224" s="14" t="s">
        <v>7696</v>
      </c>
      <c r="E224" s="14" t="s">
        <v>6931</v>
      </c>
      <c r="F224" s="14" t="s">
        <v>6932</v>
      </c>
      <c r="G224" s="14" t="s">
        <v>7697</v>
      </c>
    </row>
    <row r="225" spans="1:7" ht="30">
      <c r="A225" s="14" t="s">
        <v>6921</v>
      </c>
      <c r="B225" s="14" t="s">
        <v>7698</v>
      </c>
      <c r="C225" s="14" t="s">
        <v>7699</v>
      </c>
      <c r="D225" s="14" t="s">
        <v>7700</v>
      </c>
      <c r="E225" s="14" t="s">
        <v>6985</v>
      </c>
      <c r="F225" s="14" t="s">
        <v>6932</v>
      </c>
      <c r="G225" s="14" t="s">
        <v>6927</v>
      </c>
    </row>
    <row r="226" spans="1:7" ht="45">
      <c r="A226" s="14" t="s">
        <v>6921</v>
      </c>
      <c r="B226" s="14" t="s">
        <v>7701</v>
      </c>
      <c r="C226" s="14" t="s">
        <v>7702</v>
      </c>
      <c r="D226" s="14" t="s">
        <v>7703</v>
      </c>
      <c r="E226" s="14" t="s">
        <v>6956</v>
      </c>
      <c r="F226" s="14" t="s">
        <v>6957</v>
      </c>
      <c r="G226" s="14" t="s">
        <v>6927</v>
      </c>
    </row>
    <row r="227" spans="1:7" ht="30">
      <c r="A227" s="14" t="s">
        <v>6921</v>
      </c>
      <c r="B227" s="14" t="s">
        <v>7704</v>
      </c>
      <c r="C227" s="14" t="s">
        <v>7705</v>
      </c>
      <c r="D227" s="14" t="s">
        <v>7706</v>
      </c>
      <c r="E227" s="14" t="s">
        <v>6956</v>
      </c>
      <c r="F227" s="14" t="s">
        <v>6957</v>
      </c>
      <c r="G227" s="14" t="s">
        <v>6927</v>
      </c>
    </row>
    <row r="228" spans="1:7" ht="45">
      <c r="A228" s="14" t="s">
        <v>6921</v>
      </c>
      <c r="B228" s="14" t="s">
        <v>7707</v>
      </c>
      <c r="C228" s="14" t="s">
        <v>7708</v>
      </c>
      <c r="D228" s="14" t="s">
        <v>7709</v>
      </c>
      <c r="E228" s="14" t="s">
        <v>6956</v>
      </c>
      <c r="F228" s="14" t="s">
        <v>6957</v>
      </c>
      <c r="G228" s="14" t="s">
        <v>6927</v>
      </c>
    </row>
    <row r="229" spans="1:7" ht="60">
      <c r="A229" s="14" t="s">
        <v>6921</v>
      </c>
      <c r="B229" s="14" t="s">
        <v>7710</v>
      </c>
      <c r="C229" s="14" t="s">
        <v>7711</v>
      </c>
      <c r="D229" s="14" t="s">
        <v>7712</v>
      </c>
      <c r="E229" s="14" t="s">
        <v>6956</v>
      </c>
      <c r="F229" s="14" t="s">
        <v>6957</v>
      </c>
      <c r="G229" s="14" t="s">
        <v>6927</v>
      </c>
    </row>
    <row r="230" spans="1:7" ht="45">
      <c r="A230" s="14" t="s">
        <v>6921</v>
      </c>
      <c r="B230" s="14" t="s">
        <v>7713</v>
      </c>
      <c r="C230" s="14" t="s">
        <v>7714</v>
      </c>
      <c r="D230" s="14" t="s">
        <v>7715</v>
      </c>
      <c r="E230" s="14" t="s">
        <v>6956</v>
      </c>
      <c r="F230" s="14" t="s">
        <v>6957</v>
      </c>
      <c r="G230" s="14" t="s">
        <v>6927</v>
      </c>
    </row>
    <row r="231" spans="1:7" ht="30">
      <c r="A231" s="14" t="s">
        <v>6921</v>
      </c>
      <c r="B231" s="14" t="s">
        <v>7716</v>
      </c>
      <c r="C231" s="14" t="s">
        <v>7717</v>
      </c>
      <c r="D231" s="14" t="s">
        <v>7718</v>
      </c>
      <c r="E231" s="14" t="s">
        <v>6956</v>
      </c>
      <c r="F231" s="14" t="s">
        <v>6957</v>
      </c>
      <c r="G231" s="14" t="s">
        <v>6927</v>
      </c>
    </row>
    <row r="232" spans="1:7" ht="60">
      <c r="A232" s="14" t="s">
        <v>6921</v>
      </c>
      <c r="B232" s="14" t="s">
        <v>7719</v>
      </c>
      <c r="C232" s="14" t="s">
        <v>7720</v>
      </c>
      <c r="D232" s="14" t="s">
        <v>7721</v>
      </c>
      <c r="E232" s="14" t="s">
        <v>6956</v>
      </c>
      <c r="F232" s="14" t="s">
        <v>6957</v>
      </c>
      <c r="G232" s="14" t="s">
        <v>6927</v>
      </c>
    </row>
    <row r="233" spans="1:7" ht="45">
      <c r="A233" s="14" t="s">
        <v>6921</v>
      </c>
      <c r="B233" s="14" t="s">
        <v>7722</v>
      </c>
      <c r="C233" s="14" t="s">
        <v>7723</v>
      </c>
      <c r="D233" s="14" t="s">
        <v>7724</v>
      </c>
      <c r="E233" s="14" t="s">
        <v>6956</v>
      </c>
      <c r="F233" s="14" t="s">
        <v>6957</v>
      </c>
      <c r="G233" s="14" t="s">
        <v>6927</v>
      </c>
    </row>
    <row r="234" spans="1:7" ht="60">
      <c r="A234" s="14" t="s">
        <v>6921</v>
      </c>
      <c r="B234" s="14" t="s">
        <v>7725</v>
      </c>
      <c r="C234" s="14" t="s">
        <v>7726</v>
      </c>
      <c r="D234" s="14" t="s">
        <v>7727</v>
      </c>
      <c r="E234" s="14" t="s">
        <v>6956</v>
      </c>
      <c r="F234" s="14" t="s">
        <v>6957</v>
      </c>
      <c r="G234" s="14" t="s">
        <v>6927</v>
      </c>
    </row>
    <row r="235" spans="1:7" ht="30">
      <c r="A235" s="14" t="s">
        <v>6921</v>
      </c>
      <c r="B235" s="14" t="s">
        <v>7728</v>
      </c>
      <c r="C235" s="14" t="s">
        <v>7729</v>
      </c>
      <c r="D235" s="14" t="s">
        <v>7730</v>
      </c>
      <c r="E235" s="14" t="s">
        <v>6956</v>
      </c>
      <c r="F235" s="14" t="s">
        <v>6957</v>
      </c>
      <c r="G235" s="14" t="s">
        <v>6927</v>
      </c>
    </row>
    <row r="236" spans="1:7" ht="30">
      <c r="A236" s="14" t="s">
        <v>6921</v>
      </c>
      <c r="B236" s="14" t="s">
        <v>7731</v>
      </c>
      <c r="C236" s="14" t="s">
        <v>7732</v>
      </c>
      <c r="D236" s="14" t="s">
        <v>7733</v>
      </c>
      <c r="E236" s="14" t="s">
        <v>6956</v>
      </c>
      <c r="F236" s="14" t="s">
        <v>6957</v>
      </c>
      <c r="G236" s="14" t="s">
        <v>6927</v>
      </c>
    </row>
    <row r="237" spans="1:7" ht="105">
      <c r="A237" s="14" t="s">
        <v>6921</v>
      </c>
      <c r="B237" s="14" t="s">
        <v>7734</v>
      </c>
      <c r="C237" s="14" t="s">
        <v>7735</v>
      </c>
      <c r="D237" s="14" t="s">
        <v>7736</v>
      </c>
      <c r="E237" s="14" t="s">
        <v>6931</v>
      </c>
      <c r="F237" s="14" t="s">
        <v>6932</v>
      </c>
      <c r="G237" s="14" t="s">
        <v>7737</v>
      </c>
    </row>
    <row r="238" spans="1:7" ht="105">
      <c r="A238" s="14" t="s">
        <v>6921</v>
      </c>
      <c r="B238" s="14" t="s">
        <v>7738</v>
      </c>
      <c r="C238" s="14" t="s">
        <v>7739</v>
      </c>
      <c r="D238" s="14" t="s">
        <v>7740</v>
      </c>
      <c r="E238" s="14" t="s">
        <v>6931</v>
      </c>
      <c r="F238" s="14" t="s">
        <v>6932</v>
      </c>
      <c r="G238" s="14" t="s">
        <v>7741</v>
      </c>
    </row>
    <row r="239" spans="1:7" ht="60">
      <c r="A239" s="14" t="s">
        <v>6921</v>
      </c>
      <c r="B239" s="14" t="s">
        <v>7742</v>
      </c>
      <c r="C239" s="14" t="s">
        <v>7743</v>
      </c>
      <c r="D239" s="14" t="s">
        <v>7744</v>
      </c>
      <c r="E239" s="14" t="s">
        <v>7006</v>
      </c>
      <c r="F239" s="14" t="s">
        <v>7745</v>
      </c>
      <c r="G239" s="14" t="s">
        <v>6927</v>
      </c>
    </row>
    <row r="240" spans="1:7" ht="30">
      <c r="A240" s="14" t="s">
        <v>6921</v>
      </c>
      <c r="B240" s="14" t="s">
        <v>7746</v>
      </c>
      <c r="C240" s="14" t="s">
        <v>7747</v>
      </c>
      <c r="D240" s="14" t="s">
        <v>7748</v>
      </c>
      <c r="E240" s="14" t="s">
        <v>6925</v>
      </c>
      <c r="F240" s="14" t="s">
        <v>6969</v>
      </c>
      <c r="G240" s="14" t="s">
        <v>6927</v>
      </c>
    </row>
    <row r="241" spans="1:7" ht="30">
      <c r="A241" s="14" t="s">
        <v>6921</v>
      </c>
      <c r="B241" s="14" t="s">
        <v>7749</v>
      </c>
      <c r="C241" s="14" t="s">
        <v>7750</v>
      </c>
      <c r="D241" s="14" t="s">
        <v>7751</v>
      </c>
      <c r="E241" s="14" t="s">
        <v>6956</v>
      </c>
      <c r="F241" s="14" t="s">
        <v>6957</v>
      </c>
      <c r="G241" s="14" t="s">
        <v>6927</v>
      </c>
    </row>
    <row r="242" spans="1:7" ht="30">
      <c r="A242" s="14" t="s">
        <v>6921</v>
      </c>
      <c r="B242" s="14" t="s">
        <v>7752</v>
      </c>
      <c r="C242" s="14" t="s">
        <v>7753</v>
      </c>
      <c r="D242" s="14" t="s">
        <v>7754</v>
      </c>
      <c r="E242" s="14" t="s">
        <v>7006</v>
      </c>
      <c r="F242" s="14" t="s">
        <v>7365</v>
      </c>
      <c r="G242" s="14" t="s">
        <v>6927</v>
      </c>
    </row>
    <row r="243" spans="1:7" ht="165">
      <c r="A243" s="14" t="s">
        <v>6921</v>
      </c>
      <c r="B243" s="14" t="s">
        <v>7755</v>
      </c>
      <c r="C243" s="14" t="s">
        <v>7756</v>
      </c>
      <c r="D243" s="14" t="s">
        <v>7757</v>
      </c>
      <c r="E243" s="14" t="s">
        <v>6931</v>
      </c>
      <c r="F243" s="14" t="s">
        <v>6932</v>
      </c>
      <c r="G243" s="14" t="s">
        <v>7758</v>
      </c>
    </row>
    <row r="244" spans="1:7" ht="30">
      <c r="A244" s="14" t="s">
        <v>6921</v>
      </c>
      <c r="B244" s="14" t="s">
        <v>7759</v>
      </c>
      <c r="C244" s="14" t="s">
        <v>7760</v>
      </c>
      <c r="D244" s="14" t="s">
        <v>7761</v>
      </c>
      <c r="E244" s="14" t="s">
        <v>7006</v>
      </c>
      <c r="F244" s="14" t="s">
        <v>7007</v>
      </c>
      <c r="G244" s="14" t="s">
        <v>6927</v>
      </c>
    </row>
    <row r="245" spans="1:7" ht="90">
      <c r="A245" s="14" t="s">
        <v>6921</v>
      </c>
      <c r="B245" s="14" t="s">
        <v>7762</v>
      </c>
      <c r="C245" s="14" t="s">
        <v>7763</v>
      </c>
      <c r="D245" s="14" t="s">
        <v>7764</v>
      </c>
      <c r="E245" s="14" t="s">
        <v>6925</v>
      </c>
      <c r="F245" s="14" t="s">
        <v>7067</v>
      </c>
      <c r="G245" s="14" t="s">
        <v>6927</v>
      </c>
    </row>
    <row r="246" spans="1:7" ht="285">
      <c r="A246" s="14" t="s">
        <v>6921</v>
      </c>
      <c r="B246" s="14" t="s">
        <v>7765</v>
      </c>
      <c r="C246" s="14" t="s">
        <v>7766</v>
      </c>
      <c r="D246" s="14" t="s">
        <v>7767</v>
      </c>
      <c r="E246" s="14" t="s">
        <v>6931</v>
      </c>
      <c r="F246" s="14" t="s">
        <v>6932</v>
      </c>
      <c r="G246" s="14" t="s">
        <v>7768</v>
      </c>
    </row>
    <row r="247" spans="1:7" ht="30">
      <c r="A247" s="14" t="s">
        <v>6921</v>
      </c>
      <c r="B247" s="14" t="s">
        <v>7769</v>
      </c>
      <c r="C247" s="14" t="s">
        <v>7770</v>
      </c>
      <c r="D247" s="14" t="s">
        <v>7771</v>
      </c>
      <c r="E247" s="14" t="s">
        <v>7006</v>
      </c>
      <c r="F247" s="14" t="s">
        <v>7007</v>
      </c>
      <c r="G247" s="14" t="s">
        <v>6927</v>
      </c>
    </row>
    <row r="248" spans="1:7" ht="45">
      <c r="A248" s="14" t="s">
        <v>6921</v>
      </c>
      <c r="B248" s="14" t="s">
        <v>7772</v>
      </c>
      <c r="C248" s="14" t="s">
        <v>7773</v>
      </c>
      <c r="D248" s="14" t="s">
        <v>7774</v>
      </c>
      <c r="E248" s="14" t="s">
        <v>6956</v>
      </c>
      <c r="F248" s="14" t="s">
        <v>6957</v>
      </c>
      <c r="G248" s="14" t="s">
        <v>6927</v>
      </c>
    </row>
    <row r="249" spans="1:7" ht="30">
      <c r="A249" s="14" t="s">
        <v>6921</v>
      </c>
      <c r="B249" s="14" t="s">
        <v>7775</v>
      </c>
      <c r="C249" s="14" t="s">
        <v>7776</v>
      </c>
      <c r="D249" s="14" t="s">
        <v>7777</v>
      </c>
      <c r="E249" s="14" t="s">
        <v>6925</v>
      </c>
      <c r="F249" s="14" t="s">
        <v>6926</v>
      </c>
      <c r="G249" s="14" t="s">
        <v>6927</v>
      </c>
    </row>
    <row r="250" spans="1:7" ht="30">
      <c r="A250" s="14" t="s">
        <v>6921</v>
      </c>
      <c r="B250" s="14" t="s">
        <v>7778</v>
      </c>
      <c r="C250" s="14" t="s">
        <v>7779</v>
      </c>
      <c r="D250" s="14" t="s">
        <v>7780</v>
      </c>
      <c r="E250" s="14" t="s">
        <v>6925</v>
      </c>
      <c r="F250" s="14" t="s">
        <v>6965</v>
      </c>
      <c r="G250" s="14" t="s">
        <v>6927</v>
      </c>
    </row>
    <row r="251" spans="1:7" ht="195">
      <c r="A251" s="14" t="s">
        <v>6921</v>
      </c>
      <c r="B251" s="14" t="s">
        <v>7781</v>
      </c>
      <c r="C251" s="14" t="s">
        <v>7782</v>
      </c>
      <c r="D251" s="14" t="s">
        <v>7783</v>
      </c>
      <c r="E251" s="14" t="s">
        <v>6931</v>
      </c>
      <c r="F251" s="14" t="s">
        <v>6932</v>
      </c>
      <c r="G251" s="14" t="s">
        <v>7784</v>
      </c>
    </row>
    <row r="252" spans="1:7" ht="45">
      <c r="A252" s="14" t="s">
        <v>6921</v>
      </c>
      <c r="B252" s="14" t="s">
        <v>7785</v>
      </c>
      <c r="C252" s="14" t="s">
        <v>7786</v>
      </c>
      <c r="D252" s="14" t="s">
        <v>7787</v>
      </c>
      <c r="E252" s="14" t="s">
        <v>6925</v>
      </c>
      <c r="F252" s="14" t="s">
        <v>6926</v>
      </c>
      <c r="G252" s="14" t="s">
        <v>6927</v>
      </c>
    </row>
    <row r="253" spans="1:7" ht="60">
      <c r="A253" s="14" t="s">
        <v>6921</v>
      </c>
      <c r="B253" s="14" t="s">
        <v>7788</v>
      </c>
      <c r="C253" s="14" t="s">
        <v>7789</v>
      </c>
      <c r="D253" s="14" t="s">
        <v>7790</v>
      </c>
      <c r="E253" s="14" t="s">
        <v>6931</v>
      </c>
      <c r="F253" s="14" t="s">
        <v>6932</v>
      </c>
      <c r="G253" s="14" t="s">
        <v>7791</v>
      </c>
    </row>
    <row r="254" spans="1:7" ht="60">
      <c r="A254" s="14" t="s">
        <v>6921</v>
      </c>
      <c r="B254" s="14" t="s">
        <v>7792</v>
      </c>
      <c r="C254" s="14" t="s">
        <v>7793</v>
      </c>
      <c r="D254" s="14" t="s">
        <v>7794</v>
      </c>
      <c r="E254" s="14" t="s">
        <v>6925</v>
      </c>
      <c r="F254" s="14" t="s">
        <v>6969</v>
      </c>
      <c r="G254" s="14" t="s">
        <v>6927</v>
      </c>
    </row>
    <row r="255" spans="1:7" ht="120">
      <c r="A255" s="14" t="s">
        <v>6921</v>
      </c>
      <c r="B255" s="14" t="s">
        <v>7795</v>
      </c>
      <c r="C255" s="14" t="s">
        <v>7796</v>
      </c>
      <c r="D255" s="14" t="s">
        <v>7797</v>
      </c>
      <c r="E255" s="14" t="s">
        <v>6931</v>
      </c>
      <c r="F255" s="14" t="s">
        <v>6932</v>
      </c>
      <c r="G255" s="14" t="s">
        <v>7798</v>
      </c>
    </row>
    <row r="256" spans="1:7" ht="375">
      <c r="A256" s="14" t="s">
        <v>6921</v>
      </c>
      <c r="B256" s="14" t="s">
        <v>7799</v>
      </c>
      <c r="C256" s="14" t="s">
        <v>7800</v>
      </c>
      <c r="D256" s="14" t="s">
        <v>7801</v>
      </c>
      <c r="E256" s="14" t="s">
        <v>6931</v>
      </c>
      <c r="F256" s="14" t="s">
        <v>6932</v>
      </c>
      <c r="G256" s="14" t="s">
        <v>7802</v>
      </c>
    </row>
    <row r="257" spans="1:7" ht="30">
      <c r="A257" s="14" t="s">
        <v>6921</v>
      </c>
      <c r="B257" s="14" t="s">
        <v>7803</v>
      </c>
      <c r="C257" s="14" t="s">
        <v>7804</v>
      </c>
      <c r="D257" s="14" t="s">
        <v>7805</v>
      </c>
      <c r="E257" s="14" t="s">
        <v>7006</v>
      </c>
      <c r="F257" s="14" t="s">
        <v>7308</v>
      </c>
      <c r="G257" s="14" t="s">
        <v>6927</v>
      </c>
    </row>
    <row r="258" spans="1:7" ht="409.5">
      <c r="A258" s="14" t="s">
        <v>6921</v>
      </c>
      <c r="B258" s="14" t="s">
        <v>7806</v>
      </c>
      <c r="C258" s="14" t="s">
        <v>7807</v>
      </c>
      <c r="D258" s="14" t="s">
        <v>7808</v>
      </c>
      <c r="E258" s="14" t="s">
        <v>6931</v>
      </c>
      <c r="F258" s="14" t="s">
        <v>6932</v>
      </c>
      <c r="G258" s="14" t="s">
        <v>7809</v>
      </c>
    </row>
    <row r="259" spans="1:7" ht="45">
      <c r="A259" s="14" t="s">
        <v>6921</v>
      </c>
      <c r="B259" s="14" t="s">
        <v>7810</v>
      </c>
      <c r="C259" s="14" t="s">
        <v>7811</v>
      </c>
      <c r="D259" s="14" t="s">
        <v>7812</v>
      </c>
      <c r="E259" s="14" t="s">
        <v>6931</v>
      </c>
      <c r="F259" s="14" t="s">
        <v>6932</v>
      </c>
      <c r="G259" s="14" t="s">
        <v>6952</v>
      </c>
    </row>
    <row r="260" spans="1:7" ht="165">
      <c r="A260" s="14" t="s">
        <v>6921</v>
      </c>
      <c r="B260" s="14" t="s">
        <v>7813</v>
      </c>
      <c r="C260" s="14" t="s">
        <v>7814</v>
      </c>
      <c r="D260" s="14" t="s">
        <v>7815</v>
      </c>
      <c r="E260" s="14" t="s">
        <v>6931</v>
      </c>
      <c r="F260" s="14" t="s">
        <v>6932</v>
      </c>
      <c r="G260" s="14" t="s">
        <v>7816</v>
      </c>
    </row>
    <row r="261" spans="1:7" ht="240">
      <c r="A261" s="14" t="s">
        <v>6921</v>
      </c>
      <c r="B261" s="14" t="s">
        <v>7817</v>
      </c>
      <c r="C261" s="14" t="s">
        <v>7818</v>
      </c>
      <c r="D261" s="14" t="s">
        <v>7819</v>
      </c>
      <c r="E261" s="14" t="s">
        <v>6931</v>
      </c>
      <c r="F261" s="14" t="s">
        <v>6932</v>
      </c>
      <c r="G261" s="14" t="s">
        <v>7820</v>
      </c>
    </row>
    <row r="262" spans="1:7" ht="75">
      <c r="A262" s="14" t="s">
        <v>6921</v>
      </c>
      <c r="B262" s="14" t="s">
        <v>7821</v>
      </c>
      <c r="C262" s="14" t="s">
        <v>7822</v>
      </c>
      <c r="D262" s="14" t="s">
        <v>7823</v>
      </c>
      <c r="E262" s="14" t="s">
        <v>6931</v>
      </c>
      <c r="F262" s="14" t="s">
        <v>6932</v>
      </c>
      <c r="G262" s="14" t="s">
        <v>7824</v>
      </c>
    </row>
    <row r="263" spans="1:7" ht="30">
      <c r="A263" s="14" t="s">
        <v>6921</v>
      </c>
      <c r="B263" s="14" t="s">
        <v>7825</v>
      </c>
      <c r="C263" s="14" t="s">
        <v>7826</v>
      </c>
      <c r="D263" s="14" t="s">
        <v>7827</v>
      </c>
      <c r="E263" s="14" t="s">
        <v>6985</v>
      </c>
      <c r="F263" s="14" t="s">
        <v>7828</v>
      </c>
      <c r="G263" s="14" t="s">
        <v>6927</v>
      </c>
    </row>
    <row r="264" spans="1:7" ht="285">
      <c r="A264" s="14" t="s">
        <v>6921</v>
      </c>
      <c r="B264" s="14" t="s">
        <v>7829</v>
      </c>
      <c r="C264" s="14" t="s">
        <v>7830</v>
      </c>
      <c r="D264" s="14" t="s">
        <v>7831</v>
      </c>
      <c r="E264" s="14" t="s">
        <v>6931</v>
      </c>
      <c r="F264" s="14" t="s">
        <v>6932</v>
      </c>
      <c r="G264" s="14" t="s">
        <v>7768</v>
      </c>
    </row>
    <row r="265" spans="1:7" ht="285">
      <c r="A265" s="14" t="s">
        <v>6921</v>
      </c>
      <c r="B265" s="14" t="s">
        <v>7832</v>
      </c>
      <c r="C265" s="14" t="s">
        <v>7833</v>
      </c>
      <c r="D265" s="14" t="s">
        <v>7834</v>
      </c>
      <c r="E265" s="14" t="s">
        <v>6931</v>
      </c>
      <c r="F265" s="14" t="s">
        <v>6932</v>
      </c>
      <c r="G265" s="14" t="s">
        <v>7768</v>
      </c>
    </row>
    <row r="266" spans="1:7" ht="90">
      <c r="A266" s="14" t="s">
        <v>6921</v>
      </c>
      <c r="B266" s="14" t="s">
        <v>7835</v>
      </c>
      <c r="C266" s="14" t="s">
        <v>7836</v>
      </c>
      <c r="D266" s="14" t="s">
        <v>7837</v>
      </c>
      <c r="E266" s="14" t="s">
        <v>6925</v>
      </c>
      <c r="F266" s="14" t="s">
        <v>6926</v>
      </c>
      <c r="G266" s="14" t="s">
        <v>6927</v>
      </c>
    </row>
    <row r="267" spans="1:7" ht="240">
      <c r="A267" s="14" t="s">
        <v>6921</v>
      </c>
      <c r="B267" s="14" t="s">
        <v>7838</v>
      </c>
      <c r="C267" s="14" t="s">
        <v>7839</v>
      </c>
      <c r="D267" s="14" t="s">
        <v>7840</v>
      </c>
      <c r="E267" s="14" t="s">
        <v>6931</v>
      </c>
      <c r="F267" s="14" t="s">
        <v>6932</v>
      </c>
      <c r="G267" s="14" t="s">
        <v>7841</v>
      </c>
    </row>
    <row r="268" spans="1:7" ht="285">
      <c r="A268" s="14" t="s">
        <v>6921</v>
      </c>
      <c r="B268" s="14" t="s">
        <v>7842</v>
      </c>
      <c r="C268" s="14" t="s">
        <v>7843</v>
      </c>
      <c r="D268" s="14" t="s">
        <v>7844</v>
      </c>
      <c r="E268" s="14" t="s">
        <v>6931</v>
      </c>
      <c r="F268" s="14" t="s">
        <v>6932</v>
      </c>
      <c r="G268" s="14" t="s">
        <v>7768</v>
      </c>
    </row>
    <row r="269" spans="1:7" ht="210">
      <c r="A269" s="14" t="s">
        <v>6921</v>
      </c>
      <c r="B269" s="14" t="s">
        <v>7845</v>
      </c>
      <c r="C269" s="14" t="s">
        <v>7846</v>
      </c>
      <c r="D269" s="14" t="s">
        <v>7847</v>
      </c>
      <c r="E269" s="14" t="s">
        <v>6931</v>
      </c>
      <c r="F269" s="14" t="s">
        <v>6932</v>
      </c>
      <c r="G269" s="14" t="s">
        <v>7848</v>
      </c>
    </row>
    <row r="270" spans="1:7" ht="45">
      <c r="A270" s="14" t="s">
        <v>6921</v>
      </c>
      <c r="B270" s="14" t="s">
        <v>7849</v>
      </c>
      <c r="C270" s="14" t="s">
        <v>7850</v>
      </c>
      <c r="D270" s="14" t="s">
        <v>7851</v>
      </c>
      <c r="E270" s="14" t="s">
        <v>7006</v>
      </c>
      <c r="F270" s="14" t="s">
        <v>7007</v>
      </c>
      <c r="G270" s="14" t="s">
        <v>6927</v>
      </c>
    </row>
    <row r="271" spans="1:7" ht="45">
      <c r="A271" s="14" t="s">
        <v>6921</v>
      </c>
      <c r="B271" s="14" t="s">
        <v>7852</v>
      </c>
      <c r="C271" s="14" t="s">
        <v>7853</v>
      </c>
      <c r="D271" s="14" t="s">
        <v>7854</v>
      </c>
      <c r="E271" s="14" t="s">
        <v>6925</v>
      </c>
      <c r="F271" s="14" t="s">
        <v>6926</v>
      </c>
      <c r="G271" s="14" t="s">
        <v>6927</v>
      </c>
    </row>
    <row r="272" spans="1:7" ht="240">
      <c r="A272" s="14" t="s">
        <v>6921</v>
      </c>
      <c r="B272" s="14" t="s">
        <v>7855</v>
      </c>
      <c r="C272" s="14" t="s">
        <v>7856</v>
      </c>
      <c r="D272" s="14" t="s">
        <v>7857</v>
      </c>
      <c r="E272" s="14" t="s">
        <v>6931</v>
      </c>
      <c r="F272" s="14" t="s">
        <v>6932</v>
      </c>
      <c r="G272" s="14" t="s">
        <v>7858</v>
      </c>
    </row>
    <row r="273" spans="1:7" ht="60">
      <c r="A273" s="14" t="s">
        <v>6921</v>
      </c>
      <c r="B273" s="14" t="s">
        <v>7859</v>
      </c>
      <c r="C273" s="14" t="s">
        <v>7860</v>
      </c>
      <c r="D273" s="14" t="s">
        <v>7861</v>
      </c>
      <c r="E273" s="14" t="s">
        <v>6931</v>
      </c>
      <c r="F273" s="14" t="s">
        <v>6932</v>
      </c>
      <c r="G273" s="14" t="s">
        <v>7862</v>
      </c>
    </row>
    <row r="274" spans="1:7" ht="120">
      <c r="A274" s="14" t="s">
        <v>6921</v>
      </c>
      <c r="B274" s="14" t="s">
        <v>7863</v>
      </c>
      <c r="C274" s="14" t="s">
        <v>7864</v>
      </c>
      <c r="D274" s="14" t="s">
        <v>7865</v>
      </c>
      <c r="E274" s="14" t="s">
        <v>6931</v>
      </c>
      <c r="F274" s="14" t="s">
        <v>6932</v>
      </c>
      <c r="G274" s="14" t="s">
        <v>7866</v>
      </c>
    </row>
    <row r="275" spans="1:7" ht="60">
      <c r="A275" s="14" t="s">
        <v>6921</v>
      </c>
      <c r="B275" s="14" t="s">
        <v>7867</v>
      </c>
      <c r="C275" s="14" t="s">
        <v>7868</v>
      </c>
      <c r="D275" s="14" t="s">
        <v>7869</v>
      </c>
      <c r="E275" s="14" t="s">
        <v>7006</v>
      </c>
      <c r="F275" s="14" t="s">
        <v>7870</v>
      </c>
      <c r="G275" s="14" t="s">
        <v>6927</v>
      </c>
    </row>
    <row r="276" spans="1:7" ht="60">
      <c r="A276" s="14" t="s">
        <v>6921</v>
      </c>
      <c r="B276" s="14" t="s">
        <v>7871</v>
      </c>
      <c r="C276" s="14" t="s">
        <v>7872</v>
      </c>
      <c r="D276" s="14" t="s">
        <v>7873</v>
      </c>
      <c r="E276" s="14" t="s">
        <v>6925</v>
      </c>
      <c r="F276" s="14" t="s">
        <v>6926</v>
      </c>
      <c r="G276" s="14" t="s">
        <v>6927</v>
      </c>
    </row>
    <row r="277" spans="1:7" ht="60">
      <c r="A277" s="14" t="s">
        <v>6921</v>
      </c>
      <c r="B277" s="14" t="s">
        <v>7874</v>
      </c>
      <c r="C277" s="14" t="s">
        <v>7875</v>
      </c>
      <c r="D277" s="14" t="s">
        <v>7876</v>
      </c>
      <c r="E277" s="14" t="s">
        <v>7006</v>
      </c>
      <c r="F277" s="14" t="s">
        <v>7870</v>
      </c>
      <c r="G277" s="14" t="s">
        <v>6927</v>
      </c>
    </row>
    <row r="278" spans="1:7" ht="270">
      <c r="A278" s="14" t="s">
        <v>6921</v>
      </c>
      <c r="B278" s="14" t="s">
        <v>7877</v>
      </c>
      <c r="C278" s="14" t="s">
        <v>7878</v>
      </c>
      <c r="D278" s="14" t="s">
        <v>7879</v>
      </c>
      <c r="E278" s="14" t="s">
        <v>6931</v>
      </c>
      <c r="F278" s="14" t="s">
        <v>6932</v>
      </c>
      <c r="G278" s="14" t="s">
        <v>7880</v>
      </c>
    </row>
    <row r="279" spans="1:7" ht="60">
      <c r="A279" s="14" t="s">
        <v>6921</v>
      </c>
      <c r="B279" s="14" t="s">
        <v>7881</v>
      </c>
      <c r="C279" s="14" t="s">
        <v>7882</v>
      </c>
      <c r="D279" s="14" t="s">
        <v>7883</v>
      </c>
      <c r="E279" s="14" t="s">
        <v>6985</v>
      </c>
      <c r="F279" s="14" t="s">
        <v>7135</v>
      </c>
      <c r="G279" s="14" t="s">
        <v>6927</v>
      </c>
    </row>
    <row r="280" spans="1:7" ht="60">
      <c r="A280" s="14" t="s">
        <v>6921</v>
      </c>
      <c r="B280" s="14" t="s">
        <v>7884</v>
      </c>
      <c r="C280" s="14" t="s">
        <v>7885</v>
      </c>
      <c r="D280" s="14" t="s">
        <v>7886</v>
      </c>
      <c r="E280" s="14" t="s">
        <v>6985</v>
      </c>
      <c r="F280" s="14" t="s">
        <v>6986</v>
      </c>
      <c r="G280" s="14" t="s">
        <v>6927</v>
      </c>
    </row>
    <row r="281" spans="1:7" ht="90">
      <c r="A281" s="14" t="s">
        <v>6921</v>
      </c>
      <c r="B281" s="14" t="s">
        <v>7887</v>
      </c>
      <c r="C281" s="14" t="s">
        <v>7888</v>
      </c>
      <c r="D281" s="14" t="s">
        <v>7889</v>
      </c>
      <c r="E281" s="14" t="s">
        <v>6925</v>
      </c>
      <c r="F281" s="14" t="s">
        <v>7067</v>
      </c>
      <c r="G281" s="14" t="s">
        <v>6927</v>
      </c>
    </row>
    <row r="282" spans="1:7" ht="90">
      <c r="A282" s="14" t="s">
        <v>6921</v>
      </c>
      <c r="B282" s="14" t="s">
        <v>7890</v>
      </c>
      <c r="C282" s="14" t="s">
        <v>7891</v>
      </c>
      <c r="D282" s="14" t="s">
        <v>7892</v>
      </c>
      <c r="E282" s="14" t="s">
        <v>6925</v>
      </c>
      <c r="F282" s="14" t="s">
        <v>7067</v>
      </c>
      <c r="G282" s="14" t="s">
        <v>6927</v>
      </c>
    </row>
    <row r="283" spans="1:7" ht="60">
      <c r="A283" s="14" t="s">
        <v>6921</v>
      </c>
      <c r="B283" s="14" t="s">
        <v>7893</v>
      </c>
      <c r="C283" s="14" t="s">
        <v>7894</v>
      </c>
      <c r="D283" s="14" t="s">
        <v>7895</v>
      </c>
      <c r="E283" s="14" t="s">
        <v>6925</v>
      </c>
      <c r="F283" s="14" t="s">
        <v>7125</v>
      </c>
      <c r="G283" s="14" t="s">
        <v>6927</v>
      </c>
    </row>
    <row r="284" spans="1:7" ht="90">
      <c r="A284" s="14" t="s">
        <v>6921</v>
      </c>
      <c r="B284" s="14" t="s">
        <v>7896</v>
      </c>
      <c r="C284" s="14" t="s">
        <v>7897</v>
      </c>
      <c r="D284" s="14" t="s">
        <v>7898</v>
      </c>
      <c r="E284" s="14" t="s">
        <v>6925</v>
      </c>
      <c r="F284" s="14" t="s">
        <v>6926</v>
      </c>
      <c r="G284" s="14" t="s">
        <v>6927</v>
      </c>
    </row>
    <row r="285" spans="1:7" ht="90">
      <c r="A285" s="14" t="s">
        <v>6921</v>
      </c>
      <c r="B285" s="14" t="s">
        <v>7899</v>
      </c>
      <c r="C285" s="14" t="s">
        <v>7900</v>
      </c>
      <c r="D285" s="14" t="s">
        <v>7901</v>
      </c>
      <c r="E285" s="14" t="s">
        <v>6931</v>
      </c>
      <c r="F285" s="14" t="s">
        <v>6932</v>
      </c>
      <c r="G285" s="14" t="s">
        <v>7902</v>
      </c>
    </row>
    <row r="286" spans="1:7" ht="60">
      <c r="A286" s="14" t="s">
        <v>6921</v>
      </c>
      <c r="B286" s="14" t="s">
        <v>7903</v>
      </c>
      <c r="C286" s="14" t="s">
        <v>7904</v>
      </c>
      <c r="D286" s="14" t="s">
        <v>7905</v>
      </c>
      <c r="E286" s="14" t="s">
        <v>6931</v>
      </c>
      <c r="F286" s="14" t="s">
        <v>6932</v>
      </c>
      <c r="G286" s="14" t="s">
        <v>7906</v>
      </c>
    </row>
    <row r="287" spans="1:7" ht="90">
      <c r="A287" s="14" t="s">
        <v>6921</v>
      </c>
      <c r="B287" s="14" t="s">
        <v>7907</v>
      </c>
      <c r="C287" s="14" t="s">
        <v>7908</v>
      </c>
      <c r="D287" s="14" t="s">
        <v>7909</v>
      </c>
      <c r="E287" s="14" t="s">
        <v>6931</v>
      </c>
      <c r="F287" s="14" t="s">
        <v>6932</v>
      </c>
      <c r="G287" s="14" t="s">
        <v>7910</v>
      </c>
    </row>
    <row r="288" spans="1:7" ht="90">
      <c r="A288" s="14" t="s">
        <v>6921</v>
      </c>
      <c r="B288" s="14" t="s">
        <v>7911</v>
      </c>
      <c r="C288" s="14" t="s">
        <v>7912</v>
      </c>
      <c r="D288" s="14" t="s">
        <v>7913</v>
      </c>
      <c r="E288" s="14" t="s">
        <v>6931</v>
      </c>
      <c r="F288" s="14" t="s">
        <v>6932</v>
      </c>
      <c r="G288" s="14" t="s">
        <v>7902</v>
      </c>
    </row>
    <row r="289" spans="1:7" ht="30">
      <c r="A289" s="14" t="s">
        <v>6921</v>
      </c>
      <c r="B289" s="14" t="s">
        <v>7914</v>
      </c>
      <c r="C289" s="14" t="s">
        <v>7915</v>
      </c>
      <c r="D289" s="14" t="s">
        <v>7916</v>
      </c>
      <c r="E289" s="14" t="s">
        <v>6925</v>
      </c>
      <c r="F289" s="14" t="s">
        <v>7067</v>
      </c>
      <c r="G289" s="14" t="s">
        <v>6927</v>
      </c>
    </row>
    <row r="290" spans="1:7" ht="150">
      <c r="A290" s="14" t="s">
        <v>6921</v>
      </c>
      <c r="B290" s="14" t="s">
        <v>7917</v>
      </c>
      <c r="C290" s="14" t="s">
        <v>7918</v>
      </c>
      <c r="D290" s="14" t="s">
        <v>7919</v>
      </c>
      <c r="E290" s="14" t="s">
        <v>6931</v>
      </c>
      <c r="F290" s="14" t="s">
        <v>6932</v>
      </c>
      <c r="G290" s="14" t="s">
        <v>7920</v>
      </c>
    </row>
    <row r="291" spans="1:7" ht="45">
      <c r="A291" s="14" t="s">
        <v>6921</v>
      </c>
      <c r="B291" s="14" t="s">
        <v>7921</v>
      </c>
      <c r="C291" s="14" t="s">
        <v>7922</v>
      </c>
      <c r="D291" s="14" t="s">
        <v>7923</v>
      </c>
      <c r="E291" s="14" t="s">
        <v>6925</v>
      </c>
      <c r="F291" s="14" t="s">
        <v>7924</v>
      </c>
      <c r="G291" s="14" t="s">
        <v>6927</v>
      </c>
    </row>
    <row r="292" spans="1:7" ht="45">
      <c r="A292" s="14" t="s">
        <v>6921</v>
      </c>
      <c r="B292" s="14" t="s">
        <v>7925</v>
      </c>
      <c r="C292" s="14" t="s">
        <v>7926</v>
      </c>
      <c r="D292" s="14" t="s">
        <v>7927</v>
      </c>
      <c r="E292" s="14" t="s">
        <v>6925</v>
      </c>
      <c r="F292" s="14" t="s">
        <v>7924</v>
      </c>
      <c r="G292" s="14" t="s">
        <v>6927</v>
      </c>
    </row>
    <row r="293" spans="1:7" ht="60">
      <c r="A293" s="14" t="s">
        <v>6921</v>
      </c>
      <c r="B293" s="14" t="s">
        <v>7928</v>
      </c>
      <c r="C293" s="14" t="s">
        <v>7929</v>
      </c>
      <c r="D293" s="14" t="s">
        <v>7930</v>
      </c>
      <c r="E293" s="14" t="s">
        <v>6931</v>
      </c>
      <c r="F293" s="14" t="s">
        <v>6932</v>
      </c>
      <c r="G293" s="14" t="s">
        <v>7931</v>
      </c>
    </row>
    <row r="294" spans="1:7" ht="300">
      <c r="A294" s="14" t="s">
        <v>6921</v>
      </c>
      <c r="B294" s="14" t="s">
        <v>7932</v>
      </c>
      <c r="C294" s="14" t="s">
        <v>7933</v>
      </c>
      <c r="D294" s="14" t="s">
        <v>7934</v>
      </c>
      <c r="E294" s="14" t="s">
        <v>6931</v>
      </c>
      <c r="F294" s="14" t="s">
        <v>6932</v>
      </c>
      <c r="G294" s="14" t="s">
        <v>7935</v>
      </c>
    </row>
    <row r="295" spans="1:7" ht="75">
      <c r="A295" s="14" t="s">
        <v>6921</v>
      </c>
      <c r="B295" s="14" t="s">
        <v>7936</v>
      </c>
      <c r="C295" s="14" t="s">
        <v>7937</v>
      </c>
      <c r="D295" s="14" t="s">
        <v>7938</v>
      </c>
      <c r="E295" s="14" t="s">
        <v>6925</v>
      </c>
      <c r="F295" s="14" t="s">
        <v>6965</v>
      </c>
      <c r="G295" s="14" t="s">
        <v>6927</v>
      </c>
    </row>
    <row r="296" spans="1:7" ht="60">
      <c r="A296" s="14" t="s">
        <v>6921</v>
      </c>
      <c r="B296" s="14" t="s">
        <v>7939</v>
      </c>
      <c r="C296" s="14" t="s">
        <v>7940</v>
      </c>
      <c r="D296" s="14" t="s">
        <v>7941</v>
      </c>
      <c r="E296" s="14" t="s">
        <v>7006</v>
      </c>
      <c r="F296" s="14" t="s">
        <v>7007</v>
      </c>
      <c r="G296" s="14" t="s">
        <v>6927</v>
      </c>
    </row>
    <row r="297" spans="1:7" ht="409.5">
      <c r="A297" s="14" t="s">
        <v>6921</v>
      </c>
      <c r="B297" s="14" t="s">
        <v>7942</v>
      </c>
      <c r="C297" s="14" t="s">
        <v>7943</v>
      </c>
      <c r="D297" s="14" t="s">
        <v>7944</v>
      </c>
      <c r="E297" s="14" t="s">
        <v>6931</v>
      </c>
      <c r="F297" s="14" t="s">
        <v>6932</v>
      </c>
      <c r="G297" s="14" t="s">
        <v>7945</v>
      </c>
    </row>
    <row r="298" spans="1:7" ht="45">
      <c r="A298" s="14" t="s">
        <v>6921</v>
      </c>
      <c r="B298" s="14" t="s">
        <v>7946</v>
      </c>
      <c r="C298" s="14" t="s">
        <v>7947</v>
      </c>
      <c r="D298" s="14" t="s">
        <v>7948</v>
      </c>
      <c r="E298" s="14" t="s">
        <v>6925</v>
      </c>
      <c r="F298" s="14" t="s">
        <v>6926</v>
      </c>
      <c r="G298" s="14" t="s">
        <v>6927</v>
      </c>
    </row>
    <row r="299" spans="1:7" ht="45">
      <c r="A299" s="14" t="s">
        <v>6921</v>
      </c>
      <c r="B299" s="14" t="s">
        <v>7949</v>
      </c>
      <c r="C299" s="14" t="s">
        <v>7950</v>
      </c>
      <c r="D299" s="14" t="s">
        <v>7951</v>
      </c>
      <c r="E299" s="14" t="s">
        <v>6925</v>
      </c>
      <c r="F299" s="14" t="s">
        <v>6926</v>
      </c>
      <c r="G299" s="14" t="s">
        <v>6927</v>
      </c>
    </row>
    <row r="300" spans="1:7" ht="30">
      <c r="A300" s="14" t="s">
        <v>6921</v>
      </c>
      <c r="B300" s="14" t="s">
        <v>7952</v>
      </c>
      <c r="C300" s="14" t="s">
        <v>7953</v>
      </c>
      <c r="D300" s="14" t="s">
        <v>7954</v>
      </c>
      <c r="E300" s="14" t="s">
        <v>6956</v>
      </c>
      <c r="F300" s="14" t="s">
        <v>6957</v>
      </c>
      <c r="G300" s="14" t="s">
        <v>6927</v>
      </c>
    </row>
    <row r="301" spans="1:7" ht="45">
      <c r="A301" s="14" t="s">
        <v>6921</v>
      </c>
      <c r="B301" s="14" t="s">
        <v>7955</v>
      </c>
      <c r="C301" s="14" t="s">
        <v>7956</v>
      </c>
      <c r="D301" s="14" t="s">
        <v>7957</v>
      </c>
      <c r="E301" s="14" t="s">
        <v>6925</v>
      </c>
      <c r="F301" s="14" t="s">
        <v>7924</v>
      </c>
      <c r="G301" s="14" t="s">
        <v>6927</v>
      </c>
    </row>
    <row r="302" spans="1:7" ht="30">
      <c r="A302" s="14" t="s">
        <v>6921</v>
      </c>
      <c r="B302" s="14" t="s">
        <v>7958</v>
      </c>
      <c r="C302" s="14" t="s">
        <v>7959</v>
      </c>
      <c r="D302" s="14" t="s">
        <v>7960</v>
      </c>
      <c r="E302" s="14" t="s">
        <v>6956</v>
      </c>
      <c r="F302" s="14" t="s">
        <v>6957</v>
      </c>
      <c r="G302" s="14" t="s">
        <v>6927</v>
      </c>
    </row>
    <row r="303" spans="1:7" ht="135">
      <c r="A303" s="14" t="s">
        <v>6921</v>
      </c>
      <c r="B303" s="14" t="s">
        <v>7961</v>
      </c>
      <c r="C303" s="14" t="s">
        <v>7962</v>
      </c>
      <c r="D303" s="14" t="s">
        <v>7963</v>
      </c>
      <c r="E303" s="14" t="s">
        <v>6931</v>
      </c>
      <c r="F303" s="14" t="s">
        <v>6932</v>
      </c>
      <c r="G303" s="14" t="s">
        <v>7964</v>
      </c>
    </row>
    <row r="304" spans="1:7" ht="60">
      <c r="A304" s="14" t="s">
        <v>6921</v>
      </c>
      <c r="B304" s="14" t="s">
        <v>7965</v>
      </c>
      <c r="C304" s="14" t="s">
        <v>7966</v>
      </c>
      <c r="D304" s="14" t="s">
        <v>7967</v>
      </c>
      <c r="E304" s="14" t="s">
        <v>6956</v>
      </c>
      <c r="F304" s="14" t="s">
        <v>6957</v>
      </c>
      <c r="G304" s="14" t="s">
        <v>6927</v>
      </c>
    </row>
    <row r="305" spans="1:7" ht="60">
      <c r="A305" s="14" t="s">
        <v>6921</v>
      </c>
      <c r="B305" s="14" t="s">
        <v>7968</v>
      </c>
      <c r="C305" s="14" t="s">
        <v>7969</v>
      </c>
      <c r="D305" s="14" t="s">
        <v>7970</v>
      </c>
      <c r="E305" s="14" t="s">
        <v>6925</v>
      </c>
      <c r="F305" s="14" t="s">
        <v>7971</v>
      </c>
      <c r="G305" s="14" t="s">
        <v>6927</v>
      </c>
    </row>
    <row r="306" spans="1:7" ht="45">
      <c r="A306" s="14" t="s">
        <v>6921</v>
      </c>
      <c r="B306" s="14" t="s">
        <v>7972</v>
      </c>
      <c r="C306" s="14" t="s">
        <v>7973</v>
      </c>
      <c r="D306" s="14" t="s">
        <v>7974</v>
      </c>
      <c r="E306" s="14" t="s">
        <v>6956</v>
      </c>
      <c r="F306" s="14" t="s">
        <v>6957</v>
      </c>
      <c r="G306" s="14" t="s">
        <v>6927</v>
      </c>
    </row>
    <row r="307" spans="1:7" ht="45">
      <c r="A307" s="14" t="s">
        <v>6921</v>
      </c>
      <c r="B307" s="14" t="s">
        <v>7975</v>
      </c>
      <c r="C307" s="14" t="s">
        <v>7976</v>
      </c>
      <c r="D307" s="14" t="s">
        <v>7977</v>
      </c>
      <c r="E307" s="14" t="s">
        <v>6985</v>
      </c>
      <c r="F307" s="14" t="s">
        <v>6932</v>
      </c>
      <c r="G307" s="14" t="s">
        <v>6927</v>
      </c>
    </row>
    <row r="308" spans="1:7" ht="30">
      <c r="A308" s="14" t="s">
        <v>6921</v>
      </c>
      <c r="B308" s="14" t="s">
        <v>7978</v>
      </c>
      <c r="C308" s="14" t="s">
        <v>7979</v>
      </c>
      <c r="D308" s="14" t="s">
        <v>7980</v>
      </c>
      <c r="E308" s="14" t="s">
        <v>6956</v>
      </c>
      <c r="F308" s="14" t="s">
        <v>6957</v>
      </c>
      <c r="G308" s="14" t="s">
        <v>6927</v>
      </c>
    </row>
    <row r="309" spans="1:7" ht="165">
      <c r="A309" s="14" t="s">
        <v>6921</v>
      </c>
      <c r="B309" s="14" t="s">
        <v>7981</v>
      </c>
      <c r="C309" s="14" t="s">
        <v>7982</v>
      </c>
      <c r="D309" s="14" t="s">
        <v>7983</v>
      </c>
      <c r="E309" s="14" t="s">
        <v>6931</v>
      </c>
      <c r="F309" s="14" t="s">
        <v>6932</v>
      </c>
      <c r="G309" s="14" t="s">
        <v>7984</v>
      </c>
    </row>
    <row r="310" spans="1:7" ht="75">
      <c r="A310" s="14" t="s">
        <v>6921</v>
      </c>
      <c r="B310" s="14" t="s">
        <v>7985</v>
      </c>
      <c r="C310" s="14" t="s">
        <v>7986</v>
      </c>
      <c r="D310" s="14" t="s">
        <v>7987</v>
      </c>
      <c r="E310" s="14" t="s">
        <v>6925</v>
      </c>
      <c r="F310" s="14" t="s">
        <v>6926</v>
      </c>
      <c r="G310" s="14" t="s">
        <v>6927</v>
      </c>
    </row>
    <row r="311" spans="1:7" ht="180">
      <c r="A311" s="14" t="s">
        <v>6921</v>
      </c>
      <c r="B311" s="14" t="s">
        <v>7988</v>
      </c>
      <c r="C311" s="14" t="s">
        <v>7989</v>
      </c>
      <c r="D311" s="14" t="s">
        <v>7990</v>
      </c>
      <c r="E311" s="14" t="s">
        <v>6931</v>
      </c>
      <c r="F311" s="14" t="s">
        <v>6932</v>
      </c>
      <c r="G311" s="14" t="s">
        <v>7991</v>
      </c>
    </row>
    <row r="312" spans="1:7" ht="180">
      <c r="A312" s="14" t="s">
        <v>6921</v>
      </c>
      <c r="B312" s="14" t="s">
        <v>7992</v>
      </c>
      <c r="C312" s="14" t="s">
        <v>7993</v>
      </c>
      <c r="D312" s="14" t="s">
        <v>7994</v>
      </c>
      <c r="E312" s="14" t="s">
        <v>6931</v>
      </c>
      <c r="F312" s="14" t="s">
        <v>6932</v>
      </c>
      <c r="G312" s="14" t="s">
        <v>7995</v>
      </c>
    </row>
    <row r="313" spans="1:7" ht="120">
      <c r="A313" s="14" t="s">
        <v>6921</v>
      </c>
      <c r="B313" s="14" t="s">
        <v>7996</v>
      </c>
      <c r="C313" s="14" t="s">
        <v>7997</v>
      </c>
      <c r="D313" s="14" t="s">
        <v>7998</v>
      </c>
      <c r="E313" s="14" t="s">
        <v>6985</v>
      </c>
      <c r="F313" s="14" t="s">
        <v>7999</v>
      </c>
      <c r="G313" s="14" t="s">
        <v>6927</v>
      </c>
    </row>
    <row r="314" spans="1:7" ht="45">
      <c r="A314" s="14" t="s">
        <v>6921</v>
      </c>
      <c r="B314" s="14" t="s">
        <v>8000</v>
      </c>
      <c r="C314" s="14" t="s">
        <v>8001</v>
      </c>
      <c r="D314" s="14" t="s">
        <v>8002</v>
      </c>
      <c r="E314" s="14" t="s">
        <v>6985</v>
      </c>
      <c r="F314" s="14" t="s">
        <v>7999</v>
      </c>
      <c r="G314" s="14" t="s">
        <v>6927</v>
      </c>
    </row>
    <row r="315" spans="1:7" ht="30">
      <c r="A315" s="14" t="s">
        <v>6921</v>
      </c>
      <c r="B315" s="14" t="s">
        <v>8003</v>
      </c>
      <c r="C315" s="14" t="s">
        <v>8004</v>
      </c>
      <c r="D315" s="14" t="s">
        <v>8005</v>
      </c>
      <c r="E315" s="14" t="s">
        <v>6985</v>
      </c>
      <c r="F315" s="14" t="s">
        <v>6986</v>
      </c>
      <c r="G315" s="14" t="s">
        <v>6927</v>
      </c>
    </row>
    <row r="316" spans="1:7" ht="45">
      <c r="A316" s="14" t="s">
        <v>6921</v>
      </c>
      <c r="B316" s="14" t="s">
        <v>8006</v>
      </c>
      <c r="C316" s="14" t="s">
        <v>8007</v>
      </c>
      <c r="D316" s="14" t="s">
        <v>8008</v>
      </c>
      <c r="E316" s="14" t="s">
        <v>6985</v>
      </c>
      <c r="F316" s="14" t="s">
        <v>6986</v>
      </c>
      <c r="G316" s="14" t="s">
        <v>6927</v>
      </c>
    </row>
    <row r="317" spans="1:7" ht="30">
      <c r="A317" s="14" t="s">
        <v>6921</v>
      </c>
      <c r="B317" s="14" t="s">
        <v>8009</v>
      </c>
      <c r="C317" s="14" t="s">
        <v>8010</v>
      </c>
      <c r="D317" s="14" t="s">
        <v>8011</v>
      </c>
      <c r="E317" s="14" t="s">
        <v>8012</v>
      </c>
      <c r="F317" s="14" t="s">
        <v>6986</v>
      </c>
      <c r="G317" s="14" t="s">
        <v>6927</v>
      </c>
    </row>
    <row r="318" spans="1:7" ht="150">
      <c r="A318" s="14" t="s">
        <v>6921</v>
      </c>
      <c r="B318" s="14" t="s">
        <v>8013</v>
      </c>
      <c r="C318" s="14" t="s">
        <v>8014</v>
      </c>
      <c r="D318" s="14" t="s">
        <v>8015</v>
      </c>
      <c r="E318" s="14" t="s">
        <v>6931</v>
      </c>
      <c r="F318" s="14" t="s">
        <v>6932</v>
      </c>
      <c r="G318" s="14" t="s">
        <v>8016</v>
      </c>
    </row>
    <row r="319" spans="1:7" ht="120">
      <c r="A319" s="14" t="s">
        <v>6921</v>
      </c>
      <c r="B319" s="14" t="s">
        <v>8017</v>
      </c>
      <c r="C319" s="14" t="s">
        <v>8018</v>
      </c>
      <c r="D319" s="14" t="s">
        <v>8019</v>
      </c>
      <c r="E319" s="14" t="s">
        <v>8020</v>
      </c>
      <c r="F319" s="14" t="s">
        <v>6932</v>
      </c>
      <c r="G319" s="14" t="s">
        <v>8021</v>
      </c>
    </row>
    <row r="320" spans="1:7" ht="30">
      <c r="A320" s="14" t="s">
        <v>6921</v>
      </c>
      <c r="B320" s="14" t="s">
        <v>8022</v>
      </c>
      <c r="C320" s="14" t="s">
        <v>8023</v>
      </c>
      <c r="D320" s="14" t="s">
        <v>8024</v>
      </c>
      <c r="E320" s="14" t="s">
        <v>6925</v>
      </c>
      <c r="F320" s="14" t="s">
        <v>6926</v>
      </c>
      <c r="G320" s="14" t="s">
        <v>6927</v>
      </c>
    </row>
    <row r="321" spans="1:7" ht="45">
      <c r="A321" s="14" t="s">
        <v>6921</v>
      </c>
      <c r="B321" s="14" t="s">
        <v>8025</v>
      </c>
      <c r="C321" s="14" t="s">
        <v>8026</v>
      </c>
      <c r="D321" s="14" t="s">
        <v>8027</v>
      </c>
      <c r="E321" s="14" t="s">
        <v>6931</v>
      </c>
      <c r="F321" s="14" t="s">
        <v>6932</v>
      </c>
      <c r="G321" s="14" t="s">
        <v>8028</v>
      </c>
    </row>
    <row r="322" spans="1:7" ht="30">
      <c r="A322" s="14" t="s">
        <v>6921</v>
      </c>
      <c r="B322" s="14" t="s">
        <v>8029</v>
      </c>
      <c r="C322" s="14" t="s">
        <v>8030</v>
      </c>
      <c r="D322" s="14" t="s">
        <v>8031</v>
      </c>
      <c r="E322" s="14" t="s">
        <v>6925</v>
      </c>
      <c r="F322" s="14" t="s">
        <v>7067</v>
      </c>
      <c r="G322" s="14" t="s">
        <v>6927</v>
      </c>
    </row>
    <row r="323" spans="1:7" ht="150">
      <c r="A323" s="14" t="s">
        <v>6921</v>
      </c>
      <c r="B323" s="14" t="s">
        <v>8032</v>
      </c>
      <c r="C323" s="14" t="s">
        <v>8033</v>
      </c>
      <c r="D323" s="14" t="s">
        <v>8034</v>
      </c>
      <c r="E323" s="14" t="s">
        <v>6931</v>
      </c>
      <c r="F323" s="14" t="s">
        <v>6932</v>
      </c>
      <c r="G323" s="14" t="s">
        <v>8035</v>
      </c>
    </row>
    <row r="324" spans="1:7" ht="105">
      <c r="A324" s="14" t="s">
        <v>6921</v>
      </c>
      <c r="B324" s="14" t="s">
        <v>8036</v>
      </c>
      <c r="C324" s="14" t="s">
        <v>8037</v>
      </c>
      <c r="D324" s="14" t="s">
        <v>8038</v>
      </c>
      <c r="E324" s="14" t="s">
        <v>6931</v>
      </c>
      <c r="F324" s="14" t="s">
        <v>6932</v>
      </c>
      <c r="G324" s="14" t="s">
        <v>8039</v>
      </c>
    </row>
    <row r="325" spans="1:7" ht="60">
      <c r="A325" s="14" t="s">
        <v>6921</v>
      </c>
      <c r="B325" s="14" t="s">
        <v>8040</v>
      </c>
      <c r="C325" s="14" t="s">
        <v>8041</v>
      </c>
      <c r="D325" s="14" t="s">
        <v>8042</v>
      </c>
      <c r="E325" s="14" t="s">
        <v>6931</v>
      </c>
      <c r="F325" s="14" t="s">
        <v>6932</v>
      </c>
      <c r="G325" s="14" t="s">
        <v>8043</v>
      </c>
    </row>
    <row r="326" spans="1:7" ht="45">
      <c r="A326" s="14" t="s">
        <v>6921</v>
      </c>
      <c r="B326" s="14" t="s">
        <v>8044</v>
      </c>
      <c r="C326" s="14" t="s">
        <v>8045</v>
      </c>
      <c r="D326" s="14" t="s">
        <v>8046</v>
      </c>
      <c r="E326" s="14" t="s">
        <v>7006</v>
      </c>
      <c r="F326" s="14" t="s">
        <v>7007</v>
      </c>
      <c r="G326" s="14" t="s">
        <v>6927</v>
      </c>
    </row>
    <row r="327" spans="1:7" ht="30">
      <c r="A327" s="14" t="s">
        <v>6921</v>
      </c>
      <c r="B327" s="14" t="s">
        <v>8047</v>
      </c>
      <c r="C327" s="14" t="s">
        <v>8048</v>
      </c>
      <c r="D327" s="14" t="s">
        <v>8049</v>
      </c>
      <c r="E327" s="14" t="s">
        <v>6956</v>
      </c>
      <c r="F327" s="14" t="s">
        <v>6957</v>
      </c>
      <c r="G327" s="14" t="s">
        <v>6927</v>
      </c>
    </row>
    <row r="328" spans="1:7" ht="120">
      <c r="A328" s="14" t="s">
        <v>6921</v>
      </c>
      <c r="B328" s="14" t="s">
        <v>8050</v>
      </c>
      <c r="C328" s="14" t="s">
        <v>8051</v>
      </c>
      <c r="D328" s="14" t="s">
        <v>8052</v>
      </c>
      <c r="E328" s="14" t="s">
        <v>6931</v>
      </c>
      <c r="F328" s="14" t="s">
        <v>6932</v>
      </c>
      <c r="G328" s="14" t="s">
        <v>8053</v>
      </c>
    </row>
    <row r="329" spans="1:7" ht="105">
      <c r="A329" s="14" t="s">
        <v>6921</v>
      </c>
      <c r="B329" s="14" t="s">
        <v>8054</v>
      </c>
      <c r="C329" s="14" t="s">
        <v>8055</v>
      </c>
      <c r="D329" s="14" t="s">
        <v>8056</v>
      </c>
      <c r="E329" s="14" t="s">
        <v>6931</v>
      </c>
      <c r="F329" s="14" t="s">
        <v>6932</v>
      </c>
      <c r="G329" s="14" t="s">
        <v>8057</v>
      </c>
    </row>
    <row r="330" spans="1:7" ht="270">
      <c r="A330" s="14" t="s">
        <v>6921</v>
      </c>
      <c r="B330" s="14" t="s">
        <v>8058</v>
      </c>
      <c r="C330" s="14" t="s">
        <v>8059</v>
      </c>
      <c r="D330" s="14" t="s">
        <v>8060</v>
      </c>
      <c r="E330" s="14" t="s">
        <v>6931</v>
      </c>
      <c r="F330" s="14" t="s">
        <v>6932</v>
      </c>
      <c r="G330" s="14" t="s">
        <v>8061</v>
      </c>
    </row>
    <row r="331" spans="1:7" ht="75">
      <c r="A331" s="14" t="s">
        <v>6921</v>
      </c>
      <c r="B331" s="14" t="s">
        <v>8062</v>
      </c>
      <c r="C331" s="14" t="s">
        <v>8063</v>
      </c>
      <c r="D331" s="14" t="s">
        <v>8064</v>
      </c>
      <c r="E331" s="14" t="s">
        <v>6931</v>
      </c>
      <c r="F331" s="14" t="s">
        <v>6932</v>
      </c>
      <c r="G331" s="14" t="s">
        <v>8065</v>
      </c>
    </row>
    <row r="332" spans="1:7" ht="45">
      <c r="A332" s="14" t="s">
        <v>6921</v>
      </c>
      <c r="B332" s="14" t="s">
        <v>8066</v>
      </c>
      <c r="C332" s="14" t="s">
        <v>8067</v>
      </c>
      <c r="D332" s="14" t="s">
        <v>8068</v>
      </c>
      <c r="E332" s="14" t="s">
        <v>6985</v>
      </c>
      <c r="F332" s="14" t="s">
        <v>7046</v>
      </c>
      <c r="G332" s="14" t="s">
        <v>6927</v>
      </c>
    </row>
    <row r="333" spans="1:7" ht="45">
      <c r="A333" s="14" t="s">
        <v>6921</v>
      </c>
      <c r="B333" s="14" t="s">
        <v>8069</v>
      </c>
      <c r="C333" s="14" t="s">
        <v>8070</v>
      </c>
      <c r="D333" s="14" t="s">
        <v>8071</v>
      </c>
      <c r="E333" s="14" t="s">
        <v>6956</v>
      </c>
      <c r="F333" s="14" t="s">
        <v>6957</v>
      </c>
      <c r="G333" s="14" t="s">
        <v>6927</v>
      </c>
    </row>
    <row r="334" spans="1:7" ht="150">
      <c r="A334" s="14" t="s">
        <v>6921</v>
      </c>
      <c r="B334" s="14" t="s">
        <v>8072</v>
      </c>
      <c r="C334" s="14" t="s">
        <v>8073</v>
      </c>
      <c r="D334" s="14" t="s">
        <v>8074</v>
      </c>
      <c r="E334" s="14" t="s">
        <v>6931</v>
      </c>
      <c r="F334" s="14" t="s">
        <v>6932</v>
      </c>
      <c r="G334" s="14" t="s">
        <v>8075</v>
      </c>
    </row>
    <row r="335" spans="1:7" ht="30">
      <c r="A335" s="14" t="s">
        <v>6921</v>
      </c>
      <c r="B335" s="14" t="s">
        <v>8076</v>
      </c>
      <c r="C335" s="14" t="s">
        <v>8077</v>
      </c>
      <c r="D335" s="14" t="s">
        <v>8078</v>
      </c>
      <c r="E335" s="14" t="s">
        <v>6925</v>
      </c>
      <c r="F335" s="14" t="s">
        <v>6926</v>
      </c>
      <c r="G335" s="14" t="s">
        <v>6927</v>
      </c>
    </row>
    <row r="336" spans="1:7" ht="60">
      <c r="A336" s="14" t="s">
        <v>6921</v>
      </c>
      <c r="B336" s="14" t="s">
        <v>8079</v>
      </c>
      <c r="C336" s="14" t="s">
        <v>8080</v>
      </c>
      <c r="D336" s="14" t="s">
        <v>8081</v>
      </c>
      <c r="E336" s="14" t="s">
        <v>6956</v>
      </c>
      <c r="F336" s="14" t="s">
        <v>6957</v>
      </c>
      <c r="G336" s="14" t="s">
        <v>6927</v>
      </c>
    </row>
    <row r="337" spans="1:7" ht="165">
      <c r="A337" s="14" t="s">
        <v>6921</v>
      </c>
      <c r="B337" s="14" t="s">
        <v>8082</v>
      </c>
      <c r="C337" s="14" t="s">
        <v>8083</v>
      </c>
      <c r="D337" s="14" t="s">
        <v>8084</v>
      </c>
      <c r="E337" s="14" t="s">
        <v>6931</v>
      </c>
      <c r="F337" s="14" t="s">
        <v>6932</v>
      </c>
      <c r="G337" s="14" t="s">
        <v>8085</v>
      </c>
    </row>
    <row r="338" spans="1:7" ht="135">
      <c r="A338" s="14" t="s">
        <v>6921</v>
      </c>
      <c r="B338" s="14" t="s">
        <v>8086</v>
      </c>
      <c r="C338" s="14" t="s">
        <v>8087</v>
      </c>
      <c r="D338" s="14" t="s">
        <v>8088</v>
      </c>
      <c r="E338" s="14" t="s">
        <v>6931</v>
      </c>
      <c r="F338" s="14" t="s">
        <v>6932</v>
      </c>
      <c r="G338" s="14" t="s">
        <v>8089</v>
      </c>
    </row>
    <row r="339" spans="1:7" ht="135">
      <c r="A339" s="14" t="s">
        <v>6921</v>
      </c>
      <c r="B339" s="14" t="s">
        <v>8090</v>
      </c>
      <c r="C339" s="14" t="s">
        <v>8091</v>
      </c>
      <c r="D339" s="14" t="s">
        <v>8092</v>
      </c>
      <c r="E339" s="14" t="s">
        <v>6931</v>
      </c>
      <c r="F339" s="14" t="s">
        <v>6932</v>
      </c>
      <c r="G339" s="14" t="s">
        <v>8093</v>
      </c>
    </row>
    <row r="340" spans="1:7" ht="195">
      <c r="A340" s="14" t="s">
        <v>6921</v>
      </c>
      <c r="B340" s="14" t="s">
        <v>8094</v>
      </c>
      <c r="C340" s="14" t="s">
        <v>8095</v>
      </c>
      <c r="D340" s="14" t="s">
        <v>8096</v>
      </c>
      <c r="E340" s="14" t="s">
        <v>6931</v>
      </c>
      <c r="F340" s="14" t="s">
        <v>6932</v>
      </c>
      <c r="G340" s="14" t="s">
        <v>8097</v>
      </c>
    </row>
    <row r="341" spans="1:7" ht="45">
      <c r="A341" s="14" t="s">
        <v>6921</v>
      </c>
      <c r="B341" s="14" t="s">
        <v>8098</v>
      </c>
      <c r="C341" s="14" t="s">
        <v>8099</v>
      </c>
      <c r="D341" s="14" t="s">
        <v>8100</v>
      </c>
      <c r="E341" s="14" t="s">
        <v>7006</v>
      </c>
      <c r="F341" s="14" t="s">
        <v>7365</v>
      </c>
      <c r="G341" s="14" t="s">
        <v>6927</v>
      </c>
    </row>
    <row r="342" spans="1:7" ht="330">
      <c r="A342" s="14" t="s">
        <v>6921</v>
      </c>
      <c r="B342" s="14" t="s">
        <v>8101</v>
      </c>
      <c r="C342" s="14" t="s">
        <v>8102</v>
      </c>
      <c r="D342" s="14" t="s">
        <v>8103</v>
      </c>
      <c r="E342" s="14" t="s">
        <v>6931</v>
      </c>
      <c r="F342" s="14" t="s">
        <v>6932</v>
      </c>
      <c r="G342" s="14" t="s">
        <v>8104</v>
      </c>
    </row>
    <row r="343" spans="1:7" ht="30">
      <c r="A343" s="14" t="s">
        <v>6921</v>
      </c>
      <c r="B343" s="14" t="s">
        <v>8105</v>
      </c>
      <c r="C343" s="14" t="s">
        <v>8106</v>
      </c>
      <c r="D343" s="14" t="s">
        <v>8107</v>
      </c>
      <c r="E343" s="14" t="s">
        <v>7006</v>
      </c>
      <c r="F343" s="14" t="s">
        <v>7365</v>
      </c>
      <c r="G343" s="14" t="s">
        <v>6927</v>
      </c>
    </row>
    <row r="344" spans="1:7" ht="180">
      <c r="A344" s="14" t="s">
        <v>6921</v>
      </c>
      <c r="B344" s="14" t="s">
        <v>8108</v>
      </c>
      <c r="C344" s="14" t="s">
        <v>8109</v>
      </c>
      <c r="D344" s="14" t="s">
        <v>8110</v>
      </c>
      <c r="E344" s="14" t="s">
        <v>6931</v>
      </c>
      <c r="F344" s="14" t="s">
        <v>6932</v>
      </c>
      <c r="G344" s="14" t="s">
        <v>8111</v>
      </c>
    </row>
    <row r="345" spans="1:7" ht="30">
      <c r="A345" s="14" t="s">
        <v>6921</v>
      </c>
      <c r="B345" s="14" t="s">
        <v>8112</v>
      </c>
      <c r="C345" s="14" t="s">
        <v>8113</v>
      </c>
      <c r="D345" s="14" t="s">
        <v>8114</v>
      </c>
      <c r="E345" s="14" t="s">
        <v>6925</v>
      </c>
      <c r="F345" s="14" t="s">
        <v>6965</v>
      </c>
      <c r="G345" s="14" t="s">
        <v>6927</v>
      </c>
    </row>
    <row r="346" spans="1:7" ht="30">
      <c r="A346" s="14" t="s">
        <v>6921</v>
      </c>
      <c r="B346" s="14" t="s">
        <v>8115</v>
      </c>
      <c r="C346" s="14" t="s">
        <v>8116</v>
      </c>
      <c r="D346" s="14" t="s">
        <v>8117</v>
      </c>
      <c r="E346" s="14" t="s">
        <v>7006</v>
      </c>
      <c r="F346" s="14" t="s">
        <v>7365</v>
      </c>
      <c r="G346" s="14" t="s">
        <v>6927</v>
      </c>
    </row>
    <row r="347" spans="1:7" ht="120">
      <c r="A347" s="14" t="s">
        <v>6921</v>
      </c>
      <c r="B347" s="14" t="s">
        <v>8118</v>
      </c>
      <c r="C347" s="14" t="s">
        <v>8119</v>
      </c>
      <c r="D347" s="14" t="s">
        <v>8120</v>
      </c>
      <c r="E347" s="14" t="s">
        <v>6931</v>
      </c>
      <c r="F347" s="14" t="s">
        <v>6932</v>
      </c>
      <c r="G347" s="14" t="s">
        <v>8121</v>
      </c>
    </row>
    <row r="348" spans="1:7" ht="75">
      <c r="A348" s="14" t="s">
        <v>6921</v>
      </c>
      <c r="B348" s="14" t="s">
        <v>8122</v>
      </c>
      <c r="C348" s="14" t="s">
        <v>8123</v>
      </c>
      <c r="D348" s="14" t="s">
        <v>8124</v>
      </c>
      <c r="E348" s="14" t="s">
        <v>6931</v>
      </c>
      <c r="F348" s="14" t="s">
        <v>6932</v>
      </c>
      <c r="G348" s="14" t="s">
        <v>8125</v>
      </c>
    </row>
    <row r="349" spans="1:7" ht="105">
      <c r="A349" s="14" t="s">
        <v>6921</v>
      </c>
      <c r="B349" s="14" t="s">
        <v>8126</v>
      </c>
      <c r="C349" s="14" t="s">
        <v>8127</v>
      </c>
      <c r="D349" s="14" t="s">
        <v>8128</v>
      </c>
      <c r="E349" s="14" t="s">
        <v>6931</v>
      </c>
      <c r="F349" s="14" t="s">
        <v>6932</v>
      </c>
      <c r="G349" s="14" t="s">
        <v>8129</v>
      </c>
    </row>
    <row r="350" spans="1:7" ht="90">
      <c r="A350" s="14" t="s">
        <v>6921</v>
      </c>
      <c r="B350" s="14" t="s">
        <v>8130</v>
      </c>
      <c r="C350" s="14" t="s">
        <v>8131</v>
      </c>
      <c r="D350" s="14" t="s">
        <v>8132</v>
      </c>
      <c r="E350" s="14" t="s">
        <v>6931</v>
      </c>
      <c r="F350" s="14" t="s">
        <v>6932</v>
      </c>
      <c r="G350" s="14" t="s">
        <v>8133</v>
      </c>
    </row>
    <row r="351" spans="1:7" ht="45">
      <c r="A351" s="14" t="s">
        <v>6921</v>
      </c>
      <c r="B351" s="14" t="s">
        <v>8134</v>
      </c>
      <c r="C351" s="14" t="s">
        <v>8135</v>
      </c>
      <c r="D351" s="14" t="s">
        <v>8136</v>
      </c>
      <c r="E351" s="14" t="s">
        <v>7006</v>
      </c>
      <c r="F351" s="14" t="s">
        <v>7365</v>
      </c>
      <c r="G351" s="14" t="s">
        <v>6927</v>
      </c>
    </row>
    <row r="352" spans="1:7" ht="135">
      <c r="A352" s="14" t="s">
        <v>6921</v>
      </c>
      <c r="B352" s="14" t="s">
        <v>8137</v>
      </c>
      <c r="C352" s="14" t="s">
        <v>8138</v>
      </c>
      <c r="D352" s="14" t="s">
        <v>8139</v>
      </c>
      <c r="E352" s="14" t="s">
        <v>6931</v>
      </c>
      <c r="F352" s="14" t="s">
        <v>6932</v>
      </c>
      <c r="G352" s="14" t="s">
        <v>8140</v>
      </c>
    </row>
    <row r="353" spans="1:7" ht="225">
      <c r="A353" s="14" t="s">
        <v>6921</v>
      </c>
      <c r="B353" s="14" t="s">
        <v>8141</v>
      </c>
      <c r="C353" s="14" t="s">
        <v>8142</v>
      </c>
      <c r="D353" s="14" t="s">
        <v>8143</v>
      </c>
      <c r="E353" s="14" t="s">
        <v>6931</v>
      </c>
      <c r="F353" s="14" t="s">
        <v>6932</v>
      </c>
      <c r="G353" s="14" t="s">
        <v>8144</v>
      </c>
    </row>
    <row r="354" spans="1:7" ht="150">
      <c r="A354" s="14" t="s">
        <v>6921</v>
      </c>
      <c r="B354" s="14" t="s">
        <v>8145</v>
      </c>
      <c r="C354" s="14" t="s">
        <v>8146</v>
      </c>
      <c r="D354" s="14" t="s">
        <v>8147</v>
      </c>
      <c r="E354" s="14" t="s">
        <v>6931</v>
      </c>
      <c r="F354" s="14" t="s">
        <v>6932</v>
      </c>
      <c r="G354" s="14" t="s">
        <v>8148</v>
      </c>
    </row>
    <row r="355" spans="1:7" ht="90">
      <c r="A355" s="14" t="s">
        <v>6921</v>
      </c>
      <c r="B355" s="14" t="s">
        <v>8149</v>
      </c>
      <c r="C355" s="14" t="s">
        <v>8150</v>
      </c>
      <c r="D355" s="14" t="s">
        <v>8151</v>
      </c>
      <c r="E355" s="14" t="s">
        <v>6931</v>
      </c>
      <c r="F355" s="14" t="s">
        <v>6932</v>
      </c>
      <c r="G355" s="14" t="s">
        <v>8152</v>
      </c>
    </row>
    <row r="356" spans="1:7" ht="105">
      <c r="A356" s="14" t="s">
        <v>6921</v>
      </c>
      <c r="B356" s="14" t="s">
        <v>8153</v>
      </c>
      <c r="C356" s="14" t="s">
        <v>8154</v>
      </c>
      <c r="D356" s="14" t="s">
        <v>8155</v>
      </c>
      <c r="E356" s="14" t="s">
        <v>6931</v>
      </c>
      <c r="F356" s="14" t="s">
        <v>6932</v>
      </c>
      <c r="G356" s="14" t="s">
        <v>8156</v>
      </c>
    </row>
    <row r="357" spans="1:7" ht="210">
      <c r="A357" s="14" t="s">
        <v>6921</v>
      </c>
      <c r="B357" s="14" t="s">
        <v>8157</v>
      </c>
      <c r="C357" s="14" t="s">
        <v>8158</v>
      </c>
      <c r="D357" s="14" t="s">
        <v>8159</v>
      </c>
      <c r="E357" s="14" t="s">
        <v>6931</v>
      </c>
      <c r="F357" s="14" t="s">
        <v>6932</v>
      </c>
      <c r="G357" s="14" t="s">
        <v>8160</v>
      </c>
    </row>
    <row r="358" spans="1:7" ht="45">
      <c r="A358" s="14" t="s">
        <v>6921</v>
      </c>
      <c r="B358" s="14" t="s">
        <v>8161</v>
      </c>
      <c r="C358" s="14" t="s">
        <v>8162</v>
      </c>
      <c r="D358" s="14" t="s">
        <v>8163</v>
      </c>
      <c r="E358" s="14" t="s">
        <v>7006</v>
      </c>
      <c r="F358" s="14" t="s">
        <v>7455</v>
      </c>
      <c r="G358" s="14" t="s">
        <v>6927</v>
      </c>
    </row>
    <row r="359" spans="1:7" ht="45">
      <c r="A359" s="14" t="s">
        <v>6921</v>
      </c>
      <c r="B359" s="14" t="s">
        <v>8164</v>
      </c>
      <c r="C359" s="14" t="s">
        <v>8165</v>
      </c>
      <c r="D359" s="14" t="s">
        <v>8166</v>
      </c>
      <c r="E359" s="14" t="s">
        <v>6956</v>
      </c>
      <c r="F359" s="14" t="s">
        <v>6957</v>
      </c>
      <c r="G359" s="14" t="s">
        <v>6927</v>
      </c>
    </row>
    <row r="360" spans="1:7" ht="60">
      <c r="A360" s="14" t="s">
        <v>6921</v>
      </c>
      <c r="B360" s="14" t="s">
        <v>8167</v>
      </c>
      <c r="C360" s="14" t="s">
        <v>8168</v>
      </c>
      <c r="D360" s="14" t="s">
        <v>8169</v>
      </c>
      <c r="E360" s="14" t="s">
        <v>6931</v>
      </c>
      <c r="F360" s="14" t="s">
        <v>6932</v>
      </c>
      <c r="G360" s="14" t="s">
        <v>8170</v>
      </c>
    </row>
    <row r="361" spans="1:7" ht="225">
      <c r="A361" s="14" t="s">
        <v>6921</v>
      </c>
      <c r="B361" s="14" t="s">
        <v>8171</v>
      </c>
      <c r="C361" s="14" t="s">
        <v>8172</v>
      </c>
      <c r="D361" s="14" t="s">
        <v>8173</v>
      </c>
      <c r="E361" s="14" t="s">
        <v>6931</v>
      </c>
      <c r="F361" s="14" t="s">
        <v>6932</v>
      </c>
      <c r="G361" s="14" t="s">
        <v>8174</v>
      </c>
    </row>
    <row r="362" spans="1:7" ht="30">
      <c r="A362" s="14" t="s">
        <v>6921</v>
      </c>
      <c r="B362" s="14" t="s">
        <v>8175</v>
      </c>
      <c r="C362" s="14" t="s">
        <v>8176</v>
      </c>
      <c r="D362" s="14" t="s">
        <v>8177</v>
      </c>
      <c r="E362" s="14" t="s">
        <v>6985</v>
      </c>
      <c r="F362" s="14" t="s">
        <v>7455</v>
      </c>
      <c r="G362" s="14" t="s">
        <v>6927</v>
      </c>
    </row>
    <row r="363" spans="1:7" ht="75">
      <c r="A363" s="14" t="s">
        <v>6921</v>
      </c>
      <c r="B363" s="14" t="s">
        <v>8178</v>
      </c>
      <c r="C363" s="14" t="s">
        <v>8179</v>
      </c>
      <c r="D363" s="14" t="s">
        <v>8180</v>
      </c>
      <c r="E363" s="14" t="s">
        <v>6931</v>
      </c>
      <c r="F363" s="14" t="s">
        <v>6932</v>
      </c>
      <c r="G363" s="14" t="s">
        <v>8181</v>
      </c>
    </row>
    <row r="364" spans="1:7" ht="45">
      <c r="A364" s="14" t="s">
        <v>6921</v>
      </c>
      <c r="B364" s="14" t="s">
        <v>8182</v>
      </c>
      <c r="C364" s="14" t="s">
        <v>8183</v>
      </c>
      <c r="D364" s="14" t="s">
        <v>8184</v>
      </c>
      <c r="E364" s="14" t="s">
        <v>7006</v>
      </c>
      <c r="F364" s="14" t="s">
        <v>7455</v>
      </c>
      <c r="G364" s="14" t="s">
        <v>6927</v>
      </c>
    </row>
    <row r="365" spans="1:7" ht="45">
      <c r="A365" s="14" t="s">
        <v>6921</v>
      </c>
      <c r="B365" s="14" t="s">
        <v>8185</v>
      </c>
      <c r="C365" s="14" t="s">
        <v>8186</v>
      </c>
      <c r="D365" s="14" t="s">
        <v>8187</v>
      </c>
      <c r="E365" s="14" t="s">
        <v>6925</v>
      </c>
      <c r="F365" s="14" t="s">
        <v>6926</v>
      </c>
      <c r="G365" s="14" t="s">
        <v>6927</v>
      </c>
    </row>
    <row r="366" spans="1:7" ht="45">
      <c r="A366" s="14" t="s">
        <v>6921</v>
      </c>
      <c r="B366" s="14" t="s">
        <v>8188</v>
      </c>
      <c r="C366" s="14" t="s">
        <v>8189</v>
      </c>
      <c r="D366" s="14" t="s">
        <v>8190</v>
      </c>
      <c r="E366" s="14" t="s">
        <v>6931</v>
      </c>
      <c r="F366" s="14" t="s">
        <v>6932</v>
      </c>
      <c r="G366" s="14" t="s">
        <v>8191</v>
      </c>
    </row>
    <row r="367" spans="1:7" ht="180">
      <c r="A367" s="14" t="s">
        <v>6921</v>
      </c>
      <c r="B367" s="14" t="s">
        <v>8192</v>
      </c>
      <c r="C367" s="14" t="s">
        <v>8193</v>
      </c>
      <c r="D367" s="14" t="s">
        <v>8194</v>
      </c>
      <c r="E367" s="14" t="s">
        <v>6931</v>
      </c>
      <c r="F367" s="14" t="s">
        <v>6932</v>
      </c>
      <c r="G367" s="14" t="s">
        <v>8195</v>
      </c>
    </row>
    <row r="368" spans="1:7" ht="105">
      <c r="A368" s="14" t="s">
        <v>6921</v>
      </c>
      <c r="B368" s="14" t="s">
        <v>8196</v>
      </c>
      <c r="C368" s="14" t="s">
        <v>8197</v>
      </c>
      <c r="D368" s="14" t="s">
        <v>8198</v>
      </c>
      <c r="E368" s="14" t="s">
        <v>6931</v>
      </c>
      <c r="F368" s="14" t="s">
        <v>6932</v>
      </c>
      <c r="G368" s="14" t="s">
        <v>8199</v>
      </c>
    </row>
    <row r="369" spans="1:7" ht="60">
      <c r="A369" s="14" t="s">
        <v>6921</v>
      </c>
      <c r="B369" s="14" t="s">
        <v>8200</v>
      </c>
      <c r="C369" s="14" t="s">
        <v>8201</v>
      </c>
      <c r="D369" s="14" t="s">
        <v>8202</v>
      </c>
      <c r="E369" s="14" t="s">
        <v>6931</v>
      </c>
      <c r="F369" s="14" t="s">
        <v>6932</v>
      </c>
      <c r="G369" s="14" t="s">
        <v>8203</v>
      </c>
    </row>
    <row r="370" spans="1:7" ht="135">
      <c r="A370" s="14" t="s">
        <v>6921</v>
      </c>
      <c r="B370" s="14" t="s">
        <v>8204</v>
      </c>
      <c r="C370" s="14" t="s">
        <v>8205</v>
      </c>
      <c r="D370" s="14" t="s">
        <v>8206</v>
      </c>
      <c r="E370" s="14" t="s">
        <v>6931</v>
      </c>
      <c r="F370" s="14" t="s">
        <v>6932</v>
      </c>
      <c r="G370" s="14" t="s">
        <v>8207</v>
      </c>
    </row>
    <row r="371" spans="1:7" ht="30">
      <c r="A371" s="14" t="s">
        <v>6921</v>
      </c>
      <c r="B371" s="14" t="s">
        <v>8208</v>
      </c>
      <c r="C371" s="14" t="s">
        <v>8209</v>
      </c>
      <c r="D371" s="14" t="s">
        <v>8210</v>
      </c>
      <c r="E371" s="14" t="s">
        <v>6956</v>
      </c>
      <c r="F371" s="14" t="s">
        <v>6957</v>
      </c>
      <c r="G371" s="14" t="s">
        <v>6927</v>
      </c>
    </row>
    <row r="372" spans="1:7" ht="30">
      <c r="A372" s="14" t="s">
        <v>6921</v>
      </c>
      <c r="B372" s="14" t="s">
        <v>8211</v>
      </c>
      <c r="C372" s="14" t="s">
        <v>8212</v>
      </c>
      <c r="D372" s="14" t="s">
        <v>8213</v>
      </c>
      <c r="E372" s="14" t="s">
        <v>6956</v>
      </c>
      <c r="F372" s="14" t="s">
        <v>6957</v>
      </c>
      <c r="G372" s="14" t="s">
        <v>6927</v>
      </c>
    </row>
    <row r="373" spans="1:7" ht="45">
      <c r="A373" s="14" t="s">
        <v>6921</v>
      </c>
      <c r="B373" s="14" t="s">
        <v>8214</v>
      </c>
      <c r="C373" s="14" t="s">
        <v>8215</v>
      </c>
      <c r="D373" s="14" t="s">
        <v>8216</v>
      </c>
      <c r="E373" s="14" t="s">
        <v>6925</v>
      </c>
      <c r="F373" s="14" t="s">
        <v>7098</v>
      </c>
      <c r="G373" s="14" t="s">
        <v>6927</v>
      </c>
    </row>
    <row r="374" spans="1:7" ht="30">
      <c r="A374" s="14" t="s">
        <v>6921</v>
      </c>
      <c r="B374" s="14" t="s">
        <v>8217</v>
      </c>
      <c r="C374" s="14" t="s">
        <v>8218</v>
      </c>
      <c r="D374" s="14" t="s">
        <v>8219</v>
      </c>
      <c r="E374" s="14" t="s">
        <v>6925</v>
      </c>
      <c r="F374" s="14" t="s">
        <v>7098</v>
      </c>
      <c r="G374" s="14" t="s">
        <v>6927</v>
      </c>
    </row>
    <row r="375" spans="1:7" ht="30">
      <c r="A375" s="14" t="s">
        <v>6921</v>
      </c>
      <c r="B375" s="14" t="s">
        <v>8220</v>
      </c>
      <c r="C375" s="14" t="s">
        <v>8221</v>
      </c>
      <c r="D375" s="14" t="s">
        <v>8222</v>
      </c>
      <c r="E375" s="14" t="s">
        <v>6925</v>
      </c>
      <c r="F375" s="14" t="s">
        <v>7098</v>
      </c>
      <c r="G375" s="14" t="s">
        <v>6927</v>
      </c>
    </row>
    <row r="376" spans="1:7" ht="30">
      <c r="A376" s="14" t="s">
        <v>6921</v>
      </c>
      <c r="B376" s="14" t="s">
        <v>8223</v>
      </c>
      <c r="C376" s="14" t="s">
        <v>8224</v>
      </c>
      <c r="D376" s="14" t="s">
        <v>8225</v>
      </c>
      <c r="E376" s="14" t="s">
        <v>6925</v>
      </c>
      <c r="F376" s="14" t="s">
        <v>7098</v>
      </c>
      <c r="G376" s="14" t="s">
        <v>6927</v>
      </c>
    </row>
    <row r="377" spans="1:7" ht="285">
      <c r="A377" s="14" t="s">
        <v>6921</v>
      </c>
      <c r="B377" s="14" t="s">
        <v>8226</v>
      </c>
      <c r="C377" s="14" t="s">
        <v>8227</v>
      </c>
      <c r="D377" s="14" t="s">
        <v>8228</v>
      </c>
      <c r="E377" s="14" t="s">
        <v>6931</v>
      </c>
      <c r="F377" s="14" t="s">
        <v>6932</v>
      </c>
      <c r="G377" s="14" t="s">
        <v>8229</v>
      </c>
    </row>
    <row r="378" spans="1:7" ht="45">
      <c r="A378" s="14" t="s">
        <v>6921</v>
      </c>
      <c r="B378" s="14" t="s">
        <v>8230</v>
      </c>
      <c r="C378" s="14" t="s">
        <v>8231</v>
      </c>
      <c r="D378" s="14" t="s">
        <v>8232</v>
      </c>
      <c r="E378" s="14" t="s">
        <v>6956</v>
      </c>
      <c r="F378" s="14" t="s">
        <v>6957</v>
      </c>
      <c r="G378" s="14" t="s">
        <v>6927</v>
      </c>
    </row>
    <row r="379" spans="1:7" ht="60">
      <c r="A379" s="14" t="s">
        <v>6921</v>
      </c>
      <c r="B379" s="14" t="s">
        <v>8233</v>
      </c>
      <c r="C379" s="14" t="s">
        <v>8234</v>
      </c>
      <c r="D379" s="14" t="s">
        <v>8235</v>
      </c>
      <c r="E379" s="14" t="s">
        <v>6931</v>
      </c>
      <c r="F379" s="14" t="s">
        <v>6932</v>
      </c>
      <c r="G379" s="14" t="s">
        <v>8236</v>
      </c>
    </row>
    <row r="380" spans="1:7" ht="30">
      <c r="A380" s="14" t="s">
        <v>6921</v>
      </c>
      <c r="B380" s="14" t="s">
        <v>8237</v>
      </c>
      <c r="C380" s="14" t="s">
        <v>8238</v>
      </c>
      <c r="D380" s="14" t="s">
        <v>8239</v>
      </c>
      <c r="E380" s="14" t="s">
        <v>6925</v>
      </c>
      <c r="F380" s="14" t="s">
        <v>6969</v>
      </c>
      <c r="G380" s="14" t="s">
        <v>6927</v>
      </c>
    </row>
    <row r="381" spans="1:7" ht="45">
      <c r="A381" s="14" t="s">
        <v>6921</v>
      </c>
      <c r="B381" s="14" t="s">
        <v>8240</v>
      </c>
      <c r="C381" s="14" t="s">
        <v>8241</v>
      </c>
      <c r="D381" s="14" t="s">
        <v>8242</v>
      </c>
      <c r="E381" s="14" t="s">
        <v>6925</v>
      </c>
      <c r="F381" s="14" t="s">
        <v>6926</v>
      </c>
      <c r="G381" s="14" t="s">
        <v>6927</v>
      </c>
    </row>
    <row r="382" spans="1:7" ht="60">
      <c r="A382" s="14" t="s">
        <v>6921</v>
      </c>
      <c r="B382" s="14" t="s">
        <v>8243</v>
      </c>
      <c r="C382" s="14" t="s">
        <v>8244</v>
      </c>
      <c r="D382" s="14" t="s">
        <v>8245</v>
      </c>
      <c r="E382" s="14" t="s">
        <v>6931</v>
      </c>
      <c r="F382" s="14" t="s">
        <v>6932</v>
      </c>
      <c r="G382" s="14" t="s">
        <v>8246</v>
      </c>
    </row>
    <row r="383" spans="1:7" ht="90">
      <c r="A383" s="14" t="s">
        <v>6921</v>
      </c>
      <c r="B383" s="14" t="s">
        <v>8247</v>
      </c>
      <c r="C383" s="14" t="s">
        <v>8248</v>
      </c>
      <c r="D383" s="14" t="s">
        <v>8249</v>
      </c>
      <c r="E383" s="14" t="s">
        <v>6931</v>
      </c>
      <c r="F383" s="14" t="s">
        <v>6932</v>
      </c>
      <c r="G383" s="14" t="s">
        <v>8250</v>
      </c>
    </row>
    <row r="384" spans="1:7" ht="409.5">
      <c r="A384" s="14" t="s">
        <v>6921</v>
      </c>
      <c r="B384" s="14" t="s">
        <v>8251</v>
      </c>
      <c r="C384" s="14" t="s">
        <v>8252</v>
      </c>
      <c r="D384" s="14" t="s">
        <v>8253</v>
      </c>
      <c r="E384" s="14" t="s">
        <v>6931</v>
      </c>
      <c r="F384" s="14" t="s">
        <v>6932</v>
      </c>
      <c r="G384" s="14" t="s">
        <v>8254</v>
      </c>
    </row>
    <row r="385" spans="1:7" ht="45">
      <c r="A385" s="14" t="s">
        <v>6921</v>
      </c>
      <c r="B385" s="14" t="s">
        <v>8255</v>
      </c>
      <c r="C385" s="14" t="s">
        <v>8256</v>
      </c>
      <c r="D385" s="14" t="s">
        <v>8257</v>
      </c>
      <c r="E385" s="14" t="s">
        <v>6925</v>
      </c>
      <c r="F385" s="14" t="s">
        <v>7098</v>
      </c>
      <c r="G385" s="14" t="s">
        <v>6927</v>
      </c>
    </row>
    <row r="386" spans="1:7" ht="75">
      <c r="A386" s="14" t="s">
        <v>6921</v>
      </c>
      <c r="B386" s="14" t="s">
        <v>8258</v>
      </c>
      <c r="C386" s="14" t="s">
        <v>8259</v>
      </c>
      <c r="D386" s="14" t="s">
        <v>8260</v>
      </c>
      <c r="E386" s="14" t="s">
        <v>6931</v>
      </c>
      <c r="F386" s="14" t="s">
        <v>6932</v>
      </c>
      <c r="G386" s="14" t="s">
        <v>8261</v>
      </c>
    </row>
    <row r="387" spans="1:7" ht="30">
      <c r="A387" s="14" t="s">
        <v>6921</v>
      </c>
      <c r="B387" s="14" t="s">
        <v>8262</v>
      </c>
      <c r="C387" s="14" t="s">
        <v>8263</v>
      </c>
      <c r="D387" s="14" t="s">
        <v>8264</v>
      </c>
      <c r="E387" s="14" t="s">
        <v>7006</v>
      </c>
      <c r="F387" s="14" t="s">
        <v>7745</v>
      </c>
      <c r="G387" s="14" t="s">
        <v>6927</v>
      </c>
    </row>
    <row r="388" spans="1:7" ht="60">
      <c r="A388" s="14" t="s">
        <v>6921</v>
      </c>
      <c r="B388" s="14" t="s">
        <v>8265</v>
      </c>
      <c r="C388" s="14" t="s">
        <v>8266</v>
      </c>
      <c r="D388" s="14" t="s">
        <v>8267</v>
      </c>
      <c r="E388" s="14" t="s">
        <v>6931</v>
      </c>
      <c r="F388" s="14" t="s">
        <v>6932</v>
      </c>
      <c r="G388" s="14" t="s">
        <v>8268</v>
      </c>
    </row>
    <row r="389" spans="1:7" ht="120">
      <c r="A389" s="14" t="s">
        <v>6921</v>
      </c>
      <c r="B389" s="14" t="s">
        <v>8269</v>
      </c>
      <c r="C389" s="14" t="s">
        <v>8270</v>
      </c>
      <c r="D389" s="14" t="s">
        <v>8271</v>
      </c>
      <c r="E389" s="14" t="s">
        <v>6931</v>
      </c>
      <c r="F389" s="14" t="s">
        <v>6932</v>
      </c>
      <c r="G389" s="14" t="s">
        <v>6927</v>
      </c>
    </row>
    <row r="390" spans="1:7" ht="60">
      <c r="A390" s="14" t="s">
        <v>6921</v>
      </c>
      <c r="B390" s="14" t="s">
        <v>8272</v>
      </c>
      <c r="C390" s="14" t="s">
        <v>8273</v>
      </c>
      <c r="D390" s="14" t="s">
        <v>8274</v>
      </c>
      <c r="E390" s="14" t="s">
        <v>7006</v>
      </c>
      <c r="F390" s="14" t="s">
        <v>7418</v>
      </c>
      <c r="G390" s="14" t="s">
        <v>6927</v>
      </c>
    </row>
    <row r="391" spans="1:7" ht="45">
      <c r="A391" s="14" t="s">
        <v>6921</v>
      </c>
      <c r="B391" s="14" t="s">
        <v>8275</v>
      </c>
      <c r="C391" s="14" t="s">
        <v>8276</v>
      </c>
      <c r="D391" s="14" t="s">
        <v>8277</v>
      </c>
      <c r="E391" s="14" t="s">
        <v>6956</v>
      </c>
      <c r="F391" s="14" t="s">
        <v>6957</v>
      </c>
      <c r="G391" s="14" t="s">
        <v>6927</v>
      </c>
    </row>
    <row r="392" spans="1:7" ht="30">
      <c r="A392" s="14" t="s">
        <v>6921</v>
      </c>
      <c r="B392" s="14" t="s">
        <v>8278</v>
      </c>
      <c r="C392" s="14" t="s">
        <v>8279</v>
      </c>
      <c r="D392" s="14" t="s">
        <v>8280</v>
      </c>
      <c r="E392" s="14" t="s">
        <v>6925</v>
      </c>
      <c r="F392" s="14" t="s">
        <v>7924</v>
      </c>
      <c r="G392" s="14" t="s">
        <v>6927</v>
      </c>
    </row>
    <row r="393" spans="1:7" ht="30">
      <c r="A393" s="14" t="s">
        <v>6921</v>
      </c>
      <c r="B393" s="14" t="s">
        <v>8281</v>
      </c>
      <c r="C393" s="14" t="s">
        <v>8282</v>
      </c>
      <c r="D393" s="14" t="s">
        <v>8283</v>
      </c>
      <c r="E393" s="14" t="s">
        <v>6925</v>
      </c>
      <c r="F393" s="14" t="s">
        <v>6926</v>
      </c>
      <c r="G393" s="14" t="s">
        <v>6927</v>
      </c>
    </row>
    <row r="394" spans="1:7" ht="90">
      <c r="A394" s="14" t="s">
        <v>6921</v>
      </c>
      <c r="B394" s="14" t="s">
        <v>8284</v>
      </c>
      <c r="C394" s="14" t="s">
        <v>8285</v>
      </c>
      <c r="D394" s="14" t="s">
        <v>8286</v>
      </c>
      <c r="E394" s="14" t="s">
        <v>6931</v>
      </c>
      <c r="F394" s="14" t="s">
        <v>6932</v>
      </c>
      <c r="G394" s="14" t="s">
        <v>8287</v>
      </c>
    </row>
    <row r="395" spans="1:7" ht="30">
      <c r="A395" s="14" t="s">
        <v>6921</v>
      </c>
      <c r="B395" s="14" t="s">
        <v>8288</v>
      </c>
      <c r="C395" s="14" t="s">
        <v>8289</v>
      </c>
      <c r="D395" s="14" t="s">
        <v>8290</v>
      </c>
      <c r="E395" s="14" t="s">
        <v>6925</v>
      </c>
      <c r="F395" s="14" t="s">
        <v>7924</v>
      </c>
      <c r="G395" s="14" t="s">
        <v>6927</v>
      </c>
    </row>
    <row r="396" spans="1:7" ht="330">
      <c r="A396" s="14" t="s">
        <v>6921</v>
      </c>
      <c r="B396" s="14" t="s">
        <v>8291</v>
      </c>
      <c r="C396" s="14" t="s">
        <v>8292</v>
      </c>
      <c r="D396" s="14" t="s">
        <v>8293</v>
      </c>
      <c r="E396" s="14" t="s">
        <v>6931</v>
      </c>
      <c r="F396" s="14" t="s">
        <v>6932</v>
      </c>
      <c r="G396" s="14" t="s">
        <v>7059</v>
      </c>
    </row>
    <row r="397" spans="1:7" ht="75">
      <c r="A397" s="14" t="s">
        <v>6921</v>
      </c>
      <c r="B397" s="14" t="s">
        <v>8294</v>
      </c>
      <c r="C397" s="14" t="s">
        <v>8295</v>
      </c>
      <c r="D397" s="14" t="s">
        <v>8296</v>
      </c>
      <c r="E397" s="14" t="s">
        <v>6931</v>
      </c>
      <c r="F397" s="14" t="s">
        <v>6932</v>
      </c>
      <c r="G397" s="14" t="s">
        <v>8297</v>
      </c>
    </row>
    <row r="398" spans="1:7" ht="30">
      <c r="A398" s="14" t="s">
        <v>6921</v>
      </c>
      <c r="B398" s="14" t="s">
        <v>8298</v>
      </c>
      <c r="C398" s="14" t="s">
        <v>8299</v>
      </c>
      <c r="D398" s="14" t="s">
        <v>8300</v>
      </c>
      <c r="E398" s="14" t="s">
        <v>6925</v>
      </c>
      <c r="F398" s="14" t="s">
        <v>6965</v>
      </c>
      <c r="G398" s="14" t="s">
        <v>6927</v>
      </c>
    </row>
    <row r="399" spans="1:7" ht="30">
      <c r="A399" s="14" t="s">
        <v>6921</v>
      </c>
      <c r="B399" s="14" t="s">
        <v>8301</v>
      </c>
      <c r="C399" s="14" t="s">
        <v>8302</v>
      </c>
      <c r="D399" s="14" t="s">
        <v>8303</v>
      </c>
      <c r="E399" s="14" t="s">
        <v>6956</v>
      </c>
      <c r="F399" s="14" t="s">
        <v>6957</v>
      </c>
      <c r="G399" s="14" t="s">
        <v>6927</v>
      </c>
    </row>
    <row r="400" spans="1:7" ht="45">
      <c r="A400" s="14" t="s">
        <v>6921</v>
      </c>
      <c r="B400" s="14" t="s">
        <v>8304</v>
      </c>
      <c r="C400" s="14" t="s">
        <v>8305</v>
      </c>
      <c r="D400" s="14" t="s">
        <v>8306</v>
      </c>
      <c r="E400" s="14" t="s">
        <v>6925</v>
      </c>
      <c r="F400" s="14" t="s">
        <v>6965</v>
      </c>
      <c r="G400" s="14" t="s">
        <v>6927</v>
      </c>
    </row>
    <row r="401" spans="1:7" ht="45">
      <c r="A401" s="14" t="s">
        <v>6921</v>
      </c>
      <c r="B401" s="14" t="s">
        <v>8307</v>
      </c>
      <c r="C401" s="14" t="s">
        <v>8308</v>
      </c>
      <c r="D401" s="14" t="s">
        <v>8309</v>
      </c>
      <c r="E401" s="14" t="s">
        <v>6925</v>
      </c>
      <c r="F401" s="14" t="s">
        <v>6965</v>
      </c>
      <c r="G401" s="14" t="s">
        <v>6927</v>
      </c>
    </row>
    <row r="402" spans="1:7" ht="30">
      <c r="A402" s="14" t="s">
        <v>6921</v>
      </c>
      <c r="B402" s="14" t="s">
        <v>8310</v>
      </c>
      <c r="C402" s="14" t="s">
        <v>8311</v>
      </c>
      <c r="D402" s="14" t="s">
        <v>8312</v>
      </c>
      <c r="E402" s="14" t="s">
        <v>6956</v>
      </c>
      <c r="F402" s="14" t="s">
        <v>6957</v>
      </c>
      <c r="G402" s="14" t="s">
        <v>6927</v>
      </c>
    </row>
    <row r="403" spans="1:7" ht="45">
      <c r="A403" s="14" t="s">
        <v>6921</v>
      </c>
      <c r="B403" s="14" t="s">
        <v>8313</v>
      </c>
      <c r="C403" s="14" t="s">
        <v>8314</v>
      </c>
      <c r="D403" s="14" t="s">
        <v>8315</v>
      </c>
      <c r="E403" s="14" t="s">
        <v>7006</v>
      </c>
      <c r="F403" s="14" t="s">
        <v>7007</v>
      </c>
      <c r="G403" s="14" t="s">
        <v>6927</v>
      </c>
    </row>
    <row r="404" spans="1:7" ht="60">
      <c r="A404" s="14" t="s">
        <v>6921</v>
      </c>
      <c r="B404" s="14" t="s">
        <v>8316</v>
      </c>
      <c r="C404" s="14" t="s">
        <v>8317</v>
      </c>
      <c r="D404" s="14" t="s">
        <v>8318</v>
      </c>
      <c r="E404" s="14" t="s">
        <v>6931</v>
      </c>
      <c r="F404" s="14" t="s">
        <v>6932</v>
      </c>
      <c r="G404" s="14" t="s">
        <v>8319</v>
      </c>
    </row>
    <row r="405" spans="1:7" ht="45">
      <c r="A405" s="14" t="s">
        <v>6921</v>
      </c>
      <c r="B405" s="14" t="s">
        <v>8320</v>
      </c>
      <c r="C405" s="14" t="s">
        <v>8321</v>
      </c>
      <c r="D405" s="14" t="s">
        <v>8322</v>
      </c>
      <c r="E405" s="14" t="s">
        <v>6925</v>
      </c>
      <c r="F405" s="14" t="s">
        <v>7098</v>
      </c>
      <c r="G405" s="14" t="s">
        <v>6927</v>
      </c>
    </row>
    <row r="406" spans="1:7" ht="30">
      <c r="A406" s="14" t="s">
        <v>6921</v>
      </c>
      <c r="B406" s="14" t="s">
        <v>8323</v>
      </c>
      <c r="C406" s="14" t="s">
        <v>8324</v>
      </c>
      <c r="D406" s="14" t="s">
        <v>8325</v>
      </c>
      <c r="E406" s="14" t="s">
        <v>6925</v>
      </c>
      <c r="F406" s="14" t="s">
        <v>6965</v>
      </c>
      <c r="G406" s="14" t="s">
        <v>6927</v>
      </c>
    </row>
    <row r="407" spans="1:7" ht="45">
      <c r="A407" s="14" t="s">
        <v>6921</v>
      </c>
      <c r="B407" s="14" t="s">
        <v>8326</v>
      </c>
      <c r="C407" s="14" t="s">
        <v>8327</v>
      </c>
      <c r="D407" s="14" t="s">
        <v>8328</v>
      </c>
      <c r="E407" s="14" t="s">
        <v>6956</v>
      </c>
      <c r="F407" s="14" t="s">
        <v>6957</v>
      </c>
      <c r="G407" s="14" t="s">
        <v>6927</v>
      </c>
    </row>
    <row r="408" spans="1:7" ht="409.5">
      <c r="A408" s="14" t="s">
        <v>6921</v>
      </c>
      <c r="B408" s="14" t="s">
        <v>8329</v>
      </c>
      <c r="C408" s="14" t="s">
        <v>8330</v>
      </c>
      <c r="D408" s="14" t="s">
        <v>8331</v>
      </c>
      <c r="E408" s="14" t="s">
        <v>6931</v>
      </c>
      <c r="F408" s="14" t="s">
        <v>6932</v>
      </c>
      <c r="G408" s="14" t="s">
        <v>8332</v>
      </c>
    </row>
    <row r="409" spans="1:7" ht="180">
      <c r="A409" s="14" t="s">
        <v>6921</v>
      </c>
      <c r="B409" s="14" t="s">
        <v>8333</v>
      </c>
      <c r="C409" s="14" t="s">
        <v>8334</v>
      </c>
      <c r="D409" s="14" t="s">
        <v>8335</v>
      </c>
      <c r="E409" s="14" t="s">
        <v>6931</v>
      </c>
      <c r="F409" s="14" t="s">
        <v>6932</v>
      </c>
      <c r="G409" s="14" t="s">
        <v>8336</v>
      </c>
    </row>
    <row r="410" spans="1:7" ht="45">
      <c r="A410" s="14" t="s">
        <v>6921</v>
      </c>
      <c r="B410" s="14" t="s">
        <v>8337</v>
      </c>
      <c r="C410" s="14" t="s">
        <v>8338</v>
      </c>
      <c r="D410" s="14" t="s">
        <v>8339</v>
      </c>
      <c r="E410" s="14" t="s">
        <v>6956</v>
      </c>
      <c r="F410" s="14" t="s">
        <v>6957</v>
      </c>
      <c r="G410" s="14" t="s">
        <v>6927</v>
      </c>
    </row>
    <row r="411" spans="1:7" ht="30">
      <c r="A411" s="14" t="s">
        <v>6921</v>
      </c>
      <c r="B411" s="14" t="s">
        <v>8340</v>
      </c>
      <c r="C411" s="14" t="s">
        <v>8341</v>
      </c>
      <c r="D411" s="14" t="s">
        <v>8342</v>
      </c>
      <c r="E411" s="14" t="s">
        <v>6925</v>
      </c>
      <c r="F411" s="14" t="s">
        <v>6969</v>
      </c>
      <c r="G411" s="14" t="s">
        <v>6927</v>
      </c>
    </row>
    <row r="412" spans="1:7" ht="45">
      <c r="A412" s="14" t="s">
        <v>6921</v>
      </c>
      <c r="B412" s="14" t="s">
        <v>8343</v>
      </c>
      <c r="C412" s="14" t="s">
        <v>8344</v>
      </c>
      <c r="D412" s="14" t="s">
        <v>8345</v>
      </c>
      <c r="E412" s="14" t="s">
        <v>6925</v>
      </c>
      <c r="F412" s="14" t="s">
        <v>6965</v>
      </c>
      <c r="G412" s="14" t="s">
        <v>6927</v>
      </c>
    </row>
    <row r="413" spans="1:7" ht="165">
      <c r="A413" s="14" t="s">
        <v>6921</v>
      </c>
      <c r="B413" s="14" t="s">
        <v>8346</v>
      </c>
      <c r="C413" s="14" t="s">
        <v>8347</v>
      </c>
      <c r="D413" s="14" t="s">
        <v>8348</v>
      </c>
      <c r="E413" s="14" t="s">
        <v>6931</v>
      </c>
      <c r="F413" s="14" t="s">
        <v>6932</v>
      </c>
      <c r="G413" s="14" t="s">
        <v>8349</v>
      </c>
    </row>
    <row r="414" spans="1:7" ht="135">
      <c r="A414" s="14" t="s">
        <v>6921</v>
      </c>
      <c r="B414" s="14" t="s">
        <v>8350</v>
      </c>
      <c r="C414" s="14" t="s">
        <v>8351</v>
      </c>
      <c r="D414" s="14" t="s">
        <v>8352</v>
      </c>
      <c r="E414" s="14" t="s">
        <v>6931</v>
      </c>
      <c r="F414" s="14" t="s">
        <v>6932</v>
      </c>
      <c r="G414" s="14" t="s">
        <v>8353</v>
      </c>
    </row>
    <row r="415" spans="1:7" ht="60">
      <c r="A415" s="14" t="s">
        <v>6921</v>
      </c>
      <c r="B415" s="14" t="s">
        <v>8354</v>
      </c>
      <c r="C415" s="14" t="s">
        <v>8355</v>
      </c>
      <c r="D415" s="14" t="s">
        <v>8356</v>
      </c>
      <c r="E415" s="14" t="s">
        <v>6931</v>
      </c>
      <c r="F415" s="14" t="s">
        <v>6932</v>
      </c>
      <c r="G415" s="14" t="s">
        <v>6952</v>
      </c>
    </row>
    <row r="416" spans="1:7" ht="45">
      <c r="A416" s="14" t="s">
        <v>6921</v>
      </c>
      <c r="B416" s="14" t="s">
        <v>8357</v>
      </c>
      <c r="C416" s="14" t="s">
        <v>8358</v>
      </c>
      <c r="D416" s="14" t="s">
        <v>8359</v>
      </c>
      <c r="E416" s="14" t="s">
        <v>6925</v>
      </c>
      <c r="F416" s="14" t="s">
        <v>7067</v>
      </c>
      <c r="G416" s="14" t="s">
        <v>6927</v>
      </c>
    </row>
    <row r="417" spans="1:7" ht="30">
      <c r="A417" s="14" t="s">
        <v>6921</v>
      </c>
      <c r="B417" s="14" t="s">
        <v>8360</v>
      </c>
      <c r="C417" s="14" t="s">
        <v>8361</v>
      </c>
      <c r="D417" s="14" t="s">
        <v>8362</v>
      </c>
      <c r="E417" s="14" t="s">
        <v>6925</v>
      </c>
      <c r="F417" s="14" t="s">
        <v>6969</v>
      </c>
      <c r="G417" s="14" t="s">
        <v>6927</v>
      </c>
    </row>
    <row r="418" spans="1:7" ht="75">
      <c r="A418" s="14" t="s">
        <v>6921</v>
      </c>
      <c r="B418" s="14" t="s">
        <v>8363</v>
      </c>
      <c r="C418" s="14" t="s">
        <v>8364</v>
      </c>
      <c r="D418" s="14" t="s">
        <v>8365</v>
      </c>
      <c r="E418" s="14" t="s">
        <v>6925</v>
      </c>
      <c r="F418" s="14" t="s">
        <v>6969</v>
      </c>
      <c r="G418" s="14" t="s">
        <v>6927</v>
      </c>
    </row>
    <row r="419" spans="1:7" ht="30">
      <c r="A419" s="14" t="s">
        <v>6921</v>
      </c>
      <c r="B419" s="14" t="s">
        <v>8366</v>
      </c>
      <c r="C419" s="14" t="s">
        <v>8367</v>
      </c>
      <c r="D419" s="14" t="s">
        <v>8368</v>
      </c>
      <c r="E419" s="14" t="s">
        <v>7006</v>
      </c>
      <c r="F419" s="14" t="s">
        <v>8369</v>
      </c>
      <c r="G419" s="14" t="s">
        <v>6927</v>
      </c>
    </row>
    <row r="420" spans="1:7" ht="60">
      <c r="A420" s="14" t="s">
        <v>6921</v>
      </c>
      <c r="B420" s="14" t="s">
        <v>8370</v>
      </c>
      <c r="C420" s="14" t="s">
        <v>8371</v>
      </c>
      <c r="D420" s="14" t="s">
        <v>8372</v>
      </c>
      <c r="E420" s="14" t="s">
        <v>6985</v>
      </c>
      <c r="F420" s="14" t="s">
        <v>7135</v>
      </c>
      <c r="G420" s="14" t="s">
        <v>6927</v>
      </c>
    </row>
    <row r="421" spans="1:7" ht="60">
      <c r="A421" s="14" t="s">
        <v>6921</v>
      </c>
      <c r="B421" s="14" t="s">
        <v>8373</v>
      </c>
      <c r="C421" s="14" t="s">
        <v>8374</v>
      </c>
      <c r="D421" s="14" t="s">
        <v>8375</v>
      </c>
      <c r="E421" s="14" t="s">
        <v>7006</v>
      </c>
      <c r="F421" s="14" t="s">
        <v>7308</v>
      </c>
      <c r="G421" s="14" t="s">
        <v>6927</v>
      </c>
    </row>
    <row r="422" spans="1:7" ht="60">
      <c r="A422" s="14" t="s">
        <v>6921</v>
      </c>
      <c r="B422" s="14" t="s">
        <v>8376</v>
      </c>
      <c r="C422" s="14" t="s">
        <v>8377</v>
      </c>
      <c r="D422" s="14" t="s">
        <v>8378</v>
      </c>
      <c r="E422" s="14" t="s">
        <v>7006</v>
      </c>
      <c r="F422" s="14" t="s">
        <v>7308</v>
      </c>
      <c r="G422" s="14" t="s">
        <v>6927</v>
      </c>
    </row>
    <row r="423" spans="1:7" ht="135">
      <c r="A423" s="14" t="s">
        <v>6921</v>
      </c>
      <c r="B423" s="14" t="s">
        <v>8379</v>
      </c>
      <c r="C423" s="14" t="s">
        <v>8380</v>
      </c>
      <c r="D423" s="14" t="s">
        <v>8381</v>
      </c>
      <c r="E423" s="14" t="s">
        <v>6931</v>
      </c>
      <c r="F423" s="14" t="s">
        <v>6932</v>
      </c>
      <c r="G423" s="14" t="s">
        <v>8382</v>
      </c>
    </row>
    <row r="424" spans="1:7" ht="60">
      <c r="A424" s="14" t="s">
        <v>6921</v>
      </c>
      <c r="B424" s="14" t="s">
        <v>8383</v>
      </c>
      <c r="C424" s="14" t="s">
        <v>8384</v>
      </c>
      <c r="D424" s="14" t="s">
        <v>8385</v>
      </c>
      <c r="E424" s="14" t="s">
        <v>6931</v>
      </c>
      <c r="F424" s="14" t="s">
        <v>6932</v>
      </c>
      <c r="G424" s="14" t="s">
        <v>7791</v>
      </c>
    </row>
    <row r="425" spans="1:7" ht="409.5">
      <c r="A425" s="14" t="s">
        <v>6921</v>
      </c>
      <c r="B425" s="14" t="s">
        <v>8386</v>
      </c>
      <c r="C425" s="14" t="s">
        <v>8387</v>
      </c>
      <c r="D425" s="14" t="s">
        <v>8388</v>
      </c>
      <c r="E425" s="14" t="s">
        <v>6931</v>
      </c>
      <c r="F425" s="14" t="s">
        <v>6932</v>
      </c>
      <c r="G425" s="14" t="s">
        <v>7809</v>
      </c>
    </row>
    <row r="426" spans="1:7" ht="225">
      <c r="A426" s="14" t="s">
        <v>6921</v>
      </c>
      <c r="B426" s="14" t="s">
        <v>8389</v>
      </c>
      <c r="C426" s="14" t="s">
        <v>8390</v>
      </c>
      <c r="D426" s="14" t="s">
        <v>8391</v>
      </c>
      <c r="E426" s="14" t="s">
        <v>6931</v>
      </c>
      <c r="F426" s="14" t="s">
        <v>6932</v>
      </c>
      <c r="G426" s="14" t="s">
        <v>8392</v>
      </c>
    </row>
    <row r="427" spans="1:7" ht="150">
      <c r="A427" s="14" t="s">
        <v>6921</v>
      </c>
      <c r="B427" s="14" t="s">
        <v>8393</v>
      </c>
      <c r="C427" s="14" t="s">
        <v>8394</v>
      </c>
      <c r="D427" s="14" t="s">
        <v>8395</v>
      </c>
      <c r="E427" s="14" t="s">
        <v>6931</v>
      </c>
      <c r="F427" s="14" t="s">
        <v>6932</v>
      </c>
      <c r="G427" s="14" t="s">
        <v>8396</v>
      </c>
    </row>
    <row r="428" spans="1:7" ht="30">
      <c r="A428" s="14" t="s">
        <v>6921</v>
      </c>
      <c r="B428" s="14" t="s">
        <v>8397</v>
      </c>
      <c r="C428" s="14" t="s">
        <v>8398</v>
      </c>
      <c r="D428" s="14" t="s">
        <v>8399</v>
      </c>
      <c r="E428" s="14" t="s">
        <v>6925</v>
      </c>
      <c r="F428" s="14" t="s">
        <v>7098</v>
      </c>
      <c r="G428" s="14" t="s">
        <v>6927</v>
      </c>
    </row>
    <row r="429" spans="1:7" ht="90">
      <c r="A429" s="14" t="s">
        <v>6921</v>
      </c>
      <c r="B429" s="14" t="s">
        <v>8400</v>
      </c>
      <c r="C429" s="14" t="s">
        <v>8401</v>
      </c>
      <c r="D429" s="14" t="s">
        <v>8402</v>
      </c>
      <c r="E429" s="14" t="s">
        <v>6925</v>
      </c>
      <c r="F429" s="14" t="s">
        <v>7098</v>
      </c>
      <c r="G429" s="14" t="s">
        <v>6927</v>
      </c>
    </row>
    <row r="430" spans="1:7" ht="30">
      <c r="A430" s="14" t="s">
        <v>6921</v>
      </c>
      <c r="B430" s="14" t="s">
        <v>8403</v>
      </c>
      <c r="C430" s="14" t="s">
        <v>8404</v>
      </c>
      <c r="D430" s="14" t="s">
        <v>8405</v>
      </c>
      <c r="E430" s="14" t="s">
        <v>6925</v>
      </c>
      <c r="F430" s="14" t="s">
        <v>7098</v>
      </c>
      <c r="G430" s="14" t="s">
        <v>6927</v>
      </c>
    </row>
    <row r="431" spans="1:7" ht="45">
      <c r="A431" s="14" t="s">
        <v>6921</v>
      </c>
      <c r="B431" s="14" t="s">
        <v>8406</v>
      </c>
      <c r="C431" s="14" t="s">
        <v>8407</v>
      </c>
      <c r="D431" s="14" t="s">
        <v>8408</v>
      </c>
      <c r="E431" s="14" t="s">
        <v>6925</v>
      </c>
      <c r="F431" s="14" t="s">
        <v>7098</v>
      </c>
      <c r="G431" s="14" t="s">
        <v>6927</v>
      </c>
    </row>
    <row r="432" spans="1:7" ht="45">
      <c r="A432" s="14" t="s">
        <v>6921</v>
      </c>
      <c r="B432" s="14" t="s">
        <v>8409</v>
      </c>
      <c r="C432" s="14" t="s">
        <v>8410</v>
      </c>
      <c r="D432" s="14" t="s">
        <v>8411</v>
      </c>
      <c r="E432" s="14" t="s">
        <v>6925</v>
      </c>
      <c r="F432" s="14" t="s">
        <v>7098</v>
      </c>
      <c r="G432" s="14" t="s">
        <v>6927</v>
      </c>
    </row>
    <row r="433" spans="1:7" ht="30">
      <c r="A433" s="14" t="s">
        <v>6921</v>
      </c>
      <c r="B433" s="14" t="s">
        <v>8412</v>
      </c>
      <c r="C433" s="14" t="s">
        <v>8413</v>
      </c>
      <c r="D433" s="14" t="s">
        <v>8414</v>
      </c>
      <c r="E433" s="14" t="s">
        <v>6925</v>
      </c>
      <c r="F433" s="14" t="s">
        <v>7098</v>
      </c>
      <c r="G433" s="14" t="s">
        <v>6927</v>
      </c>
    </row>
    <row r="434" spans="1:7" ht="120">
      <c r="A434" s="14" t="s">
        <v>6921</v>
      </c>
      <c r="B434" s="14" t="s">
        <v>8415</v>
      </c>
      <c r="C434" s="14" t="s">
        <v>8416</v>
      </c>
      <c r="D434" s="14" t="s">
        <v>8417</v>
      </c>
      <c r="E434" s="14" t="s">
        <v>6931</v>
      </c>
      <c r="F434" s="14" t="s">
        <v>6932</v>
      </c>
      <c r="G434" s="14" t="s">
        <v>8418</v>
      </c>
    </row>
    <row r="435" spans="1:7" ht="60">
      <c r="A435" s="14" t="s">
        <v>6921</v>
      </c>
      <c r="B435" s="14" t="s">
        <v>8419</v>
      </c>
      <c r="C435" s="14" t="s">
        <v>8420</v>
      </c>
      <c r="D435" s="14" t="s">
        <v>8421</v>
      </c>
      <c r="E435" s="14" t="s">
        <v>6925</v>
      </c>
      <c r="F435" s="14" t="s">
        <v>7125</v>
      </c>
      <c r="G435" s="14" t="s">
        <v>6927</v>
      </c>
    </row>
    <row r="436" spans="1:7" ht="30">
      <c r="A436" s="14" t="s">
        <v>6921</v>
      </c>
      <c r="B436" s="14" t="s">
        <v>8422</v>
      </c>
      <c r="C436" s="14" t="s">
        <v>8423</v>
      </c>
      <c r="D436" s="14" t="s">
        <v>8424</v>
      </c>
      <c r="E436" s="14" t="s">
        <v>7006</v>
      </c>
      <c r="F436" s="14" t="s">
        <v>7365</v>
      </c>
      <c r="G436" s="14" t="s">
        <v>6927</v>
      </c>
    </row>
    <row r="437" spans="1:7" ht="225">
      <c r="A437" s="14" t="s">
        <v>6921</v>
      </c>
      <c r="B437" s="14" t="s">
        <v>8425</v>
      </c>
      <c r="C437" s="14" t="s">
        <v>8426</v>
      </c>
      <c r="D437" s="14" t="s">
        <v>8427</v>
      </c>
      <c r="E437" s="14" t="s">
        <v>6931</v>
      </c>
      <c r="F437" s="14" t="s">
        <v>6932</v>
      </c>
      <c r="G437" s="14" t="s">
        <v>8428</v>
      </c>
    </row>
    <row r="438" spans="1:7" ht="45">
      <c r="A438" s="14" t="s">
        <v>6921</v>
      </c>
      <c r="B438" s="14" t="s">
        <v>8429</v>
      </c>
      <c r="C438" s="14" t="s">
        <v>8430</v>
      </c>
      <c r="D438" s="14" t="s">
        <v>8431</v>
      </c>
      <c r="E438" s="14" t="s">
        <v>6925</v>
      </c>
      <c r="F438" s="14" t="s">
        <v>6969</v>
      </c>
      <c r="G438" s="14" t="s">
        <v>6927</v>
      </c>
    </row>
    <row r="439" spans="1:7" ht="45">
      <c r="A439" s="14" t="s">
        <v>6921</v>
      </c>
      <c r="B439" s="14" t="s">
        <v>8432</v>
      </c>
      <c r="C439" s="14" t="s">
        <v>8433</v>
      </c>
      <c r="D439" s="14" t="s">
        <v>8434</v>
      </c>
      <c r="E439" s="14" t="s">
        <v>6925</v>
      </c>
      <c r="F439" s="14" t="s">
        <v>6926</v>
      </c>
      <c r="G439" s="14" t="s">
        <v>6927</v>
      </c>
    </row>
    <row r="440" spans="1:7" ht="30">
      <c r="A440" s="14" t="s">
        <v>6921</v>
      </c>
      <c r="B440" s="14" t="s">
        <v>8435</v>
      </c>
      <c r="C440" s="14" t="s">
        <v>8436</v>
      </c>
      <c r="D440" s="14" t="s">
        <v>8437</v>
      </c>
      <c r="E440" s="14" t="s">
        <v>6925</v>
      </c>
      <c r="F440" s="14" t="s">
        <v>7067</v>
      </c>
      <c r="G440" s="14" t="s">
        <v>6927</v>
      </c>
    </row>
    <row r="441" spans="1:7" ht="300">
      <c r="A441" s="14" t="s">
        <v>6921</v>
      </c>
      <c r="B441" s="14" t="s">
        <v>8438</v>
      </c>
      <c r="C441" s="14" t="s">
        <v>8439</v>
      </c>
      <c r="D441" s="14" t="s">
        <v>8440</v>
      </c>
      <c r="E441" s="14" t="s">
        <v>6931</v>
      </c>
      <c r="F441" s="14" t="s">
        <v>6932</v>
      </c>
      <c r="G441" s="14" t="s">
        <v>8441</v>
      </c>
    </row>
    <row r="442" spans="1:7" ht="60">
      <c r="A442" s="14" t="s">
        <v>6921</v>
      </c>
      <c r="B442" s="14" t="s">
        <v>8442</v>
      </c>
      <c r="C442" s="14" t="s">
        <v>8443</v>
      </c>
      <c r="D442" s="14" t="s">
        <v>8444</v>
      </c>
      <c r="E442" s="14" t="s">
        <v>6925</v>
      </c>
      <c r="F442" s="14" t="s">
        <v>6926</v>
      </c>
      <c r="G442" s="14" t="s">
        <v>6927</v>
      </c>
    </row>
    <row r="443" spans="1:7" ht="45">
      <c r="A443" s="14" t="s">
        <v>6921</v>
      </c>
      <c r="B443" s="14" t="s">
        <v>8445</v>
      </c>
      <c r="C443" s="14" t="s">
        <v>8446</v>
      </c>
      <c r="D443" s="14" t="s">
        <v>8447</v>
      </c>
      <c r="E443" s="14" t="s">
        <v>6925</v>
      </c>
      <c r="F443" s="14" t="s">
        <v>6965</v>
      </c>
      <c r="G443" s="14" t="s">
        <v>6927</v>
      </c>
    </row>
    <row r="444" spans="1:7" ht="45">
      <c r="A444" s="14" t="s">
        <v>6921</v>
      </c>
      <c r="B444" s="14" t="s">
        <v>8448</v>
      </c>
      <c r="C444" s="14" t="s">
        <v>8449</v>
      </c>
      <c r="D444" s="14" t="s">
        <v>8450</v>
      </c>
      <c r="E444" s="14" t="s">
        <v>6925</v>
      </c>
      <c r="F444" s="14" t="s">
        <v>6969</v>
      </c>
      <c r="G444" s="14" t="s">
        <v>6927</v>
      </c>
    </row>
    <row r="445" spans="1:7" ht="30">
      <c r="A445" s="14" t="s">
        <v>6921</v>
      </c>
      <c r="B445" s="14" t="s">
        <v>8451</v>
      </c>
      <c r="C445" s="14" t="s">
        <v>8452</v>
      </c>
      <c r="D445" s="14" t="s">
        <v>8453</v>
      </c>
      <c r="E445" s="14" t="s">
        <v>6925</v>
      </c>
      <c r="F445" s="14" t="s">
        <v>6965</v>
      </c>
      <c r="G445" s="14" t="s">
        <v>6927</v>
      </c>
    </row>
    <row r="446" spans="1:7" ht="45">
      <c r="A446" s="14" t="s">
        <v>6921</v>
      </c>
      <c r="B446" s="14" t="s">
        <v>8454</v>
      </c>
      <c r="C446" s="14" t="s">
        <v>8455</v>
      </c>
      <c r="D446" s="14" t="s">
        <v>8456</v>
      </c>
      <c r="E446" s="14" t="s">
        <v>6985</v>
      </c>
      <c r="F446" s="14" t="s">
        <v>6986</v>
      </c>
      <c r="G446" s="14" t="s">
        <v>6927</v>
      </c>
    </row>
    <row r="447" spans="1:7" ht="60">
      <c r="A447" s="14" t="s">
        <v>6921</v>
      </c>
      <c r="B447" s="14" t="s">
        <v>8457</v>
      </c>
      <c r="C447" s="14" t="s">
        <v>8458</v>
      </c>
      <c r="D447" s="14" t="s">
        <v>8459</v>
      </c>
      <c r="E447" s="14" t="s">
        <v>6925</v>
      </c>
      <c r="F447" s="14" t="s">
        <v>6965</v>
      </c>
      <c r="G447" s="14" t="s">
        <v>6927</v>
      </c>
    </row>
    <row r="448" spans="1:7" ht="30">
      <c r="A448" s="14" t="s">
        <v>6921</v>
      </c>
      <c r="B448" s="14" t="s">
        <v>8460</v>
      </c>
      <c r="C448" s="14" t="s">
        <v>8461</v>
      </c>
      <c r="D448" s="14" t="s">
        <v>8462</v>
      </c>
      <c r="E448" s="14" t="s">
        <v>6985</v>
      </c>
      <c r="F448" s="14" t="s">
        <v>6932</v>
      </c>
      <c r="G448" s="14" t="s">
        <v>6927</v>
      </c>
    </row>
    <row r="449" spans="1:7" ht="45">
      <c r="A449" s="14" t="s">
        <v>6921</v>
      </c>
      <c r="B449" s="14" t="s">
        <v>8463</v>
      </c>
      <c r="C449" s="14" t="s">
        <v>8464</v>
      </c>
      <c r="D449" s="14" t="s">
        <v>8465</v>
      </c>
      <c r="E449" s="14" t="s">
        <v>6931</v>
      </c>
      <c r="F449" s="14" t="s">
        <v>6932</v>
      </c>
      <c r="G449" s="14" t="s">
        <v>8466</v>
      </c>
    </row>
    <row r="450" spans="1:7" ht="45">
      <c r="A450" s="14" t="s">
        <v>6921</v>
      </c>
      <c r="B450" s="14" t="s">
        <v>8467</v>
      </c>
      <c r="C450" s="14" t="s">
        <v>8468</v>
      </c>
      <c r="D450" s="14" t="s">
        <v>8469</v>
      </c>
      <c r="E450" s="14" t="s">
        <v>7006</v>
      </c>
      <c r="F450" s="14" t="s">
        <v>7365</v>
      </c>
      <c r="G450" s="14" t="s">
        <v>6927</v>
      </c>
    </row>
    <row r="451" spans="1:7" ht="45">
      <c r="A451" s="14" t="s">
        <v>6921</v>
      </c>
      <c r="B451" s="14" t="s">
        <v>8470</v>
      </c>
      <c r="C451" s="14" t="s">
        <v>8471</v>
      </c>
      <c r="D451" s="14" t="s">
        <v>8472</v>
      </c>
      <c r="E451" s="14" t="s">
        <v>6956</v>
      </c>
      <c r="F451" s="14" t="s">
        <v>6957</v>
      </c>
      <c r="G451" s="14" t="s">
        <v>6927</v>
      </c>
    </row>
    <row r="452" spans="1:7" ht="270">
      <c r="A452" s="14" t="s">
        <v>6921</v>
      </c>
      <c r="B452" s="14" t="s">
        <v>8473</v>
      </c>
      <c r="C452" s="14" t="s">
        <v>8474</v>
      </c>
      <c r="D452" s="14" t="s">
        <v>8475</v>
      </c>
      <c r="E452" s="14" t="s">
        <v>6931</v>
      </c>
      <c r="F452" s="14" t="s">
        <v>6932</v>
      </c>
      <c r="G452" s="14" t="s">
        <v>8476</v>
      </c>
    </row>
    <row r="453" spans="1:7" ht="30">
      <c r="A453" s="14" t="s">
        <v>6921</v>
      </c>
      <c r="B453" s="14" t="s">
        <v>8477</v>
      </c>
      <c r="C453" s="14" t="s">
        <v>8478</v>
      </c>
      <c r="D453" s="14" t="s">
        <v>8479</v>
      </c>
      <c r="E453" s="14" t="s">
        <v>6925</v>
      </c>
      <c r="F453" s="14" t="s">
        <v>7098</v>
      </c>
      <c r="G453" s="14" t="s">
        <v>6927</v>
      </c>
    </row>
    <row r="454" spans="1:7" ht="270">
      <c r="A454" s="14" t="s">
        <v>6921</v>
      </c>
      <c r="B454" s="14" t="s">
        <v>8480</v>
      </c>
      <c r="C454" s="14" t="s">
        <v>8481</v>
      </c>
      <c r="D454" s="14" t="s">
        <v>8482</v>
      </c>
      <c r="E454" s="14" t="s">
        <v>6931</v>
      </c>
      <c r="F454" s="14" t="s">
        <v>6932</v>
      </c>
      <c r="G454" s="14" t="s">
        <v>8476</v>
      </c>
    </row>
    <row r="455" spans="1:7" ht="150">
      <c r="A455" s="14" t="s">
        <v>6921</v>
      </c>
      <c r="B455" s="14" t="s">
        <v>8483</v>
      </c>
      <c r="C455" s="14" t="s">
        <v>8484</v>
      </c>
      <c r="D455" s="14" t="s">
        <v>8485</v>
      </c>
      <c r="E455" s="14" t="s">
        <v>6931</v>
      </c>
      <c r="F455" s="14" t="s">
        <v>6932</v>
      </c>
      <c r="G455" s="14" t="s">
        <v>8486</v>
      </c>
    </row>
    <row r="456" spans="1:7" ht="150">
      <c r="A456" s="14" t="s">
        <v>6921</v>
      </c>
      <c r="B456" s="14" t="s">
        <v>8487</v>
      </c>
      <c r="C456" s="14" t="s">
        <v>8488</v>
      </c>
      <c r="D456" s="14" t="s">
        <v>8489</v>
      </c>
      <c r="E456" s="14" t="s">
        <v>6931</v>
      </c>
      <c r="F456" s="14" t="s">
        <v>6932</v>
      </c>
      <c r="G456" s="14" t="s">
        <v>8490</v>
      </c>
    </row>
    <row r="457" spans="1:7" ht="30">
      <c r="A457" s="14" t="s">
        <v>6921</v>
      </c>
      <c r="B457" s="14" t="s">
        <v>8491</v>
      </c>
      <c r="C457" s="14" t="s">
        <v>8492</v>
      </c>
      <c r="D457" s="14" t="s">
        <v>8493</v>
      </c>
      <c r="E457" s="14" t="s">
        <v>6985</v>
      </c>
      <c r="F457" s="14" t="s">
        <v>7135</v>
      </c>
      <c r="G457" s="14" t="s">
        <v>6927</v>
      </c>
    </row>
    <row r="458" spans="1:7" ht="45">
      <c r="A458" s="14" t="s">
        <v>6921</v>
      </c>
      <c r="B458" s="14" t="s">
        <v>8494</v>
      </c>
      <c r="C458" s="14" t="s">
        <v>8495</v>
      </c>
      <c r="D458" s="14" t="s">
        <v>8496</v>
      </c>
      <c r="E458" s="14" t="s">
        <v>6956</v>
      </c>
      <c r="F458" s="14" t="s">
        <v>6957</v>
      </c>
      <c r="G458" s="14" t="s">
        <v>6927</v>
      </c>
    </row>
    <row r="459" spans="1:7" ht="45">
      <c r="A459" s="14" t="s">
        <v>6921</v>
      </c>
      <c r="B459" s="14" t="s">
        <v>8497</v>
      </c>
      <c r="C459" s="14" t="s">
        <v>8498</v>
      </c>
      <c r="D459" s="14" t="s">
        <v>8499</v>
      </c>
      <c r="E459" s="14" t="s">
        <v>6925</v>
      </c>
      <c r="F459" s="14" t="s">
        <v>6926</v>
      </c>
      <c r="G459" s="14" t="s">
        <v>6927</v>
      </c>
    </row>
    <row r="460" spans="1:7" ht="45">
      <c r="A460" s="14" t="s">
        <v>6921</v>
      </c>
      <c r="B460" s="14" t="s">
        <v>8500</v>
      </c>
      <c r="C460" s="14" t="s">
        <v>8501</v>
      </c>
      <c r="D460" s="14" t="s">
        <v>8502</v>
      </c>
      <c r="E460" s="14" t="s">
        <v>6956</v>
      </c>
      <c r="F460" s="14" t="s">
        <v>6957</v>
      </c>
      <c r="G460" s="14" t="s">
        <v>6927</v>
      </c>
    </row>
    <row r="461" spans="1:7" ht="45">
      <c r="A461" s="14" t="s">
        <v>6921</v>
      </c>
      <c r="B461" s="14" t="s">
        <v>8503</v>
      </c>
      <c r="C461" s="14" t="s">
        <v>8504</v>
      </c>
      <c r="D461" s="14" t="s">
        <v>8505</v>
      </c>
      <c r="E461" s="14" t="s">
        <v>6925</v>
      </c>
      <c r="F461" s="14" t="s">
        <v>6926</v>
      </c>
      <c r="G461" s="14" t="s">
        <v>6927</v>
      </c>
    </row>
    <row r="462" spans="1:7" ht="75">
      <c r="A462" s="14" t="s">
        <v>6921</v>
      </c>
      <c r="B462" s="14" t="s">
        <v>8506</v>
      </c>
      <c r="C462" s="14" t="s">
        <v>8507</v>
      </c>
      <c r="D462" s="14" t="s">
        <v>8508</v>
      </c>
      <c r="E462" s="14" t="s">
        <v>6925</v>
      </c>
      <c r="F462" s="14" t="s">
        <v>7098</v>
      </c>
      <c r="G462" s="14" t="s">
        <v>6927</v>
      </c>
    </row>
    <row r="463" spans="1:7" ht="135">
      <c r="A463" s="14" t="s">
        <v>6921</v>
      </c>
      <c r="B463" s="14" t="s">
        <v>8509</v>
      </c>
      <c r="C463" s="14" t="s">
        <v>8510</v>
      </c>
      <c r="D463" s="14" t="s">
        <v>8511</v>
      </c>
      <c r="E463" s="14" t="s">
        <v>6931</v>
      </c>
      <c r="F463" s="14" t="s">
        <v>6932</v>
      </c>
      <c r="G463" s="14" t="s">
        <v>8512</v>
      </c>
    </row>
    <row r="464" spans="1:7" ht="30">
      <c r="A464" s="14" t="s">
        <v>6921</v>
      </c>
      <c r="B464" s="14" t="s">
        <v>8513</v>
      </c>
      <c r="C464" s="14" t="s">
        <v>8514</v>
      </c>
      <c r="D464" s="14" t="s">
        <v>8515</v>
      </c>
      <c r="E464" s="14" t="s">
        <v>6925</v>
      </c>
      <c r="F464" s="14" t="s">
        <v>6965</v>
      </c>
      <c r="G464" s="14" t="s">
        <v>6927</v>
      </c>
    </row>
    <row r="465" spans="1:7" ht="30">
      <c r="A465" s="14" t="s">
        <v>6921</v>
      </c>
      <c r="B465" s="14" t="s">
        <v>8516</v>
      </c>
      <c r="C465" s="14" t="s">
        <v>8517</v>
      </c>
      <c r="D465" s="14" t="s">
        <v>8518</v>
      </c>
      <c r="E465" s="14" t="s">
        <v>6985</v>
      </c>
      <c r="F465" s="14" t="s">
        <v>6932</v>
      </c>
      <c r="G465" s="14" t="s">
        <v>6927</v>
      </c>
    </row>
    <row r="466" spans="1:7" ht="30">
      <c r="A466" s="14" t="s">
        <v>6921</v>
      </c>
      <c r="B466" s="14" t="s">
        <v>8519</v>
      </c>
      <c r="C466" s="14" t="s">
        <v>8520</v>
      </c>
      <c r="D466" s="14" t="s">
        <v>8521</v>
      </c>
      <c r="E466" s="14" t="s">
        <v>6925</v>
      </c>
      <c r="F466" s="14" t="s">
        <v>6965</v>
      </c>
      <c r="G466" s="14" t="s">
        <v>6927</v>
      </c>
    </row>
    <row r="467" spans="1:7" ht="180">
      <c r="A467" s="14" t="s">
        <v>6921</v>
      </c>
      <c r="B467" s="14" t="s">
        <v>8522</v>
      </c>
      <c r="C467" s="14" t="s">
        <v>8523</v>
      </c>
      <c r="D467" s="14" t="s">
        <v>8524</v>
      </c>
      <c r="E467" s="14" t="s">
        <v>6931</v>
      </c>
      <c r="F467" s="14" t="s">
        <v>6932</v>
      </c>
      <c r="G467" s="14" t="s">
        <v>8525</v>
      </c>
    </row>
    <row r="468" spans="1:7" ht="255">
      <c r="A468" s="14" t="s">
        <v>6921</v>
      </c>
      <c r="B468" s="14" t="s">
        <v>8526</v>
      </c>
      <c r="C468" s="14" t="s">
        <v>8527</v>
      </c>
      <c r="D468" s="14" t="s">
        <v>8528</v>
      </c>
      <c r="E468" s="14" t="s">
        <v>6931</v>
      </c>
      <c r="F468" s="14" t="s">
        <v>6932</v>
      </c>
      <c r="G468" s="14" t="s">
        <v>8529</v>
      </c>
    </row>
    <row r="469" spans="1:7" ht="75">
      <c r="A469" s="14" t="s">
        <v>6921</v>
      </c>
      <c r="B469" s="14" t="s">
        <v>8530</v>
      </c>
      <c r="C469" s="14" t="s">
        <v>8531</v>
      </c>
      <c r="D469" s="14" t="s">
        <v>8532</v>
      </c>
      <c r="E469" s="14" t="s">
        <v>6931</v>
      </c>
      <c r="F469" s="14" t="s">
        <v>6932</v>
      </c>
      <c r="G469" s="14" t="s">
        <v>8533</v>
      </c>
    </row>
    <row r="470" spans="1:7" ht="75">
      <c r="A470" s="14" t="s">
        <v>6921</v>
      </c>
      <c r="B470" s="14" t="s">
        <v>8534</v>
      </c>
      <c r="C470" s="14" t="s">
        <v>8535</v>
      </c>
      <c r="D470" s="14" t="s">
        <v>8536</v>
      </c>
      <c r="E470" s="14" t="s">
        <v>6931</v>
      </c>
      <c r="F470" s="14" t="s">
        <v>6932</v>
      </c>
      <c r="G470" s="14" t="s">
        <v>8537</v>
      </c>
    </row>
    <row r="471" spans="1:7" ht="75">
      <c r="A471" s="14" t="s">
        <v>6921</v>
      </c>
      <c r="B471" s="14" t="s">
        <v>8538</v>
      </c>
      <c r="C471" s="14" t="s">
        <v>8539</v>
      </c>
      <c r="D471" s="14" t="s">
        <v>8540</v>
      </c>
      <c r="E471" s="14" t="s">
        <v>6931</v>
      </c>
      <c r="F471" s="14" t="s">
        <v>6932</v>
      </c>
      <c r="G471" s="14" t="s">
        <v>8541</v>
      </c>
    </row>
    <row r="472" spans="1:7" ht="90">
      <c r="A472" s="14" t="s">
        <v>6921</v>
      </c>
      <c r="B472" s="14" t="s">
        <v>8542</v>
      </c>
      <c r="C472" s="14" t="s">
        <v>8543</v>
      </c>
      <c r="D472" s="14" t="s">
        <v>8544</v>
      </c>
      <c r="E472" s="14" t="s">
        <v>6931</v>
      </c>
      <c r="F472" s="14" t="s">
        <v>6932</v>
      </c>
      <c r="G472" s="14" t="s">
        <v>8545</v>
      </c>
    </row>
    <row r="473" spans="1:7" ht="60">
      <c r="A473" s="14" t="s">
        <v>6921</v>
      </c>
      <c r="B473" s="14" t="s">
        <v>8546</v>
      </c>
      <c r="C473" s="14" t="s">
        <v>8547</v>
      </c>
      <c r="D473" s="14" t="s">
        <v>8548</v>
      </c>
      <c r="E473" s="14" t="s">
        <v>6931</v>
      </c>
      <c r="F473" s="14" t="s">
        <v>6932</v>
      </c>
      <c r="G473" s="14" t="s">
        <v>8549</v>
      </c>
    </row>
    <row r="474" spans="1:7" ht="135">
      <c r="A474" s="14" t="s">
        <v>6921</v>
      </c>
      <c r="B474" s="14" t="s">
        <v>8550</v>
      </c>
      <c r="C474" s="14" t="s">
        <v>8551</v>
      </c>
      <c r="D474" s="14" t="s">
        <v>8552</v>
      </c>
      <c r="E474" s="14" t="s">
        <v>6931</v>
      </c>
      <c r="F474" s="14" t="s">
        <v>6932</v>
      </c>
      <c r="G474" s="14" t="s">
        <v>8553</v>
      </c>
    </row>
    <row r="475" spans="1:7" ht="45">
      <c r="A475" s="14" t="s">
        <v>6921</v>
      </c>
      <c r="B475" s="14" t="s">
        <v>8554</v>
      </c>
      <c r="C475" s="14" t="s">
        <v>8555</v>
      </c>
      <c r="D475" s="14" t="s">
        <v>8556</v>
      </c>
      <c r="E475" s="14" t="s">
        <v>6956</v>
      </c>
      <c r="F475" s="14" t="s">
        <v>6957</v>
      </c>
      <c r="G475" s="14" t="s">
        <v>6927</v>
      </c>
    </row>
    <row r="476" spans="1:7" ht="45">
      <c r="A476" s="14" t="s">
        <v>6921</v>
      </c>
      <c r="B476" s="14" t="s">
        <v>8557</v>
      </c>
      <c r="C476" s="14" t="s">
        <v>8558</v>
      </c>
      <c r="D476" s="14" t="s">
        <v>8559</v>
      </c>
      <c r="E476" s="14" t="s">
        <v>6956</v>
      </c>
      <c r="F476" s="14" t="s">
        <v>6957</v>
      </c>
      <c r="G476" s="14" t="s">
        <v>6927</v>
      </c>
    </row>
    <row r="477" spans="1:7" ht="45">
      <c r="A477" s="14" t="s">
        <v>6921</v>
      </c>
      <c r="B477" s="14" t="s">
        <v>8560</v>
      </c>
      <c r="C477" s="14" t="s">
        <v>8561</v>
      </c>
      <c r="D477" s="14" t="s">
        <v>8562</v>
      </c>
      <c r="E477" s="14" t="s">
        <v>6925</v>
      </c>
      <c r="F477" s="14" t="s">
        <v>7924</v>
      </c>
      <c r="G477" s="14" t="s">
        <v>6927</v>
      </c>
    </row>
    <row r="478" spans="1:7" ht="45">
      <c r="A478" s="14" t="s">
        <v>6921</v>
      </c>
      <c r="B478" s="14" t="s">
        <v>8563</v>
      </c>
      <c r="C478" s="14" t="s">
        <v>8564</v>
      </c>
      <c r="D478" s="14" t="s">
        <v>8565</v>
      </c>
      <c r="E478" s="14" t="s">
        <v>6925</v>
      </c>
      <c r="F478" s="14" t="s">
        <v>6965</v>
      </c>
      <c r="G478" s="14" t="s">
        <v>6927</v>
      </c>
    </row>
    <row r="479" spans="1:7" ht="45">
      <c r="A479" s="14" t="s">
        <v>6921</v>
      </c>
      <c r="B479" s="14" t="s">
        <v>8566</v>
      </c>
      <c r="C479" s="14" t="s">
        <v>8567</v>
      </c>
      <c r="D479" s="14" t="s">
        <v>8568</v>
      </c>
      <c r="E479" s="14" t="s">
        <v>6925</v>
      </c>
      <c r="F479" s="14" t="s">
        <v>6926</v>
      </c>
      <c r="G479" s="14" t="s">
        <v>6927</v>
      </c>
    </row>
    <row r="480" spans="1:7" ht="120">
      <c r="A480" s="14" t="s">
        <v>6921</v>
      </c>
      <c r="B480" s="14" t="s">
        <v>8569</v>
      </c>
      <c r="C480" s="14" t="s">
        <v>8570</v>
      </c>
      <c r="D480" s="14" t="s">
        <v>8571</v>
      </c>
      <c r="E480" s="14" t="s">
        <v>6931</v>
      </c>
      <c r="F480" s="14" t="s">
        <v>6932</v>
      </c>
      <c r="G480" s="14" t="s">
        <v>8572</v>
      </c>
    </row>
    <row r="481" spans="1:7" ht="30">
      <c r="A481" s="14" t="s">
        <v>6921</v>
      </c>
      <c r="B481" s="14" t="s">
        <v>6856</v>
      </c>
      <c r="C481" s="14" t="s">
        <v>8573</v>
      </c>
      <c r="D481" s="14" t="s">
        <v>8574</v>
      </c>
      <c r="E481" s="14" t="s">
        <v>6925</v>
      </c>
      <c r="F481" s="14" t="s">
        <v>8575</v>
      </c>
      <c r="G481" s="14" t="s">
        <v>6927</v>
      </c>
    </row>
    <row r="482" spans="1:7" ht="30">
      <c r="A482" s="14" t="s">
        <v>6921</v>
      </c>
      <c r="B482" s="14" t="s">
        <v>8576</v>
      </c>
      <c r="C482" s="14" t="s">
        <v>8577</v>
      </c>
      <c r="D482" s="14" t="s">
        <v>8578</v>
      </c>
      <c r="E482" s="14" t="s">
        <v>6925</v>
      </c>
      <c r="F482" s="14" t="s">
        <v>7125</v>
      </c>
      <c r="G482" s="14" t="s">
        <v>6927</v>
      </c>
    </row>
    <row r="483" spans="1:7" ht="30">
      <c r="A483" s="14" t="s">
        <v>6921</v>
      </c>
      <c r="B483" s="14" t="s">
        <v>8579</v>
      </c>
      <c r="C483" s="14" t="s">
        <v>8580</v>
      </c>
      <c r="D483" s="14" t="s">
        <v>8581</v>
      </c>
      <c r="E483" s="14" t="s">
        <v>6956</v>
      </c>
      <c r="F483" s="14" t="s">
        <v>6957</v>
      </c>
      <c r="G483" s="14" t="s">
        <v>6927</v>
      </c>
    </row>
    <row r="484" spans="1:7" ht="30">
      <c r="A484" s="14" t="s">
        <v>6921</v>
      </c>
      <c r="B484" s="14" t="s">
        <v>8582</v>
      </c>
      <c r="C484" s="14" t="s">
        <v>8583</v>
      </c>
      <c r="D484" s="14" t="s">
        <v>8584</v>
      </c>
      <c r="E484" s="14" t="s">
        <v>7006</v>
      </c>
      <c r="F484" s="14" t="s">
        <v>7365</v>
      </c>
      <c r="G484" s="14" t="s">
        <v>6927</v>
      </c>
    </row>
    <row r="485" spans="1:7" ht="60">
      <c r="A485" s="14" t="s">
        <v>6921</v>
      </c>
      <c r="B485" s="14" t="s">
        <v>8585</v>
      </c>
      <c r="C485" s="14" t="s">
        <v>8586</v>
      </c>
      <c r="D485" s="14" t="s">
        <v>8587</v>
      </c>
      <c r="E485" s="14" t="s">
        <v>6931</v>
      </c>
      <c r="F485" s="14" t="s">
        <v>6932</v>
      </c>
      <c r="G485" s="14" t="s">
        <v>8588</v>
      </c>
    </row>
    <row r="486" spans="1:7" ht="75">
      <c r="A486" s="14" t="s">
        <v>6921</v>
      </c>
      <c r="B486" s="14" t="s">
        <v>8589</v>
      </c>
      <c r="C486" s="14" t="s">
        <v>8590</v>
      </c>
      <c r="D486" s="14" t="s">
        <v>8591</v>
      </c>
      <c r="E486" s="14" t="s">
        <v>6931</v>
      </c>
      <c r="F486" s="14" t="s">
        <v>6932</v>
      </c>
      <c r="G486" s="14" t="s">
        <v>8592</v>
      </c>
    </row>
    <row r="487" spans="1:7" ht="90">
      <c r="A487" s="14" t="s">
        <v>6921</v>
      </c>
      <c r="B487" s="14" t="s">
        <v>8593</v>
      </c>
      <c r="C487" s="14" t="s">
        <v>8594</v>
      </c>
      <c r="D487" s="14" t="s">
        <v>8595</v>
      </c>
      <c r="E487" s="14" t="s">
        <v>6931</v>
      </c>
      <c r="F487" s="14" t="s">
        <v>6932</v>
      </c>
      <c r="G487" s="14" t="s">
        <v>8596</v>
      </c>
    </row>
    <row r="488" spans="1:7" ht="30">
      <c r="A488" s="14" t="s">
        <v>6921</v>
      </c>
      <c r="B488" s="14" t="s">
        <v>8597</v>
      </c>
      <c r="C488" s="14" t="s">
        <v>8598</v>
      </c>
      <c r="D488" s="14" t="s">
        <v>8599</v>
      </c>
      <c r="E488" s="14" t="s">
        <v>7006</v>
      </c>
      <c r="F488" s="14" t="s">
        <v>8369</v>
      </c>
      <c r="G488" s="14" t="s">
        <v>6927</v>
      </c>
    </row>
    <row r="489" spans="1:7" ht="30">
      <c r="A489" s="14" t="s">
        <v>6921</v>
      </c>
      <c r="B489" s="14" t="s">
        <v>8600</v>
      </c>
      <c r="C489" s="14" t="s">
        <v>8601</v>
      </c>
      <c r="D489" s="14" t="s">
        <v>8602</v>
      </c>
      <c r="E489" s="14" t="s">
        <v>7006</v>
      </c>
      <c r="F489" s="14" t="s">
        <v>8369</v>
      </c>
      <c r="G489" s="14" t="s">
        <v>6927</v>
      </c>
    </row>
    <row r="490" spans="1:7" ht="30">
      <c r="A490" s="14" t="s">
        <v>6921</v>
      </c>
      <c r="B490" s="14" t="s">
        <v>8603</v>
      </c>
      <c r="C490" s="14" t="s">
        <v>8604</v>
      </c>
      <c r="D490" s="14" t="s">
        <v>8605</v>
      </c>
      <c r="E490" s="14" t="s">
        <v>6956</v>
      </c>
      <c r="F490" s="14" t="s">
        <v>6957</v>
      </c>
      <c r="G490" s="14" t="s">
        <v>6927</v>
      </c>
    </row>
    <row r="491" spans="1:7" ht="30">
      <c r="A491" s="14" t="s">
        <v>6921</v>
      </c>
      <c r="B491" s="14" t="s">
        <v>8606</v>
      </c>
      <c r="C491" s="14" t="s">
        <v>8607</v>
      </c>
      <c r="D491" s="14" t="s">
        <v>8608</v>
      </c>
      <c r="E491" s="14" t="s">
        <v>6956</v>
      </c>
      <c r="F491" s="14" t="s">
        <v>6957</v>
      </c>
      <c r="G491" s="14" t="s">
        <v>6927</v>
      </c>
    </row>
    <row r="492" spans="1:7" ht="45">
      <c r="A492" s="14" t="s">
        <v>6921</v>
      </c>
      <c r="B492" s="14" t="s">
        <v>8609</v>
      </c>
      <c r="C492" s="14" t="s">
        <v>8610</v>
      </c>
      <c r="D492" s="14" t="s">
        <v>8611</v>
      </c>
      <c r="E492" s="14" t="s">
        <v>6931</v>
      </c>
      <c r="F492" s="14" t="s">
        <v>6932</v>
      </c>
      <c r="G492" s="14" t="s">
        <v>8612</v>
      </c>
    </row>
    <row r="493" spans="1:7" ht="90">
      <c r="A493" s="14" t="s">
        <v>6921</v>
      </c>
      <c r="B493" s="14" t="s">
        <v>8613</v>
      </c>
      <c r="C493" s="14" t="s">
        <v>8614</v>
      </c>
      <c r="D493" s="14" t="s">
        <v>8615</v>
      </c>
      <c r="E493" s="14" t="s">
        <v>6931</v>
      </c>
      <c r="F493" s="14" t="s">
        <v>6932</v>
      </c>
      <c r="G493" s="14" t="s">
        <v>8616</v>
      </c>
    </row>
    <row r="494" spans="1:7" ht="60">
      <c r="A494" s="14" t="s">
        <v>6921</v>
      </c>
      <c r="B494" s="14" t="s">
        <v>8617</v>
      </c>
      <c r="C494" s="14" t="s">
        <v>8618</v>
      </c>
      <c r="D494" s="14" t="s">
        <v>8619</v>
      </c>
      <c r="E494" s="14" t="s">
        <v>6931</v>
      </c>
      <c r="F494" s="14" t="s">
        <v>6932</v>
      </c>
      <c r="G494" s="14" t="s">
        <v>8620</v>
      </c>
    </row>
    <row r="495" spans="1:7" ht="30">
      <c r="A495" s="14" t="s">
        <v>6921</v>
      </c>
      <c r="B495" s="14" t="s">
        <v>8621</v>
      </c>
      <c r="C495" s="14" t="s">
        <v>8622</v>
      </c>
      <c r="D495" s="14" t="s">
        <v>8623</v>
      </c>
      <c r="E495" s="14" t="s">
        <v>6956</v>
      </c>
      <c r="F495" s="14" t="s">
        <v>6957</v>
      </c>
      <c r="G495" s="14" t="s">
        <v>6927</v>
      </c>
    </row>
    <row r="496" spans="1:7" ht="30">
      <c r="A496" s="14" t="s">
        <v>6921</v>
      </c>
      <c r="B496" s="14" t="s">
        <v>8624</v>
      </c>
      <c r="C496" s="14" t="s">
        <v>8625</v>
      </c>
      <c r="D496" s="14" t="s">
        <v>8626</v>
      </c>
      <c r="E496" s="14" t="s">
        <v>6925</v>
      </c>
      <c r="F496" s="14" t="s">
        <v>6965</v>
      </c>
      <c r="G496" s="14" t="s">
        <v>6927</v>
      </c>
    </row>
    <row r="497" spans="1:7" ht="30">
      <c r="A497" s="14" t="s">
        <v>6921</v>
      </c>
      <c r="B497" s="14" t="s">
        <v>8627</v>
      </c>
      <c r="C497" s="14" t="s">
        <v>8628</v>
      </c>
      <c r="D497" s="14" t="s">
        <v>8629</v>
      </c>
      <c r="E497" s="14" t="s">
        <v>6925</v>
      </c>
      <c r="F497" s="14" t="s">
        <v>7204</v>
      </c>
      <c r="G497" s="14" t="s">
        <v>6927</v>
      </c>
    </row>
    <row r="498" spans="1:7" ht="30">
      <c r="A498" s="14" t="s">
        <v>6921</v>
      </c>
      <c r="B498" s="14" t="s">
        <v>8630</v>
      </c>
      <c r="C498" s="14" t="s">
        <v>8631</v>
      </c>
      <c r="D498" s="14" t="s">
        <v>8632</v>
      </c>
      <c r="E498" s="14" t="s">
        <v>6956</v>
      </c>
      <c r="F498" s="14" t="s">
        <v>6957</v>
      </c>
      <c r="G498" s="14" t="s">
        <v>6927</v>
      </c>
    </row>
    <row r="499" spans="1:7" ht="30">
      <c r="A499" s="14" t="s">
        <v>6921</v>
      </c>
      <c r="B499" s="14" t="s">
        <v>8633</v>
      </c>
      <c r="C499" s="14" t="s">
        <v>8634</v>
      </c>
      <c r="D499" s="14" t="s">
        <v>8635</v>
      </c>
      <c r="E499" s="14" t="s">
        <v>6925</v>
      </c>
      <c r="F499" s="14" t="s">
        <v>7067</v>
      </c>
      <c r="G499" s="14" t="s">
        <v>6927</v>
      </c>
    </row>
    <row r="500" spans="1:7" ht="30">
      <c r="A500" s="14" t="s">
        <v>6921</v>
      </c>
      <c r="B500" s="14" t="s">
        <v>8636</v>
      </c>
      <c r="C500" s="14" t="s">
        <v>8637</v>
      </c>
      <c r="D500" s="14" t="s">
        <v>8638</v>
      </c>
      <c r="E500" s="14" t="s">
        <v>6925</v>
      </c>
      <c r="F500" s="14" t="s">
        <v>6965</v>
      </c>
      <c r="G500" s="14" t="s">
        <v>6927</v>
      </c>
    </row>
    <row r="501" spans="1:7" ht="30">
      <c r="A501" s="14" t="s">
        <v>6921</v>
      </c>
      <c r="B501" s="14" t="s">
        <v>8639</v>
      </c>
      <c r="C501" s="14" t="s">
        <v>8628</v>
      </c>
      <c r="D501" s="14" t="s">
        <v>8640</v>
      </c>
      <c r="E501" s="14" t="s">
        <v>6925</v>
      </c>
      <c r="F501" s="14" t="s">
        <v>7204</v>
      </c>
      <c r="G501" s="14" t="s">
        <v>6927</v>
      </c>
    </row>
    <row r="502" spans="1:7" ht="30">
      <c r="A502" s="14" t="s">
        <v>6921</v>
      </c>
      <c r="B502" s="14" t="s">
        <v>8641</v>
      </c>
      <c r="C502" s="14" t="s">
        <v>8642</v>
      </c>
      <c r="D502" s="14" t="s">
        <v>8643</v>
      </c>
      <c r="E502" s="14" t="s">
        <v>6925</v>
      </c>
      <c r="F502" s="14" t="s">
        <v>7067</v>
      </c>
      <c r="G502" s="14" t="s">
        <v>6927</v>
      </c>
    </row>
    <row r="503" spans="1:7" ht="30">
      <c r="A503" s="14" t="s">
        <v>6921</v>
      </c>
      <c r="B503" s="14" t="s">
        <v>8644</v>
      </c>
      <c r="C503" s="14" t="s">
        <v>8645</v>
      </c>
      <c r="D503" s="14" t="s">
        <v>8646</v>
      </c>
      <c r="E503" s="14" t="s">
        <v>6925</v>
      </c>
      <c r="F503" s="14" t="s">
        <v>6965</v>
      </c>
      <c r="G503" s="14" t="s">
        <v>6927</v>
      </c>
    </row>
    <row r="504" spans="1:7" ht="30">
      <c r="A504" s="14" t="s">
        <v>6921</v>
      </c>
      <c r="B504" s="14" t="s">
        <v>8647</v>
      </c>
      <c r="C504" s="14" t="s">
        <v>8648</v>
      </c>
      <c r="D504" s="14" t="s">
        <v>8649</v>
      </c>
      <c r="E504" s="14" t="s">
        <v>6925</v>
      </c>
      <c r="F504" s="14" t="s">
        <v>6965</v>
      </c>
      <c r="G504" s="14" t="s">
        <v>6927</v>
      </c>
    </row>
    <row r="505" spans="1:7" ht="135">
      <c r="A505" s="14" t="s">
        <v>6921</v>
      </c>
      <c r="B505" s="14" t="s">
        <v>8650</v>
      </c>
      <c r="C505" s="14" t="s">
        <v>8651</v>
      </c>
      <c r="D505" s="14" t="s">
        <v>8652</v>
      </c>
      <c r="E505" s="14" t="s">
        <v>6931</v>
      </c>
      <c r="F505" s="14" t="s">
        <v>6932</v>
      </c>
      <c r="G505" s="14" t="s">
        <v>8653</v>
      </c>
    </row>
    <row r="506" spans="1:7" ht="60">
      <c r="A506" s="14" t="s">
        <v>6921</v>
      </c>
      <c r="B506" s="14" t="s">
        <v>8654</v>
      </c>
      <c r="C506" s="14" t="s">
        <v>8655</v>
      </c>
      <c r="D506" s="14" t="s">
        <v>8656</v>
      </c>
      <c r="E506" s="14" t="s">
        <v>7006</v>
      </c>
      <c r="F506" s="14" t="s">
        <v>7365</v>
      </c>
      <c r="G506" s="14" t="s">
        <v>6927</v>
      </c>
    </row>
    <row r="507" spans="1:7" ht="45">
      <c r="A507" s="14" t="s">
        <v>6921</v>
      </c>
      <c r="B507" s="14" t="s">
        <v>8657</v>
      </c>
      <c r="C507" s="14" t="s">
        <v>8658</v>
      </c>
      <c r="D507" s="14" t="s">
        <v>8659</v>
      </c>
      <c r="E507" s="14" t="s">
        <v>6956</v>
      </c>
      <c r="F507" s="14" t="s">
        <v>6957</v>
      </c>
      <c r="G507" s="14" t="s">
        <v>6927</v>
      </c>
    </row>
    <row r="508" spans="1:7" ht="45">
      <c r="A508" s="14" t="s">
        <v>6921</v>
      </c>
      <c r="B508" s="14" t="s">
        <v>8660</v>
      </c>
      <c r="C508" s="14" t="s">
        <v>8661</v>
      </c>
      <c r="D508" s="14" t="s">
        <v>8662</v>
      </c>
      <c r="E508" s="14" t="s">
        <v>6925</v>
      </c>
      <c r="F508" s="14" t="s">
        <v>6969</v>
      </c>
      <c r="G508" s="14" t="s">
        <v>6927</v>
      </c>
    </row>
    <row r="509" spans="1:7" ht="60">
      <c r="A509" s="14" t="s">
        <v>6921</v>
      </c>
      <c r="B509" s="14" t="s">
        <v>8663</v>
      </c>
      <c r="C509" s="14" t="s">
        <v>8664</v>
      </c>
      <c r="D509" s="14" t="s">
        <v>8665</v>
      </c>
      <c r="E509" s="14" t="s">
        <v>6925</v>
      </c>
      <c r="F509" s="14" t="s">
        <v>6926</v>
      </c>
      <c r="G509" s="14" t="s">
        <v>6927</v>
      </c>
    </row>
    <row r="510" spans="1:7" ht="45">
      <c r="A510" s="14" t="s">
        <v>6921</v>
      </c>
      <c r="B510" s="14" t="s">
        <v>8666</v>
      </c>
      <c r="C510" s="14" t="s">
        <v>8667</v>
      </c>
      <c r="D510" s="14" t="s">
        <v>8668</v>
      </c>
      <c r="E510" s="14" t="s">
        <v>6956</v>
      </c>
      <c r="F510" s="14" t="s">
        <v>6957</v>
      </c>
      <c r="G510" s="14" t="s">
        <v>6927</v>
      </c>
    </row>
    <row r="511" spans="1:7" ht="150">
      <c r="A511" s="14" t="s">
        <v>6921</v>
      </c>
      <c r="B511" s="14" t="s">
        <v>8669</v>
      </c>
      <c r="C511" s="14" t="s">
        <v>8670</v>
      </c>
      <c r="D511" s="14" t="s">
        <v>8671</v>
      </c>
      <c r="E511" s="14" t="s">
        <v>6931</v>
      </c>
      <c r="F511" s="14" t="s">
        <v>6932</v>
      </c>
      <c r="G511" s="14" t="s">
        <v>8672</v>
      </c>
    </row>
    <row r="512" spans="1:7" ht="135">
      <c r="A512" s="14" t="s">
        <v>6921</v>
      </c>
      <c r="B512" s="14" t="s">
        <v>8673</v>
      </c>
      <c r="C512" s="14" t="s">
        <v>8674</v>
      </c>
      <c r="D512" s="14" t="s">
        <v>8675</v>
      </c>
      <c r="E512" s="14" t="s">
        <v>6931</v>
      </c>
      <c r="F512" s="14" t="s">
        <v>6932</v>
      </c>
      <c r="G512" s="14" t="s">
        <v>8676</v>
      </c>
    </row>
    <row r="513" spans="1:7" ht="195">
      <c r="A513" s="14" t="s">
        <v>6921</v>
      </c>
      <c r="B513" s="14" t="s">
        <v>8677</v>
      </c>
      <c r="C513" s="14" t="s">
        <v>8678</v>
      </c>
      <c r="D513" s="14" t="s">
        <v>8679</v>
      </c>
      <c r="E513" s="14" t="s">
        <v>6931</v>
      </c>
      <c r="F513" s="14" t="s">
        <v>6932</v>
      </c>
      <c r="G513" s="14" t="s">
        <v>8680</v>
      </c>
    </row>
    <row r="514" spans="1:7" ht="30">
      <c r="A514" s="14" t="s">
        <v>6921</v>
      </c>
      <c r="B514" s="14" t="s">
        <v>8681</v>
      </c>
      <c r="C514" s="14" t="s">
        <v>8682</v>
      </c>
      <c r="D514" s="14" t="s">
        <v>8683</v>
      </c>
      <c r="E514" s="14" t="s">
        <v>6925</v>
      </c>
      <c r="F514" s="14" t="s">
        <v>6926</v>
      </c>
      <c r="G514" s="14" t="s">
        <v>6927</v>
      </c>
    </row>
    <row r="515" spans="1:7" ht="90">
      <c r="A515" s="14" t="s">
        <v>6921</v>
      </c>
      <c r="B515" s="14" t="s">
        <v>8684</v>
      </c>
      <c r="C515" s="14" t="s">
        <v>8685</v>
      </c>
      <c r="D515" s="14" t="s">
        <v>8686</v>
      </c>
      <c r="E515" s="14" t="s">
        <v>6931</v>
      </c>
      <c r="F515" s="14" t="s">
        <v>6932</v>
      </c>
      <c r="G515" s="14" t="s">
        <v>8687</v>
      </c>
    </row>
    <row r="516" spans="1:7" ht="75">
      <c r="A516" s="14" t="s">
        <v>6921</v>
      </c>
      <c r="B516" s="14" t="s">
        <v>8688</v>
      </c>
      <c r="C516" s="14" t="s">
        <v>8689</v>
      </c>
      <c r="D516" s="14" t="s">
        <v>8690</v>
      </c>
      <c r="E516" s="14" t="s">
        <v>6956</v>
      </c>
      <c r="F516" s="14" t="s">
        <v>6957</v>
      </c>
      <c r="G516" s="14" t="s">
        <v>6927</v>
      </c>
    </row>
    <row r="517" spans="1:7" ht="45">
      <c r="A517" s="14" t="s">
        <v>6921</v>
      </c>
      <c r="B517" s="14" t="s">
        <v>8691</v>
      </c>
      <c r="C517" s="14" t="s">
        <v>8692</v>
      </c>
      <c r="D517" s="14" t="s">
        <v>8693</v>
      </c>
      <c r="E517" s="14" t="s">
        <v>6985</v>
      </c>
      <c r="F517" s="14" t="s">
        <v>7135</v>
      </c>
      <c r="G517" s="14" t="s">
        <v>6927</v>
      </c>
    </row>
    <row r="518" spans="1:7" ht="60">
      <c r="A518" s="14" t="s">
        <v>6921</v>
      </c>
      <c r="B518" s="14" t="s">
        <v>8694</v>
      </c>
      <c r="C518" s="14" t="s">
        <v>8695</v>
      </c>
      <c r="D518" s="14" t="s">
        <v>8696</v>
      </c>
      <c r="E518" s="14" t="s">
        <v>6931</v>
      </c>
      <c r="F518" s="14" t="s">
        <v>6932</v>
      </c>
      <c r="G518" s="14" t="s">
        <v>8697</v>
      </c>
    </row>
    <row r="519" spans="1:7" ht="60">
      <c r="A519" s="14" t="s">
        <v>6921</v>
      </c>
      <c r="B519" s="14" t="s">
        <v>8698</v>
      </c>
      <c r="C519" s="14" t="s">
        <v>8699</v>
      </c>
      <c r="D519" s="14" t="s">
        <v>8700</v>
      </c>
      <c r="E519" s="14" t="s">
        <v>6931</v>
      </c>
      <c r="F519" s="14" t="s">
        <v>6932</v>
      </c>
      <c r="G519" s="14" t="s">
        <v>8701</v>
      </c>
    </row>
    <row r="520" spans="1:7" ht="30">
      <c r="A520" s="14" t="s">
        <v>6921</v>
      </c>
      <c r="B520" s="14" t="s">
        <v>8702</v>
      </c>
      <c r="C520" s="14" t="s">
        <v>8703</v>
      </c>
      <c r="D520" s="14" t="s">
        <v>8704</v>
      </c>
      <c r="E520" s="14" t="s">
        <v>6956</v>
      </c>
      <c r="F520" s="14" t="s">
        <v>6957</v>
      </c>
      <c r="G520" s="14" t="s">
        <v>6927</v>
      </c>
    </row>
    <row r="521" spans="1:7" ht="30">
      <c r="A521" s="14" t="s">
        <v>6921</v>
      </c>
      <c r="B521" s="14" t="s">
        <v>8705</v>
      </c>
      <c r="C521" s="14" t="s">
        <v>8706</v>
      </c>
      <c r="D521" s="14" t="s">
        <v>8707</v>
      </c>
      <c r="E521" s="14" t="s">
        <v>6956</v>
      </c>
      <c r="F521" s="14" t="s">
        <v>6957</v>
      </c>
      <c r="G521" s="14" t="s">
        <v>6927</v>
      </c>
    </row>
    <row r="522" spans="1:7" ht="30">
      <c r="A522" s="14" t="s">
        <v>6921</v>
      </c>
      <c r="B522" s="14" t="s">
        <v>8708</v>
      </c>
      <c r="C522" s="14" t="s">
        <v>8709</v>
      </c>
      <c r="D522" s="14" t="s">
        <v>8710</v>
      </c>
      <c r="E522" s="14" t="s">
        <v>6925</v>
      </c>
      <c r="F522" s="14" t="s">
        <v>7067</v>
      </c>
      <c r="G522" s="14" t="s">
        <v>6927</v>
      </c>
    </row>
    <row r="523" spans="1:7" ht="45">
      <c r="A523" s="14" t="s">
        <v>6921</v>
      </c>
      <c r="B523" s="14" t="s">
        <v>8711</v>
      </c>
      <c r="C523" s="14" t="s">
        <v>8712</v>
      </c>
      <c r="D523" s="14" t="s">
        <v>8713</v>
      </c>
      <c r="E523" s="14" t="s">
        <v>7006</v>
      </c>
      <c r="F523" s="14" t="s">
        <v>8369</v>
      </c>
      <c r="G523" s="14" t="s">
        <v>6927</v>
      </c>
    </row>
    <row r="524" spans="1:7" ht="30">
      <c r="A524" s="14" t="s">
        <v>6921</v>
      </c>
      <c r="B524" s="14" t="s">
        <v>8714</v>
      </c>
      <c r="C524" s="14" t="s">
        <v>8715</v>
      </c>
      <c r="D524" s="14" t="s">
        <v>8716</v>
      </c>
      <c r="E524" s="14" t="s">
        <v>6985</v>
      </c>
      <c r="F524" s="14" t="s">
        <v>6932</v>
      </c>
      <c r="G524" s="14" t="s">
        <v>6927</v>
      </c>
    </row>
    <row r="525" spans="1:7" ht="45">
      <c r="A525" s="14" t="s">
        <v>6921</v>
      </c>
      <c r="B525" s="14" t="s">
        <v>8717</v>
      </c>
      <c r="C525" s="14" t="s">
        <v>8718</v>
      </c>
      <c r="D525" s="14" t="s">
        <v>8719</v>
      </c>
      <c r="E525" s="14" t="s">
        <v>6956</v>
      </c>
      <c r="F525" s="14" t="s">
        <v>6957</v>
      </c>
      <c r="G525" s="14" t="s">
        <v>7995</v>
      </c>
    </row>
    <row r="526" spans="1:7" ht="195">
      <c r="A526" s="14" t="s">
        <v>6921</v>
      </c>
      <c r="B526" s="14" t="s">
        <v>8720</v>
      </c>
      <c r="C526" s="14" t="s">
        <v>8721</v>
      </c>
      <c r="D526" s="14" t="s">
        <v>8722</v>
      </c>
      <c r="E526" s="14" t="s">
        <v>6931</v>
      </c>
      <c r="F526" s="14" t="s">
        <v>6932</v>
      </c>
      <c r="G526" s="14" t="s">
        <v>8723</v>
      </c>
    </row>
    <row r="527" spans="1:7" ht="90">
      <c r="A527" s="14" t="s">
        <v>6921</v>
      </c>
      <c r="B527" s="14" t="s">
        <v>8724</v>
      </c>
      <c r="C527" s="14" t="s">
        <v>8725</v>
      </c>
      <c r="D527" s="14" t="s">
        <v>8726</v>
      </c>
      <c r="E527" s="14" t="s">
        <v>6931</v>
      </c>
      <c r="F527" s="14" t="s">
        <v>6932</v>
      </c>
      <c r="G527" s="14" t="s">
        <v>8727</v>
      </c>
    </row>
    <row r="528" spans="1:7" ht="75">
      <c r="A528" s="14" t="s">
        <v>6921</v>
      </c>
      <c r="B528" s="14" t="s">
        <v>8728</v>
      </c>
      <c r="C528" s="14" t="s">
        <v>8729</v>
      </c>
      <c r="D528" s="14" t="s">
        <v>8730</v>
      </c>
      <c r="E528" s="14" t="s">
        <v>6931</v>
      </c>
      <c r="F528" s="14" t="s">
        <v>6932</v>
      </c>
      <c r="G528" s="14" t="s">
        <v>8731</v>
      </c>
    </row>
    <row r="529" spans="1:7" ht="30">
      <c r="A529" s="14" t="s">
        <v>6921</v>
      </c>
      <c r="B529" s="14" t="s">
        <v>8732</v>
      </c>
      <c r="C529" s="14" t="s">
        <v>8733</v>
      </c>
      <c r="D529" s="14" t="s">
        <v>8734</v>
      </c>
      <c r="E529" s="14" t="s">
        <v>6956</v>
      </c>
      <c r="F529" s="14" t="s">
        <v>6957</v>
      </c>
      <c r="G529" s="14" t="s">
        <v>6927</v>
      </c>
    </row>
    <row r="530" spans="1:7" ht="135">
      <c r="A530" s="14" t="s">
        <v>6921</v>
      </c>
      <c r="B530" s="14" t="s">
        <v>8735</v>
      </c>
      <c r="C530" s="14" t="s">
        <v>8736</v>
      </c>
      <c r="D530" s="14" t="s">
        <v>8737</v>
      </c>
      <c r="E530" s="14" t="s">
        <v>6925</v>
      </c>
      <c r="F530" s="14" t="s">
        <v>6969</v>
      </c>
      <c r="G530" s="14" t="s">
        <v>6927</v>
      </c>
    </row>
    <row r="531" spans="1:7" ht="150">
      <c r="A531" s="14" t="s">
        <v>6921</v>
      </c>
      <c r="B531" s="14" t="s">
        <v>8738</v>
      </c>
      <c r="C531" s="14" t="s">
        <v>8739</v>
      </c>
      <c r="D531" s="14" t="s">
        <v>8740</v>
      </c>
      <c r="E531" s="14" t="s">
        <v>6931</v>
      </c>
      <c r="F531" s="14" t="s">
        <v>6932</v>
      </c>
      <c r="G531" s="14" t="s">
        <v>8741</v>
      </c>
    </row>
    <row r="532" spans="1:7" ht="90">
      <c r="A532" s="14" t="s">
        <v>6921</v>
      </c>
      <c r="B532" s="14" t="s">
        <v>8742</v>
      </c>
      <c r="C532" s="14" t="s">
        <v>8743</v>
      </c>
      <c r="D532" s="14" t="s">
        <v>8744</v>
      </c>
      <c r="E532" s="14" t="s">
        <v>6925</v>
      </c>
      <c r="F532" s="14" t="s">
        <v>8745</v>
      </c>
      <c r="G532" s="14" t="s">
        <v>6927</v>
      </c>
    </row>
    <row r="533" spans="1:7" ht="60">
      <c r="A533" s="14" t="s">
        <v>6921</v>
      </c>
      <c r="B533" s="14" t="s">
        <v>8746</v>
      </c>
      <c r="C533" s="14" t="s">
        <v>8747</v>
      </c>
      <c r="D533" s="14" t="s">
        <v>8748</v>
      </c>
      <c r="E533" s="14" t="s">
        <v>6925</v>
      </c>
      <c r="F533" s="14" t="s">
        <v>6926</v>
      </c>
      <c r="G533" s="14" t="s">
        <v>6927</v>
      </c>
    </row>
    <row r="534" spans="1:7" ht="45">
      <c r="A534" s="14" t="s">
        <v>6921</v>
      </c>
      <c r="B534" s="14" t="s">
        <v>8749</v>
      </c>
      <c r="C534" s="14" t="s">
        <v>8750</v>
      </c>
      <c r="D534" s="14" t="s">
        <v>8751</v>
      </c>
      <c r="E534" s="14" t="s">
        <v>6925</v>
      </c>
      <c r="F534" s="14" t="s">
        <v>6965</v>
      </c>
      <c r="G534" s="14" t="s">
        <v>6927</v>
      </c>
    </row>
    <row r="535" spans="1:7" ht="60">
      <c r="A535" s="14" t="s">
        <v>6921</v>
      </c>
      <c r="B535" s="14" t="s">
        <v>8752</v>
      </c>
      <c r="C535" s="14" t="s">
        <v>8753</v>
      </c>
      <c r="D535" s="14" t="s">
        <v>8754</v>
      </c>
      <c r="E535" s="14" t="s">
        <v>6925</v>
      </c>
      <c r="F535" s="14" t="s">
        <v>6969</v>
      </c>
      <c r="G535" s="14" t="s">
        <v>6927</v>
      </c>
    </row>
    <row r="536" spans="1:7" ht="30">
      <c r="A536" s="14" t="s">
        <v>6921</v>
      </c>
      <c r="B536" s="14" t="s">
        <v>8755</v>
      </c>
      <c r="C536" s="14" t="s">
        <v>8756</v>
      </c>
      <c r="D536" s="14" t="s">
        <v>8757</v>
      </c>
      <c r="E536" s="14" t="s">
        <v>6956</v>
      </c>
      <c r="F536" s="14" t="s">
        <v>6957</v>
      </c>
      <c r="G536" s="14" t="s">
        <v>6927</v>
      </c>
    </row>
    <row r="537" spans="1:7" ht="30">
      <c r="A537" s="14" t="s">
        <v>6921</v>
      </c>
      <c r="B537" s="14" t="s">
        <v>8758</v>
      </c>
      <c r="C537" s="14" t="s">
        <v>8759</v>
      </c>
      <c r="D537" s="14" t="s">
        <v>8760</v>
      </c>
      <c r="E537" s="14" t="s">
        <v>6925</v>
      </c>
      <c r="F537" s="14" t="s">
        <v>6965</v>
      </c>
      <c r="G537" s="14" t="s">
        <v>6927</v>
      </c>
    </row>
    <row r="538" spans="1:7" ht="90">
      <c r="A538" s="14" t="s">
        <v>6921</v>
      </c>
      <c r="B538" s="14" t="s">
        <v>8761</v>
      </c>
      <c r="C538" s="14" t="s">
        <v>8762</v>
      </c>
      <c r="D538" s="14" t="s">
        <v>8763</v>
      </c>
      <c r="E538" s="14" t="s">
        <v>6931</v>
      </c>
      <c r="F538" s="14" t="s">
        <v>6932</v>
      </c>
      <c r="G538" s="14" t="s">
        <v>8764</v>
      </c>
    </row>
    <row r="539" spans="1:7" ht="409.5">
      <c r="A539" s="14" t="s">
        <v>6921</v>
      </c>
      <c r="B539" s="14" t="s">
        <v>8765</v>
      </c>
      <c r="C539" s="14" t="s">
        <v>8766</v>
      </c>
      <c r="D539" s="14" t="s">
        <v>8767</v>
      </c>
      <c r="E539" s="14" t="s">
        <v>6931</v>
      </c>
      <c r="F539" s="14" t="s">
        <v>6932</v>
      </c>
      <c r="G539" s="14" t="s">
        <v>8768</v>
      </c>
    </row>
    <row r="540" spans="1:7" ht="45">
      <c r="A540" s="14" t="s">
        <v>6921</v>
      </c>
      <c r="B540" s="14" t="s">
        <v>8769</v>
      </c>
      <c r="C540" s="14" t="s">
        <v>8770</v>
      </c>
      <c r="D540" s="14" t="s">
        <v>8771</v>
      </c>
      <c r="E540" s="14" t="s">
        <v>6925</v>
      </c>
      <c r="F540" s="14" t="s">
        <v>8772</v>
      </c>
      <c r="G540" s="14" t="s">
        <v>6927</v>
      </c>
    </row>
    <row r="541" spans="1:7" ht="120">
      <c r="A541" s="14" t="s">
        <v>6921</v>
      </c>
      <c r="B541" s="14" t="s">
        <v>8773</v>
      </c>
      <c r="C541" s="14" t="s">
        <v>8774</v>
      </c>
      <c r="D541" s="14" t="s">
        <v>8775</v>
      </c>
      <c r="E541" s="14" t="s">
        <v>6931</v>
      </c>
      <c r="F541" s="14" t="s">
        <v>6932</v>
      </c>
      <c r="G541" s="14" t="s">
        <v>8776</v>
      </c>
    </row>
    <row r="542" spans="1:7" ht="90">
      <c r="A542" s="14" t="s">
        <v>6921</v>
      </c>
      <c r="B542" s="14" t="s">
        <v>8777</v>
      </c>
      <c r="C542" s="14" t="s">
        <v>8778</v>
      </c>
      <c r="D542" s="14" t="s">
        <v>8779</v>
      </c>
      <c r="E542" s="14" t="s">
        <v>6931</v>
      </c>
      <c r="F542" s="14" t="s">
        <v>6932</v>
      </c>
      <c r="G542" s="14" t="s">
        <v>8780</v>
      </c>
    </row>
    <row r="543" spans="1:7" ht="75">
      <c r="A543" s="14" t="s">
        <v>6921</v>
      </c>
      <c r="B543" s="14" t="s">
        <v>8781</v>
      </c>
      <c r="C543" s="14" t="s">
        <v>8782</v>
      </c>
      <c r="D543" s="14" t="s">
        <v>8783</v>
      </c>
      <c r="E543" s="14" t="s">
        <v>6931</v>
      </c>
      <c r="F543" s="14" t="s">
        <v>6932</v>
      </c>
      <c r="G543" s="14" t="s">
        <v>6952</v>
      </c>
    </row>
    <row r="544" spans="1:7" ht="45">
      <c r="A544" s="14" t="s">
        <v>6921</v>
      </c>
      <c r="B544" s="14" t="s">
        <v>8784</v>
      </c>
      <c r="C544" s="14" t="s">
        <v>8785</v>
      </c>
      <c r="D544" s="14" t="s">
        <v>8786</v>
      </c>
      <c r="E544" s="14" t="s">
        <v>6925</v>
      </c>
      <c r="F544" s="14" t="s">
        <v>7125</v>
      </c>
      <c r="G544" s="14" t="s">
        <v>6927</v>
      </c>
    </row>
    <row r="545" spans="1:7" ht="45">
      <c r="A545" s="14" t="s">
        <v>6921</v>
      </c>
      <c r="B545" s="14" t="s">
        <v>8787</v>
      </c>
      <c r="C545" s="14" t="s">
        <v>8788</v>
      </c>
      <c r="D545" s="14" t="s">
        <v>8789</v>
      </c>
      <c r="E545" s="14" t="s">
        <v>6925</v>
      </c>
      <c r="F545" s="14" t="s">
        <v>7125</v>
      </c>
      <c r="G545" s="14" t="s">
        <v>6927</v>
      </c>
    </row>
    <row r="546" spans="1:7" ht="45">
      <c r="A546" s="14" t="s">
        <v>6921</v>
      </c>
      <c r="B546" s="14" t="s">
        <v>8790</v>
      </c>
      <c r="C546" s="14" t="s">
        <v>8791</v>
      </c>
      <c r="D546" s="14" t="s">
        <v>8792</v>
      </c>
      <c r="E546" s="14" t="s">
        <v>6931</v>
      </c>
      <c r="F546" s="14" t="s">
        <v>6932</v>
      </c>
      <c r="G546" s="14" t="s">
        <v>8793</v>
      </c>
    </row>
    <row r="547" spans="1:7" ht="180">
      <c r="A547" s="14" t="s">
        <v>6921</v>
      </c>
      <c r="B547" s="14" t="s">
        <v>8794</v>
      </c>
      <c r="C547" s="14" t="s">
        <v>8795</v>
      </c>
      <c r="D547" s="14" t="s">
        <v>8796</v>
      </c>
      <c r="E547" s="14" t="s">
        <v>6956</v>
      </c>
      <c r="F547" s="14" t="s">
        <v>6957</v>
      </c>
      <c r="G547" s="14" t="s">
        <v>6927</v>
      </c>
    </row>
    <row r="548" spans="1:7" ht="195">
      <c r="A548" s="14" t="s">
        <v>6921</v>
      </c>
      <c r="B548" s="14" t="s">
        <v>8797</v>
      </c>
      <c r="C548" s="14" t="s">
        <v>8798</v>
      </c>
      <c r="D548" s="14" t="s">
        <v>8799</v>
      </c>
      <c r="E548" s="14" t="s">
        <v>6956</v>
      </c>
      <c r="F548" s="14" t="s">
        <v>6957</v>
      </c>
      <c r="G548" s="14" t="s">
        <v>6927</v>
      </c>
    </row>
    <row r="549" spans="1:7" ht="45">
      <c r="A549" s="14" t="s">
        <v>6921</v>
      </c>
      <c r="B549" s="14" t="s">
        <v>8800</v>
      </c>
      <c r="C549" s="14" t="s">
        <v>8801</v>
      </c>
      <c r="D549" s="14" t="s">
        <v>8802</v>
      </c>
      <c r="E549" s="14" t="s">
        <v>7006</v>
      </c>
      <c r="F549" s="14" t="s">
        <v>7365</v>
      </c>
      <c r="G549" s="14" t="s">
        <v>6927</v>
      </c>
    </row>
    <row r="550" spans="1:7" ht="180">
      <c r="A550" s="14" t="s">
        <v>6921</v>
      </c>
      <c r="B550" s="14" t="s">
        <v>8803</v>
      </c>
      <c r="C550" s="14" t="s">
        <v>8804</v>
      </c>
      <c r="D550" s="14" t="s">
        <v>8805</v>
      </c>
      <c r="E550" s="14" t="s">
        <v>6931</v>
      </c>
      <c r="F550" s="14" t="s">
        <v>6932</v>
      </c>
      <c r="G550" s="14" t="s">
        <v>8806</v>
      </c>
    </row>
    <row r="551" spans="1:7" ht="60">
      <c r="A551" s="14" t="s">
        <v>6921</v>
      </c>
      <c r="B551" s="14" t="s">
        <v>8807</v>
      </c>
      <c r="C551" s="14" t="s">
        <v>8808</v>
      </c>
      <c r="D551" s="14" t="s">
        <v>8809</v>
      </c>
      <c r="E551" s="14" t="s">
        <v>6931</v>
      </c>
      <c r="F551" s="14" t="s">
        <v>6932</v>
      </c>
      <c r="G551" s="14" t="s">
        <v>8810</v>
      </c>
    </row>
    <row r="552" spans="1:7" ht="45">
      <c r="A552" s="14" t="s">
        <v>6921</v>
      </c>
      <c r="B552" s="14" t="s">
        <v>8811</v>
      </c>
      <c r="C552" s="14" t="s">
        <v>8812</v>
      </c>
      <c r="D552" s="14" t="s">
        <v>8813</v>
      </c>
      <c r="E552" s="14" t="s">
        <v>6925</v>
      </c>
      <c r="F552" s="14" t="s">
        <v>7098</v>
      </c>
      <c r="G552" s="14" t="s">
        <v>6927</v>
      </c>
    </row>
    <row r="553" spans="1:7" ht="30">
      <c r="A553" s="14" t="s">
        <v>6921</v>
      </c>
      <c r="B553" s="14" t="s">
        <v>8814</v>
      </c>
      <c r="C553" s="14" t="s">
        <v>8815</v>
      </c>
      <c r="D553" s="14" t="s">
        <v>8816</v>
      </c>
      <c r="E553" s="14" t="s">
        <v>6925</v>
      </c>
      <c r="F553" s="14" t="s">
        <v>7125</v>
      </c>
      <c r="G553" s="14" t="s">
        <v>6927</v>
      </c>
    </row>
    <row r="554" spans="1:7" ht="45">
      <c r="A554" s="14" t="s">
        <v>6921</v>
      </c>
      <c r="B554" s="14" t="s">
        <v>8817</v>
      </c>
      <c r="C554" s="14" t="s">
        <v>8818</v>
      </c>
      <c r="D554" s="14" t="s">
        <v>8819</v>
      </c>
      <c r="E554" s="14" t="s">
        <v>6925</v>
      </c>
      <c r="F554" s="14" t="s">
        <v>6926</v>
      </c>
      <c r="G554" s="14" t="s">
        <v>6927</v>
      </c>
    </row>
    <row r="555" spans="1:7" ht="105">
      <c r="A555" s="14" t="s">
        <v>6921</v>
      </c>
      <c r="B555" s="14" t="s">
        <v>8820</v>
      </c>
      <c r="C555" s="14" t="s">
        <v>8821</v>
      </c>
      <c r="D555" s="14" t="s">
        <v>8822</v>
      </c>
      <c r="E555" s="14" t="s">
        <v>6931</v>
      </c>
      <c r="F555" s="14" t="s">
        <v>6932</v>
      </c>
      <c r="G555" s="14" t="s">
        <v>8823</v>
      </c>
    </row>
    <row r="556" spans="1:7" ht="60">
      <c r="A556" s="14" t="s">
        <v>6921</v>
      </c>
      <c r="B556" s="14" t="s">
        <v>8824</v>
      </c>
      <c r="C556" s="14" t="s">
        <v>8825</v>
      </c>
      <c r="D556" s="14" t="s">
        <v>8826</v>
      </c>
      <c r="E556" s="14" t="s">
        <v>6925</v>
      </c>
      <c r="F556" s="14" t="s">
        <v>6926</v>
      </c>
      <c r="G556" s="14" t="s">
        <v>6927</v>
      </c>
    </row>
    <row r="557" spans="1:7" ht="45">
      <c r="A557" s="14" t="s">
        <v>6921</v>
      </c>
      <c r="B557" s="14" t="s">
        <v>8827</v>
      </c>
      <c r="C557" s="14" t="s">
        <v>8828</v>
      </c>
      <c r="D557" s="14" t="s">
        <v>8829</v>
      </c>
      <c r="E557" s="14" t="s">
        <v>6925</v>
      </c>
      <c r="F557" s="14" t="s">
        <v>6926</v>
      </c>
      <c r="G557" s="14" t="s">
        <v>6927</v>
      </c>
    </row>
    <row r="558" spans="1:7" ht="60">
      <c r="A558" s="14" t="s">
        <v>6921</v>
      </c>
      <c r="B558" s="14" t="s">
        <v>8830</v>
      </c>
      <c r="C558" s="14" t="s">
        <v>8831</v>
      </c>
      <c r="D558" s="14" t="s">
        <v>8832</v>
      </c>
      <c r="E558" s="14" t="s">
        <v>6985</v>
      </c>
      <c r="F558" s="14" t="s">
        <v>6932</v>
      </c>
      <c r="G558" s="14" t="s">
        <v>6927</v>
      </c>
    </row>
    <row r="559" spans="1:7" ht="60">
      <c r="A559" s="14" t="s">
        <v>6921</v>
      </c>
      <c r="B559" s="14" t="s">
        <v>8833</v>
      </c>
      <c r="C559" s="14" t="s">
        <v>8834</v>
      </c>
      <c r="D559" s="14" t="s">
        <v>8835</v>
      </c>
      <c r="E559" s="14" t="s">
        <v>6985</v>
      </c>
      <c r="F559" s="14" t="s">
        <v>7828</v>
      </c>
      <c r="G559" s="14" t="s">
        <v>6927</v>
      </c>
    </row>
    <row r="560" spans="1:7" ht="105">
      <c r="A560" s="14" t="s">
        <v>6921</v>
      </c>
      <c r="B560" s="14" t="s">
        <v>8836</v>
      </c>
      <c r="C560" s="14" t="s">
        <v>8837</v>
      </c>
      <c r="D560" s="14" t="s">
        <v>8838</v>
      </c>
      <c r="E560" s="14" t="s">
        <v>6931</v>
      </c>
      <c r="F560" s="14" t="s">
        <v>6932</v>
      </c>
      <c r="G560" s="14" t="s">
        <v>8839</v>
      </c>
    </row>
    <row r="561" spans="1:7" ht="60">
      <c r="A561" s="14" t="s">
        <v>6921</v>
      </c>
      <c r="B561" s="14" t="s">
        <v>8840</v>
      </c>
      <c r="C561" s="14" t="s">
        <v>8841</v>
      </c>
      <c r="D561" s="14" t="s">
        <v>8842</v>
      </c>
      <c r="E561" s="14" t="s">
        <v>6956</v>
      </c>
      <c r="F561" s="14" t="s">
        <v>6957</v>
      </c>
      <c r="G561" s="14" t="s">
        <v>6927</v>
      </c>
    </row>
    <row r="562" spans="1:7" ht="60">
      <c r="A562" s="14" t="s">
        <v>6921</v>
      </c>
      <c r="B562" s="14" t="s">
        <v>8843</v>
      </c>
      <c r="C562" s="14" t="s">
        <v>8844</v>
      </c>
      <c r="D562" s="14" t="s">
        <v>8845</v>
      </c>
      <c r="E562" s="14" t="s">
        <v>6925</v>
      </c>
      <c r="F562" s="14" t="s">
        <v>7924</v>
      </c>
      <c r="G562" s="14" t="s">
        <v>6927</v>
      </c>
    </row>
    <row r="563" spans="1:7" ht="60">
      <c r="A563" s="14" t="s">
        <v>6921</v>
      </c>
      <c r="B563" s="14" t="s">
        <v>8846</v>
      </c>
      <c r="C563" s="14" t="s">
        <v>8847</v>
      </c>
      <c r="D563" s="14" t="s">
        <v>8848</v>
      </c>
      <c r="E563" s="14" t="s">
        <v>6931</v>
      </c>
      <c r="F563" s="14" t="s">
        <v>6932</v>
      </c>
      <c r="G563" s="14" t="s">
        <v>6952</v>
      </c>
    </row>
    <row r="564" spans="1:7" ht="60">
      <c r="A564" s="14" t="s">
        <v>6921</v>
      </c>
      <c r="B564" s="14" t="s">
        <v>8849</v>
      </c>
      <c r="C564" s="14" t="s">
        <v>8850</v>
      </c>
      <c r="D564" s="14" t="s">
        <v>8851</v>
      </c>
      <c r="E564" s="14" t="s">
        <v>6956</v>
      </c>
      <c r="F564" s="14" t="s">
        <v>6957</v>
      </c>
      <c r="G564" s="14" t="s">
        <v>6927</v>
      </c>
    </row>
    <row r="565" spans="1:7" ht="60">
      <c r="A565" s="14" t="s">
        <v>6921</v>
      </c>
      <c r="B565" s="14" t="s">
        <v>8852</v>
      </c>
      <c r="C565" s="14" t="s">
        <v>8853</v>
      </c>
      <c r="D565" s="14" t="s">
        <v>8854</v>
      </c>
      <c r="E565" s="14" t="s">
        <v>6925</v>
      </c>
      <c r="F565" s="14" t="s">
        <v>6926</v>
      </c>
      <c r="G565" s="14" t="s">
        <v>6927</v>
      </c>
    </row>
    <row r="566" spans="1:7" ht="105">
      <c r="A566" s="14" t="s">
        <v>6921</v>
      </c>
      <c r="B566" s="14" t="s">
        <v>8855</v>
      </c>
      <c r="C566" s="14" t="s">
        <v>8856</v>
      </c>
      <c r="D566" s="14" t="s">
        <v>8857</v>
      </c>
      <c r="E566" s="14" t="s">
        <v>6931</v>
      </c>
      <c r="F566" s="14" t="s">
        <v>6932</v>
      </c>
      <c r="G566" s="14" t="s">
        <v>8858</v>
      </c>
    </row>
    <row r="567" spans="1:7" ht="409.5">
      <c r="A567" s="14" t="s">
        <v>6921</v>
      </c>
      <c r="B567" s="14" t="s">
        <v>8859</v>
      </c>
      <c r="C567" s="14" t="s">
        <v>8860</v>
      </c>
      <c r="D567" s="14" t="s">
        <v>8861</v>
      </c>
      <c r="E567" s="14" t="s">
        <v>6931</v>
      </c>
      <c r="F567" s="14" t="s">
        <v>6932</v>
      </c>
      <c r="G567" s="14" t="s">
        <v>8862</v>
      </c>
    </row>
    <row r="568" spans="1:7" ht="195">
      <c r="A568" s="14" t="s">
        <v>6921</v>
      </c>
      <c r="B568" s="14" t="s">
        <v>8863</v>
      </c>
      <c r="C568" s="14" t="s">
        <v>8864</v>
      </c>
      <c r="D568" s="14" t="s">
        <v>8865</v>
      </c>
      <c r="E568" s="14" t="s">
        <v>6931</v>
      </c>
      <c r="F568" s="14" t="s">
        <v>6932</v>
      </c>
      <c r="G568" s="14" t="s">
        <v>8866</v>
      </c>
    </row>
    <row r="569" spans="1:7" ht="409.5">
      <c r="A569" s="14" t="s">
        <v>6921</v>
      </c>
      <c r="B569" s="14" t="s">
        <v>8867</v>
      </c>
      <c r="C569" s="14" t="s">
        <v>8868</v>
      </c>
      <c r="D569" s="14" t="s">
        <v>8869</v>
      </c>
      <c r="E569" s="14" t="s">
        <v>6925</v>
      </c>
      <c r="F569" s="14" t="s">
        <v>6926</v>
      </c>
      <c r="G569" s="14" t="s">
        <v>8862</v>
      </c>
    </row>
    <row r="570" spans="1:7" ht="345">
      <c r="A570" s="14" t="s">
        <v>6921</v>
      </c>
      <c r="B570" s="14" t="s">
        <v>8870</v>
      </c>
      <c r="C570" s="14" t="s">
        <v>8871</v>
      </c>
      <c r="D570" s="14" t="s">
        <v>8872</v>
      </c>
      <c r="E570" s="14" t="s">
        <v>6931</v>
      </c>
      <c r="F570" s="14" t="s">
        <v>6932</v>
      </c>
      <c r="G570" s="14" t="s">
        <v>8873</v>
      </c>
    </row>
    <row r="571" spans="1:7" ht="75">
      <c r="A571" s="14" t="s">
        <v>6921</v>
      </c>
      <c r="B571" s="14" t="s">
        <v>8874</v>
      </c>
      <c r="C571" s="14" t="s">
        <v>8875</v>
      </c>
      <c r="D571" s="14" t="s">
        <v>8876</v>
      </c>
      <c r="E571" s="14" t="s">
        <v>6925</v>
      </c>
      <c r="F571" s="14" t="s">
        <v>6969</v>
      </c>
      <c r="G571" s="14" t="s">
        <v>6927</v>
      </c>
    </row>
    <row r="572" spans="1:7" ht="60">
      <c r="A572" s="14" t="s">
        <v>6921</v>
      </c>
      <c r="B572" s="14" t="s">
        <v>8877</v>
      </c>
      <c r="C572" s="14" t="s">
        <v>8878</v>
      </c>
      <c r="D572" s="14" t="s">
        <v>8879</v>
      </c>
      <c r="E572" s="14" t="s">
        <v>6956</v>
      </c>
      <c r="F572" s="14" t="s">
        <v>6957</v>
      </c>
      <c r="G572" s="14" t="s">
        <v>6927</v>
      </c>
    </row>
    <row r="573" spans="1:7" ht="45">
      <c r="A573" s="14" t="s">
        <v>6921</v>
      </c>
      <c r="B573" s="14" t="s">
        <v>8880</v>
      </c>
      <c r="C573" s="14" t="s">
        <v>8881</v>
      </c>
      <c r="D573" s="14" t="s">
        <v>8882</v>
      </c>
      <c r="E573" s="14" t="s">
        <v>7006</v>
      </c>
      <c r="F573" s="14" t="s">
        <v>7418</v>
      </c>
      <c r="G573" s="14" t="s">
        <v>6927</v>
      </c>
    </row>
    <row r="574" spans="1:7" ht="60">
      <c r="A574" s="14" t="s">
        <v>6921</v>
      </c>
      <c r="B574" s="14" t="s">
        <v>8883</v>
      </c>
      <c r="C574" s="14" t="s">
        <v>8884</v>
      </c>
      <c r="D574" s="14" t="s">
        <v>8885</v>
      </c>
      <c r="E574" s="14" t="s">
        <v>6985</v>
      </c>
      <c r="F574" s="14" t="s">
        <v>7135</v>
      </c>
      <c r="G574" s="14" t="s">
        <v>6927</v>
      </c>
    </row>
    <row r="575" spans="1:7" ht="30">
      <c r="A575" s="14" t="s">
        <v>6921</v>
      </c>
      <c r="B575" s="14" t="s">
        <v>8886</v>
      </c>
      <c r="C575" s="14" t="s">
        <v>8887</v>
      </c>
      <c r="D575" s="14" t="s">
        <v>8888</v>
      </c>
      <c r="E575" s="14" t="s">
        <v>6985</v>
      </c>
      <c r="F575" s="14" t="s">
        <v>7046</v>
      </c>
      <c r="G575" s="14" t="s">
        <v>6927</v>
      </c>
    </row>
    <row r="576" spans="1:7" ht="45">
      <c r="A576" s="14" t="s">
        <v>6921</v>
      </c>
      <c r="B576" s="14" t="s">
        <v>8889</v>
      </c>
      <c r="C576" s="14" t="s">
        <v>8890</v>
      </c>
      <c r="D576" s="14" t="s">
        <v>8891</v>
      </c>
      <c r="E576" s="14" t="s">
        <v>7006</v>
      </c>
      <c r="F576" s="14" t="s">
        <v>7687</v>
      </c>
      <c r="G576" s="14" t="s">
        <v>6927</v>
      </c>
    </row>
    <row r="577" spans="1:7" ht="45">
      <c r="A577" s="14" t="s">
        <v>6921</v>
      </c>
      <c r="B577" s="14" t="s">
        <v>8892</v>
      </c>
      <c r="C577" s="14" t="s">
        <v>8893</v>
      </c>
      <c r="D577" s="14" t="s">
        <v>8894</v>
      </c>
      <c r="E577" s="14" t="s">
        <v>6985</v>
      </c>
      <c r="F577" s="14" t="s">
        <v>6986</v>
      </c>
      <c r="G577" s="14" t="s">
        <v>6927</v>
      </c>
    </row>
    <row r="578" spans="1:7" ht="45">
      <c r="A578" s="14" t="s">
        <v>6921</v>
      </c>
      <c r="B578" s="14" t="s">
        <v>8895</v>
      </c>
      <c r="C578" s="14" t="s">
        <v>8896</v>
      </c>
      <c r="D578" s="14" t="s">
        <v>8897</v>
      </c>
      <c r="E578" s="14" t="s">
        <v>6985</v>
      </c>
      <c r="F578" s="14" t="s">
        <v>6986</v>
      </c>
      <c r="G578" s="14" t="s">
        <v>6927</v>
      </c>
    </row>
    <row r="579" spans="1:7" ht="30">
      <c r="A579" s="14" t="s">
        <v>6921</v>
      </c>
      <c r="B579" s="14" t="s">
        <v>8898</v>
      </c>
      <c r="C579" s="14" t="s">
        <v>8899</v>
      </c>
      <c r="D579" s="14" t="s">
        <v>8900</v>
      </c>
      <c r="E579" s="14" t="s">
        <v>6985</v>
      </c>
      <c r="F579" s="14" t="s">
        <v>7135</v>
      </c>
      <c r="G579" s="14" t="s">
        <v>6927</v>
      </c>
    </row>
    <row r="580" spans="1:7" ht="30">
      <c r="A580" s="14" t="s">
        <v>6921</v>
      </c>
      <c r="B580" s="14" t="s">
        <v>8901</v>
      </c>
      <c r="C580" s="14" t="s">
        <v>8902</v>
      </c>
      <c r="D580" s="14" t="s">
        <v>8903</v>
      </c>
      <c r="E580" s="14" t="s">
        <v>6985</v>
      </c>
      <c r="F580" s="14" t="s">
        <v>7046</v>
      </c>
      <c r="G580" s="14" t="s">
        <v>6927</v>
      </c>
    </row>
    <row r="581" spans="1:7" ht="45">
      <c r="A581" s="14" t="s">
        <v>6921</v>
      </c>
      <c r="B581" s="14" t="s">
        <v>8904</v>
      </c>
      <c r="C581" s="14" t="s">
        <v>8905</v>
      </c>
      <c r="D581" s="14" t="s">
        <v>8906</v>
      </c>
      <c r="E581" s="14" t="s">
        <v>6985</v>
      </c>
      <c r="F581" s="14" t="s">
        <v>7046</v>
      </c>
      <c r="G581" s="14" t="s">
        <v>6927</v>
      </c>
    </row>
    <row r="582" spans="1:7" ht="45">
      <c r="A582" s="14" t="s">
        <v>6921</v>
      </c>
      <c r="B582" s="14" t="s">
        <v>8907</v>
      </c>
      <c r="C582" s="14" t="s">
        <v>8908</v>
      </c>
      <c r="D582" s="14" t="s">
        <v>8909</v>
      </c>
      <c r="E582" s="14" t="s">
        <v>6985</v>
      </c>
      <c r="F582" s="14" t="s">
        <v>7046</v>
      </c>
      <c r="G582" s="14" t="s">
        <v>6927</v>
      </c>
    </row>
    <row r="583" spans="1:7" ht="75">
      <c r="A583" s="14" t="s">
        <v>6921</v>
      </c>
      <c r="B583" s="14" t="s">
        <v>8910</v>
      </c>
      <c r="C583" s="14" t="s">
        <v>8911</v>
      </c>
      <c r="D583" s="14" t="s">
        <v>8912</v>
      </c>
      <c r="E583" s="14" t="s">
        <v>6985</v>
      </c>
      <c r="F583" s="14" t="s">
        <v>7135</v>
      </c>
      <c r="G583" s="14" t="s">
        <v>6927</v>
      </c>
    </row>
    <row r="584" spans="1:7" ht="30">
      <c r="A584" s="14" t="s">
        <v>6921</v>
      </c>
      <c r="B584" s="14" t="s">
        <v>8913</v>
      </c>
      <c r="C584" s="14" t="s">
        <v>8914</v>
      </c>
      <c r="D584" s="14" t="s">
        <v>8915</v>
      </c>
      <c r="E584" s="14" t="s">
        <v>6985</v>
      </c>
      <c r="F584" s="14" t="s">
        <v>7135</v>
      </c>
      <c r="G584" s="14" t="s">
        <v>6927</v>
      </c>
    </row>
    <row r="585" spans="1:7" ht="60">
      <c r="A585" s="14" t="s">
        <v>6921</v>
      </c>
      <c r="B585" s="14" t="s">
        <v>8916</v>
      </c>
      <c r="C585" s="14" t="s">
        <v>8917</v>
      </c>
      <c r="D585" s="14" t="s">
        <v>8918</v>
      </c>
      <c r="E585" s="14" t="s">
        <v>6985</v>
      </c>
      <c r="F585" s="14" t="s">
        <v>7135</v>
      </c>
      <c r="G585" s="14" t="s">
        <v>6927</v>
      </c>
    </row>
    <row r="586" spans="1:7" ht="30">
      <c r="A586" s="14" t="s">
        <v>6921</v>
      </c>
      <c r="B586" s="14" t="s">
        <v>8919</v>
      </c>
      <c r="C586" s="14" t="s">
        <v>8920</v>
      </c>
      <c r="D586" s="14" t="s">
        <v>8921</v>
      </c>
      <c r="E586" s="14" t="s">
        <v>6985</v>
      </c>
      <c r="F586" s="14" t="s">
        <v>7046</v>
      </c>
      <c r="G586" s="14" t="s">
        <v>6927</v>
      </c>
    </row>
    <row r="587" spans="1:7" ht="45">
      <c r="A587" s="14" t="s">
        <v>6921</v>
      </c>
      <c r="B587" s="14" t="s">
        <v>8922</v>
      </c>
      <c r="C587" s="14" t="s">
        <v>8923</v>
      </c>
      <c r="D587" s="14" t="s">
        <v>8924</v>
      </c>
      <c r="E587" s="14" t="s">
        <v>6985</v>
      </c>
      <c r="F587" s="14" t="s">
        <v>7135</v>
      </c>
      <c r="G587" s="14" t="s">
        <v>6927</v>
      </c>
    </row>
    <row r="588" spans="1:7" ht="105">
      <c r="A588" s="14" t="s">
        <v>6921</v>
      </c>
      <c r="B588" s="14" t="s">
        <v>8925</v>
      </c>
      <c r="C588" s="14" t="s">
        <v>8926</v>
      </c>
      <c r="D588" s="14" t="s">
        <v>8927</v>
      </c>
      <c r="E588" s="14" t="s">
        <v>6931</v>
      </c>
      <c r="F588" s="14" t="s">
        <v>6932</v>
      </c>
      <c r="G588" s="14" t="s">
        <v>8928</v>
      </c>
    </row>
    <row r="589" spans="1:7" ht="45">
      <c r="A589" s="14" t="s">
        <v>6921</v>
      </c>
      <c r="B589" s="14" t="s">
        <v>8929</v>
      </c>
      <c r="C589" s="14" t="s">
        <v>8930</v>
      </c>
      <c r="D589" s="14" t="s">
        <v>8931</v>
      </c>
      <c r="E589" s="14" t="s">
        <v>6925</v>
      </c>
      <c r="F589" s="14" t="s">
        <v>7067</v>
      </c>
      <c r="G589" s="14" t="s">
        <v>6927</v>
      </c>
    </row>
    <row r="590" spans="1:7" ht="60">
      <c r="A590" s="14" t="s">
        <v>6921</v>
      </c>
      <c r="B590" s="14" t="s">
        <v>8932</v>
      </c>
      <c r="C590" s="14" t="s">
        <v>8933</v>
      </c>
      <c r="D590" s="14" t="s">
        <v>8934</v>
      </c>
      <c r="E590" s="14" t="s">
        <v>6956</v>
      </c>
      <c r="F590" s="14" t="s">
        <v>6957</v>
      </c>
      <c r="G590" s="14" t="s">
        <v>6927</v>
      </c>
    </row>
    <row r="591" spans="1:7" ht="60">
      <c r="A591" s="14" t="s">
        <v>6921</v>
      </c>
      <c r="B591" s="14" t="s">
        <v>8935</v>
      </c>
      <c r="C591" s="14" t="s">
        <v>8936</v>
      </c>
      <c r="D591" s="14" t="s">
        <v>8937</v>
      </c>
      <c r="E591" s="14" t="s">
        <v>6956</v>
      </c>
      <c r="F591" s="14" t="s">
        <v>6957</v>
      </c>
      <c r="G591" s="14" t="s">
        <v>6927</v>
      </c>
    </row>
    <row r="592" spans="1:7" ht="225">
      <c r="A592" s="14" t="s">
        <v>6921</v>
      </c>
      <c r="B592" s="14" t="s">
        <v>8938</v>
      </c>
      <c r="C592" s="14" t="s">
        <v>8939</v>
      </c>
      <c r="D592" s="14" t="s">
        <v>8940</v>
      </c>
      <c r="E592" s="14" t="s">
        <v>6931</v>
      </c>
      <c r="F592" s="14" t="s">
        <v>6932</v>
      </c>
      <c r="G592" s="14" t="s">
        <v>8941</v>
      </c>
    </row>
    <row r="593" spans="1:7" ht="315">
      <c r="A593" s="14" t="s">
        <v>6921</v>
      </c>
      <c r="B593" s="14" t="s">
        <v>8942</v>
      </c>
      <c r="C593" s="14" t="s">
        <v>8943</v>
      </c>
      <c r="D593" s="14" t="s">
        <v>8944</v>
      </c>
      <c r="E593" s="14" t="s">
        <v>6931</v>
      </c>
      <c r="F593" s="14" t="s">
        <v>6932</v>
      </c>
      <c r="G593" s="14" t="s">
        <v>8945</v>
      </c>
    </row>
    <row r="594" spans="1:7" ht="255">
      <c r="A594" s="14" t="s">
        <v>6921</v>
      </c>
      <c r="B594" s="14" t="s">
        <v>8946</v>
      </c>
      <c r="C594" s="14" t="s">
        <v>8947</v>
      </c>
      <c r="D594" s="14" t="s">
        <v>8948</v>
      </c>
      <c r="E594" s="14" t="s">
        <v>6931</v>
      </c>
      <c r="F594" s="14" t="s">
        <v>6932</v>
      </c>
      <c r="G594" s="14" t="s">
        <v>8949</v>
      </c>
    </row>
    <row r="595" spans="1:7" ht="90">
      <c r="A595" s="14" t="s">
        <v>6921</v>
      </c>
      <c r="B595" s="14" t="s">
        <v>8950</v>
      </c>
      <c r="C595" s="14" t="s">
        <v>8951</v>
      </c>
      <c r="D595" s="14" t="s">
        <v>8952</v>
      </c>
      <c r="E595" s="14" t="s">
        <v>6931</v>
      </c>
      <c r="F595" s="14" t="s">
        <v>6932</v>
      </c>
      <c r="G595" s="14" t="s">
        <v>8953</v>
      </c>
    </row>
    <row r="596" spans="1:7" ht="30">
      <c r="A596" s="14" t="s">
        <v>6921</v>
      </c>
      <c r="B596" s="14" t="s">
        <v>8954</v>
      </c>
      <c r="C596" s="14" t="s">
        <v>8955</v>
      </c>
      <c r="D596" s="14" t="s">
        <v>8956</v>
      </c>
      <c r="E596" s="14" t="s">
        <v>6985</v>
      </c>
      <c r="F596" s="14" t="s">
        <v>6932</v>
      </c>
      <c r="G596" s="14" t="s">
        <v>6927</v>
      </c>
    </row>
    <row r="597" spans="1:7" ht="165">
      <c r="A597" s="14" t="s">
        <v>6921</v>
      </c>
      <c r="B597" s="14" t="s">
        <v>8957</v>
      </c>
      <c r="C597" s="14" t="s">
        <v>8958</v>
      </c>
      <c r="D597" s="14" t="s">
        <v>8959</v>
      </c>
      <c r="E597" s="14" t="s">
        <v>6931</v>
      </c>
      <c r="F597" s="14" t="s">
        <v>6932</v>
      </c>
      <c r="G597" s="14" t="s">
        <v>8960</v>
      </c>
    </row>
    <row r="598" spans="1:7" ht="60">
      <c r="A598" s="14" t="s">
        <v>6921</v>
      </c>
      <c r="B598" s="14" t="s">
        <v>8961</v>
      </c>
      <c r="C598" s="14" t="s">
        <v>8962</v>
      </c>
      <c r="D598" s="14" t="s">
        <v>8963</v>
      </c>
      <c r="E598" s="14" t="s">
        <v>6925</v>
      </c>
      <c r="F598" s="14" t="s">
        <v>7067</v>
      </c>
      <c r="G598" s="14" t="s">
        <v>6927</v>
      </c>
    </row>
    <row r="599" spans="1:7" ht="45">
      <c r="A599" s="14" t="s">
        <v>6921</v>
      </c>
      <c r="B599" s="14" t="s">
        <v>8964</v>
      </c>
      <c r="C599" s="14" t="s">
        <v>8965</v>
      </c>
      <c r="D599" s="14" t="s">
        <v>8966</v>
      </c>
      <c r="E599" s="14" t="s">
        <v>6931</v>
      </c>
      <c r="F599" s="14" t="s">
        <v>6932</v>
      </c>
      <c r="G599" s="14" t="s">
        <v>8967</v>
      </c>
    </row>
    <row r="600" spans="1:7" ht="45">
      <c r="A600" s="14" t="s">
        <v>6921</v>
      </c>
      <c r="B600" s="14" t="s">
        <v>8968</v>
      </c>
      <c r="C600" s="14" t="s">
        <v>8969</v>
      </c>
      <c r="D600" s="14" t="s">
        <v>8970</v>
      </c>
      <c r="E600" s="14" t="s">
        <v>6925</v>
      </c>
      <c r="F600" s="14" t="s">
        <v>6965</v>
      </c>
      <c r="G600" s="14" t="s">
        <v>6927</v>
      </c>
    </row>
    <row r="601" spans="1:7" ht="30">
      <c r="A601" s="14" t="s">
        <v>6921</v>
      </c>
      <c r="B601" s="14" t="s">
        <v>8971</v>
      </c>
      <c r="C601" s="14" t="s">
        <v>8972</v>
      </c>
      <c r="D601" s="14" t="s">
        <v>8973</v>
      </c>
      <c r="E601" s="14" t="s">
        <v>6925</v>
      </c>
      <c r="F601" s="14" t="s">
        <v>7098</v>
      </c>
      <c r="G601" s="14" t="s">
        <v>6927</v>
      </c>
    </row>
    <row r="602" spans="1:7" ht="225">
      <c r="A602" s="14" t="s">
        <v>6921</v>
      </c>
      <c r="B602" s="14" t="s">
        <v>8974</v>
      </c>
      <c r="C602" s="14" t="s">
        <v>8975</v>
      </c>
      <c r="D602" s="14" t="s">
        <v>8976</v>
      </c>
      <c r="E602" s="14" t="s">
        <v>6931</v>
      </c>
      <c r="F602" s="14" t="s">
        <v>6932</v>
      </c>
      <c r="G602" s="14" t="s">
        <v>8977</v>
      </c>
    </row>
    <row r="603" spans="1:7" ht="135">
      <c r="A603" s="14" t="s">
        <v>6921</v>
      </c>
      <c r="B603" s="14" t="s">
        <v>8978</v>
      </c>
      <c r="C603" s="14" t="s">
        <v>8979</v>
      </c>
      <c r="D603" s="14" t="s">
        <v>8980</v>
      </c>
      <c r="E603" s="14" t="s">
        <v>6931</v>
      </c>
      <c r="F603" s="14" t="s">
        <v>6932</v>
      </c>
      <c r="G603" s="14" t="s">
        <v>8981</v>
      </c>
    </row>
    <row r="604" spans="1:7" ht="105">
      <c r="A604" s="14" t="s">
        <v>6921</v>
      </c>
      <c r="B604" s="14" t="s">
        <v>8982</v>
      </c>
      <c r="C604" s="14" t="s">
        <v>8983</v>
      </c>
      <c r="D604" s="14" t="s">
        <v>8984</v>
      </c>
      <c r="E604" s="14" t="s">
        <v>6931</v>
      </c>
      <c r="F604" s="14" t="s">
        <v>6932</v>
      </c>
      <c r="G604" s="14" t="s">
        <v>8985</v>
      </c>
    </row>
    <row r="605" spans="1:7" ht="105">
      <c r="A605" s="14" t="s">
        <v>6921</v>
      </c>
      <c r="B605" s="14" t="s">
        <v>8986</v>
      </c>
      <c r="C605" s="14" t="s">
        <v>8987</v>
      </c>
      <c r="D605" s="14" t="s">
        <v>8988</v>
      </c>
      <c r="E605" s="14" t="s">
        <v>6931</v>
      </c>
      <c r="F605" s="14" t="s">
        <v>6932</v>
      </c>
      <c r="G605" s="14" t="s">
        <v>8989</v>
      </c>
    </row>
    <row r="606" spans="1:7" ht="75">
      <c r="A606" s="14" t="s">
        <v>6921</v>
      </c>
      <c r="B606" s="14" t="s">
        <v>8990</v>
      </c>
      <c r="C606" s="14" t="s">
        <v>8991</v>
      </c>
      <c r="D606" s="14" t="s">
        <v>8992</v>
      </c>
      <c r="E606" s="14" t="s">
        <v>6931</v>
      </c>
      <c r="F606" s="14" t="s">
        <v>6932</v>
      </c>
      <c r="G606" s="14" t="s">
        <v>8993</v>
      </c>
    </row>
    <row r="607" spans="1:7" ht="90">
      <c r="A607" s="14" t="s">
        <v>6921</v>
      </c>
      <c r="B607" s="14" t="s">
        <v>8994</v>
      </c>
      <c r="C607" s="14" t="s">
        <v>8995</v>
      </c>
      <c r="D607" s="14" t="s">
        <v>8996</v>
      </c>
      <c r="E607" s="14" t="s">
        <v>6931</v>
      </c>
      <c r="F607" s="14" t="s">
        <v>6932</v>
      </c>
      <c r="G607" s="14" t="s">
        <v>8997</v>
      </c>
    </row>
    <row r="608" spans="1:7" ht="45">
      <c r="A608" s="14" t="s">
        <v>6921</v>
      </c>
      <c r="B608" s="14" t="s">
        <v>8998</v>
      </c>
      <c r="C608" s="14" t="s">
        <v>8999</v>
      </c>
      <c r="D608" s="14" t="s">
        <v>9000</v>
      </c>
      <c r="E608" s="14" t="s">
        <v>6925</v>
      </c>
      <c r="F608" s="14" t="s">
        <v>7125</v>
      </c>
      <c r="G608" s="14" t="s">
        <v>6927</v>
      </c>
    </row>
    <row r="609" spans="1:7" ht="30">
      <c r="A609" s="14" t="s">
        <v>6921</v>
      </c>
      <c r="B609" s="14" t="s">
        <v>9001</v>
      </c>
      <c r="C609" s="14" t="s">
        <v>9002</v>
      </c>
      <c r="D609" s="14" t="s">
        <v>9003</v>
      </c>
      <c r="E609" s="14" t="s">
        <v>6925</v>
      </c>
      <c r="F609" s="14" t="s">
        <v>6926</v>
      </c>
      <c r="G609" s="14" t="s">
        <v>6927</v>
      </c>
    </row>
    <row r="610" spans="1:7" ht="165">
      <c r="A610" s="14" t="s">
        <v>6921</v>
      </c>
      <c r="B610" s="14" t="s">
        <v>9004</v>
      </c>
      <c r="C610" s="14" t="s">
        <v>9005</v>
      </c>
      <c r="D610" s="14" t="s">
        <v>9006</v>
      </c>
      <c r="E610" s="14" t="s">
        <v>6931</v>
      </c>
      <c r="F610" s="14" t="s">
        <v>6932</v>
      </c>
      <c r="G610" s="14" t="s">
        <v>7225</v>
      </c>
    </row>
    <row r="611" spans="1:7" ht="255">
      <c r="A611" s="14" t="s">
        <v>6921</v>
      </c>
      <c r="B611" s="14" t="s">
        <v>9007</v>
      </c>
      <c r="C611" s="14" t="s">
        <v>9008</v>
      </c>
      <c r="D611" s="14" t="s">
        <v>9009</v>
      </c>
      <c r="E611" s="14" t="s">
        <v>6931</v>
      </c>
      <c r="F611" s="14" t="s">
        <v>6932</v>
      </c>
      <c r="G611" s="14" t="s">
        <v>9010</v>
      </c>
    </row>
    <row r="612" spans="1:7" ht="60">
      <c r="A612" s="14" t="s">
        <v>6921</v>
      </c>
      <c r="B612" s="14" t="s">
        <v>9011</v>
      </c>
      <c r="C612" s="14" t="s">
        <v>9012</v>
      </c>
      <c r="D612" s="14" t="s">
        <v>9013</v>
      </c>
      <c r="E612" s="14" t="s">
        <v>6985</v>
      </c>
      <c r="F612" s="14" t="s">
        <v>7135</v>
      </c>
      <c r="G612" s="14" t="s">
        <v>6927</v>
      </c>
    </row>
    <row r="613" spans="1:7" ht="60">
      <c r="A613" s="14" t="s">
        <v>6921</v>
      </c>
      <c r="B613" s="14" t="s">
        <v>9014</v>
      </c>
      <c r="C613" s="14" t="s">
        <v>9015</v>
      </c>
      <c r="D613" s="14" t="s">
        <v>9016</v>
      </c>
      <c r="E613" s="14" t="s">
        <v>6931</v>
      </c>
      <c r="F613" s="14" t="s">
        <v>6932</v>
      </c>
      <c r="G613" s="14" t="s">
        <v>9017</v>
      </c>
    </row>
    <row r="614" spans="1:7" ht="45">
      <c r="A614" s="14" t="s">
        <v>6921</v>
      </c>
      <c r="B614" s="14" t="s">
        <v>9018</v>
      </c>
      <c r="C614" s="14" t="s">
        <v>9019</v>
      </c>
      <c r="D614" s="14" t="s">
        <v>9020</v>
      </c>
      <c r="E614" s="14" t="s">
        <v>6925</v>
      </c>
      <c r="F614" s="14" t="s">
        <v>7098</v>
      </c>
      <c r="G614" s="14" t="s">
        <v>6927</v>
      </c>
    </row>
    <row r="615" spans="1:7" ht="30">
      <c r="A615" s="14" t="s">
        <v>6921</v>
      </c>
      <c r="B615" s="14" t="s">
        <v>9021</v>
      </c>
      <c r="C615" s="14" t="s">
        <v>9022</v>
      </c>
      <c r="D615" s="14" t="s">
        <v>9023</v>
      </c>
      <c r="E615" s="14" t="s">
        <v>6925</v>
      </c>
      <c r="F615" s="14" t="s">
        <v>6926</v>
      </c>
      <c r="G615" s="14" t="s">
        <v>6927</v>
      </c>
    </row>
    <row r="616" spans="1:7" ht="45">
      <c r="A616" s="14" t="s">
        <v>6921</v>
      </c>
      <c r="B616" s="14" t="s">
        <v>9024</v>
      </c>
      <c r="C616" s="14" t="s">
        <v>9025</v>
      </c>
      <c r="D616" s="14" t="s">
        <v>9026</v>
      </c>
      <c r="E616" s="14" t="s">
        <v>6925</v>
      </c>
      <c r="F616" s="14" t="s">
        <v>6926</v>
      </c>
      <c r="G616" s="14" t="s">
        <v>6927</v>
      </c>
    </row>
    <row r="617" spans="1:7" ht="45">
      <c r="A617" s="14" t="s">
        <v>6921</v>
      </c>
      <c r="B617" s="14" t="s">
        <v>9027</v>
      </c>
      <c r="C617" s="14" t="s">
        <v>9028</v>
      </c>
      <c r="D617" s="14" t="s">
        <v>9029</v>
      </c>
      <c r="E617" s="14" t="s">
        <v>6925</v>
      </c>
      <c r="F617" s="14" t="s">
        <v>6926</v>
      </c>
      <c r="G617" s="14" t="s">
        <v>6927</v>
      </c>
    </row>
    <row r="618" spans="1:7" ht="60">
      <c r="A618" s="14" t="s">
        <v>6921</v>
      </c>
      <c r="B618" s="14" t="s">
        <v>9030</v>
      </c>
      <c r="C618" s="14" t="s">
        <v>9031</v>
      </c>
      <c r="D618" s="14" t="s">
        <v>9032</v>
      </c>
      <c r="E618" s="14" t="s">
        <v>7006</v>
      </c>
      <c r="F618" s="14" t="s">
        <v>7007</v>
      </c>
      <c r="G618" s="14" t="s">
        <v>6927</v>
      </c>
    </row>
    <row r="619" spans="1:7" ht="180">
      <c r="A619" s="14" t="s">
        <v>6921</v>
      </c>
      <c r="B619" s="14" t="s">
        <v>9033</v>
      </c>
      <c r="C619" s="14" t="s">
        <v>9034</v>
      </c>
      <c r="D619" s="14" t="s">
        <v>9035</v>
      </c>
      <c r="E619" s="14" t="s">
        <v>6931</v>
      </c>
      <c r="F619" s="14" t="s">
        <v>6932</v>
      </c>
      <c r="G619" s="14" t="s">
        <v>8195</v>
      </c>
    </row>
    <row r="620" spans="1:7" ht="30">
      <c r="A620" s="14" t="s">
        <v>6921</v>
      </c>
      <c r="B620" s="14" t="s">
        <v>9036</v>
      </c>
      <c r="C620" s="14" t="s">
        <v>9037</v>
      </c>
      <c r="D620" s="14" t="s">
        <v>9038</v>
      </c>
      <c r="E620" s="14" t="s">
        <v>6925</v>
      </c>
      <c r="F620" s="14" t="s">
        <v>7067</v>
      </c>
      <c r="G620" s="14" t="s">
        <v>6927</v>
      </c>
    </row>
    <row r="621" spans="1:7" ht="405">
      <c r="A621" s="14" t="s">
        <v>6921</v>
      </c>
      <c r="B621" s="14" t="s">
        <v>9039</v>
      </c>
      <c r="C621" s="14" t="s">
        <v>9040</v>
      </c>
      <c r="D621" s="14" t="s">
        <v>9041</v>
      </c>
      <c r="E621" s="14" t="s">
        <v>6931</v>
      </c>
      <c r="F621" s="14" t="s">
        <v>6932</v>
      </c>
      <c r="G621" s="14" t="s">
        <v>9042</v>
      </c>
    </row>
    <row r="622" spans="1:7" ht="60">
      <c r="A622" s="14" t="s">
        <v>6921</v>
      </c>
      <c r="B622" s="14" t="s">
        <v>9043</v>
      </c>
      <c r="C622" s="14" t="s">
        <v>9044</v>
      </c>
      <c r="D622" s="14" t="s">
        <v>9045</v>
      </c>
      <c r="E622" s="14" t="s">
        <v>6931</v>
      </c>
      <c r="F622" s="14" t="s">
        <v>6932</v>
      </c>
      <c r="G622" s="14" t="s">
        <v>9046</v>
      </c>
    </row>
    <row r="623" spans="1:7" ht="60">
      <c r="A623" s="14" t="s">
        <v>6921</v>
      </c>
      <c r="B623" s="14" t="s">
        <v>9047</v>
      </c>
      <c r="C623" s="14" t="s">
        <v>9048</v>
      </c>
      <c r="D623" s="14" t="s">
        <v>9049</v>
      </c>
      <c r="E623" s="14" t="s">
        <v>7006</v>
      </c>
      <c r="F623" s="14" t="s">
        <v>9050</v>
      </c>
      <c r="G623" s="14" t="s">
        <v>6927</v>
      </c>
    </row>
    <row r="624" spans="1:7" ht="45">
      <c r="A624" s="14" t="s">
        <v>6921</v>
      </c>
      <c r="B624" s="14" t="s">
        <v>9051</v>
      </c>
      <c r="C624" s="14" t="s">
        <v>9052</v>
      </c>
      <c r="D624" s="14" t="s">
        <v>9053</v>
      </c>
      <c r="E624" s="14" t="s">
        <v>6985</v>
      </c>
      <c r="F624" s="14" t="s">
        <v>7046</v>
      </c>
      <c r="G624" s="14" t="s">
        <v>6927</v>
      </c>
    </row>
    <row r="625" spans="1:7" ht="45">
      <c r="A625" s="14" t="s">
        <v>6921</v>
      </c>
      <c r="B625" s="14" t="s">
        <v>9054</v>
      </c>
      <c r="C625" s="14" t="s">
        <v>9055</v>
      </c>
      <c r="D625" s="14" t="s">
        <v>9056</v>
      </c>
      <c r="E625" s="14" t="s">
        <v>6985</v>
      </c>
      <c r="F625" s="14" t="s">
        <v>7046</v>
      </c>
      <c r="G625" s="14" t="s">
        <v>6927</v>
      </c>
    </row>
    <row r="626" spans="1:7" ht="75">
      <c r="A626" s="14" t="s">
        <v>6921</v>
      </c>
      <c r="B626" s="14" t="s">
        <v>9057</v>
      </c>
      <c r="C626" s="14" t="s">
        <v>9058</v>
      </c>
      <c r="D626" s="14" t="s">
        <v>9059</v>
      </c>
      <c r="E626" s="14" t="s">
        <v>7006</v>
      </c>
      <c r="F626" s="14" t="s">
        <v>9050</v>
      </c>
      <c r="G626" s="14" t="s">
        <v>6927</v>
      </c>
    </row>
    <row r="627" spans="1:7" ht="45">
      <c r="A627" s="14" t="s">
        <v>6921</v>
      </c>
      <c r="B627" s="14" t="s">
        <v>9060</v>
      </c>
      <c r="C627" s="14" t="s">
        <v>9061</v>
      </c>
      <c r="D627" s="14" t="s">
        <v>9062</v>
      </c>
      <c r="E627" s="14" t="s">
        <v>7006</v>
      </c>
      <c r="F627" s="14" t="s">
        <v>9050</v>
      </c>
      <c r="G627" s="14" t="s">
        <v>6927</v>
      </c>
    </row>
    <row r="628" spans="1:7" ht="30">
      <c r="A628" s="14" t="s">
        <v>6921</v>
      </c>
      <c r="B628" s="14" t="s">
        <v>9063</v>
      </c>
      <c r="C628" s="14" t="s">
        <v>9064</v>
      </c>
      <c r="D628" s="14" t="s">
        <v>9065</v>
      </c>
      <c r="E628" s="14" t="s">
        <v>6925</v>
      </c>
      <c r="F628" s="14" t="s">
        <v>6965</v>
      </c>
      <c r="G628" s="14" t="s">
        <v>6927</v>
      </c>
    </row>
    <row r="629" spans="1:7" ht="30">
      <c r="A629" s="14" t="s">
        <v>6921</v>
      </c>
      <c r="B629" s="14" t="s">
        <v>9066</v>
      </c>
      <c r="C629" s="14" t="s">
        <v>9067</v>
      </c>
      <c r="D629" s="14" t="s">
        <v>9068</v>
      </c>
      <c r="E629" s="14" t="s">
        <v>6925</v>
      </c>
      <c r="F629" s="14" t="s">
        <v>6926</v>
      </c>
      <c r="G629" s="14" t="s">
        <v>6927</v>
      </c>
    </row>
    <row r="630" spans="1:7" ht="285">
      <c r="A630" s="14" t="s">
        <v>6921</v>
      </c>
      <c r="B630" s="14" t="s">
        <v>9069</v>
      </c>
      <c r="C630" s="14" t="s">
        <v>9070</v>
      </c>
      <c r="D630" s="14" t="s">
        <v>9071</v>
      </c>
      <c r="E630" s="14" t="s">
        <v>6931</v>
      </c>
      <c r="F630" s="14" t="s">
        <v>6932</v>
      </c>
      <c r="G630" s="14" t="s">
        <v>9072</v>
      </c>
    </row>
    <row r="631" spans="1:7" ht="45">
      <c r="A631" s="14" t="s">
        <v>6921</v>
      </c>
      <c r="B631" s="14" t="s">
        <v>9073</v>
      </c>
      <c r="C631" s="14" t="s">
        <v>9074</v>
      </c>
      <c r="D631" s="14" t="s">
        <v>9075</v>
      </c>
      <c r="E631" s="14" t="s">
        <v>6931</v>
      </c>
      <c r="F631" s="14" t="s">
        <v>6932</v>
      </c>
      <c r="G631" s="14" t="s">
        <v>6952</v>
      </c>
    </row>
    <row r="632" spans="1:7" ht="60">
      <c r="A632" s="14" t="s">
        <v>6921</v>
      </c>
      <c r="B632" s="14" t="s">
        <v>9076</v>
      </c>
      <c r="C632" s="14" t="s">
        <v>9077</v>
      </c>
      <c r="D632" s="14" t="s">
        <v>9078</v>
      </c>
      <c r="E632" s="14" t="s">
        <v>6925</v>
      </c>
      <c r="F632" s="14" t="s">
        <v>7125</v>
      </c>
      <c r="G632" s="14" t="s">
        <v>6927</v>
      </c>
    </row>
    <row r="633" spans="1:7" ht="30">
      <c r="A633" s="14" t="s">
        <v>6921</v>
      </c>
      <c r="B633" s="14" t="s">
        <v>9079</v>
      </c>
      <c r="C633" s="14" t="s">
        <v>9080</v>
      </c>
      <c r="D633" s="14" t="s">
        <v>9081</v>
      </c>
      <c r="E633" s="14" t="s">
        <v>6985</v>
      </c>
      <c r="F633" s="14" t="s">
        <v>9082</v>
      </c>
      <c r="G633" s="14" t="s">
        <v>6927</v>
      </c>
    </row>
    <row r="634" spans="1:7" ht="105">
      <c r="A634" s="14" t="s">
        <v>6921</v>
      </c>
      <c r="B634" s="14" t="s">
        <v>9083</v>
      </c>
      <c r="C634" s="14" t="s">
        <v>9084</v>
      </c>
      <c r="D634" s="14" t="s">
        <v>9085</v>
      </c>
      <c r="E634" s="14" t="s">
        <v>6931</v>
      </c>
      <c r="F634" s="14" t="s">
        <v>6932</v>
      </c>
      <c r="G634" s="14" t="s">
        <v>9086</v>
      </c>
    </row>
    <row r="635" spans="1:7" ht="30">
      <c r="A635" s="14" t="s">
        <v>6921</v>
      </c>
      <c r="B635" s="14" t="s">
        <v>9087</v>
      </c>
      <c r="C635" s="14" t="s">
        <v>9088</v>
      </c>
      <c r="D635" s="14" t="s">
        <v>9089</v>
      </c>
      <c r="E635" s="14" t="s">
        <v>6956</v>
      </c>
      <c r="F635" s="14" t="s">
        <v>6957</v>
      </c>
      <c r="G635" s="14" t="s">
        <v>6927</v>
      </c>
    </row>
    <row r="636" spans="1:7" ht="120">
      <c r="A636" s="14" t="s">
        <v>6921</v>
      </c>
      <c r="B636" s="14" t="s">
        <v>9090</v>
      </c>
      <c r="C636" s="14" t="s">
        <v>9091</v>
      </c>
      <c r="D636" s="14" t="s">
        <v>9092</v>
      </c>
      <c r="E636" s="14" t="s">
        <v>6931</v>
      </c>
      <c r="F636" s="14" t="s">
        <v>6932</v>
      </c>
      <c r="G636" s="14" t="s">
        <v>9093</v>
      </c>
    </row>
    <row r="637" spans="1:7" ht="240">
      <c r="A637" s="14" t="s">
        <v>6921</v>
      </c>
      <c r="B637" s="14" t="s">
        <v>9094</v>
      </c>
      <c r="C637" s="14" t="s">
        <v>9095</v>
      </c>
      <c r="D637" s="14" t="s">
        <v>9096</v>
      </c>
      <c r="E637" s="14" t="s">
        <v>6931</v>
      </c>
      <c r="F637" s="14" t="s">
        <v>6932</v>
      </c>
      <c r="G637" s="14" t="s">
        <v>9097</v>
      </c>
    </row>
    <row r="638" spans="1:7" ht="45">
      <c r="A638" s="14" t="s">
        <v>6921</v>
      </c>
      <c r="B638" s="14" t="s">
        <v>9098</v>
      </c>
      <c r="C638" s="14" t="s">
        <v>9099</v>
      </c>
      <c r="D638" s="14" t="s">
        <v>9100</v>
      </c>
      <c r="E638" s="14" t="s">
        <v>6931</v>
      </c>
      <c r="F638" s="14" t="s">
        <v>6932</v>
      </c>
      <c r="G638" s="14" t="s">
        <v>6952</v>
      </c>
    </row>
    <row r="639" spans="1:7" ht="45">
      <c r="A639" s="14" t="s">
        <v>6921</v>
      </c>
      <c r="B639" s="14" t="s">
        <v>9101</v>
      </c>
      <c r="C639" s="14" t="s">
        <v>9102</v>
      </c>
      <c r="D639" s="14" t="s">
        <v>9103</v>
      </c>
      <c r="E639" s="14" t="s">
        <v>7006</v>
      </c>
      <c r="F639" s="14" t="s">
        <v>9050</v>
      </c>
      <c r="G639" s="14" t="s">
        <v>6927</v>
      </c>
    </row>
    <row r="640" spans="1:7" ht="60">
      <c r="A640" s="14" t="s">
        <v>6921</v>
      </c>
      <c r="B640" s="14" t="s">
        <v>9104</v>
      </c>
      <c r="C640" s="14" t="s">
        <v>9105</v>
      </c>
      <c r="D640" s="14" t="s">
        <v>9106</v>
      </c>
      <c r="E640" s="14" t="s">
        <v>6925</v>
      </c>
      <c r="F640" s="14" t="s">
        <v>6926</v>
      </c>
      <c r="G640" s="14" t="s">
        <v>6927</v>
      </c>
    </row>
    <row r="641" spans="1:7" ht="45">
      <c r="A641" s="14" t="s">
        <v>6921</v>
      </c>
      <c r="B641" s="14" t="s">
        <v>9107</v>
      </c>
      <c r="C641" s="14" t="s">
        <v>9108</v>
      </c>
      <c r="D641" s="14" t="s">
        <v>9109</v>
      </c>
      <c r="E641" s="14" t="s">
        <v>6956</v>
      </c>
      <c r="F641" s="14" t="s">
        <v>6957</v>
      </c>
      <c r="G641" s="14" t="s">
        <v>6927</v>
      </c>
    </row>
    <row r="642" spans="1:7" ht="45">
      <c r="A642" s="14" t="s">
        <v>6921</v>
      </c>
      <c r="B642" s="14" t="s">
        <v>9110</v>
      </c>
      <c r="C642" s="14" t="s">
        <v>9111</v>
      </c>
      <c r="D642" s="14" t="s">
        <v>9112</v>
      </c>
      <c r="E642" s="14" t="s">
        <v>6925</v>
      </c>
      <c r="F642" s="14" t="s">
        <v>6926</v>
      </c>
      <c r="G642" s="14" t="s">
        <v>6927</v>
      </c>
    </row>
    <row r="643" spans="1:7" ht="45">
      <c r="A643" s="14" t="s">
        <v>6921</v>
      </c>
      <c r="B643" s="14" t="s">
        <v>9113</v>
      </c>
      <c r="C643" s="14" t="s">
        <v>9114</v>
      </c>
      <c r="D643" s="14" t="s">
        <v>9115</v>
      </c>
      <c r="E643" s="14" t="s">
        <v>6925</v>
      </c>
      <c r="F643" s="14" t="s">
        <v>7125</v>
      </c>
      <c r="G643" s="14" t="s">
        <v>6927</v>
      </c>
    </row>
    <row r="644" spans="1:7" ht="75">
      <c r="A644" s="14" t="s">
        <v>6921</v>
      </c>
      <c r="B644" s="14" t="s">
        <v>9116</v>
      </c>
      <c r="C644" s="14" t="s">
        <v>9117</v>
      </c>
      <c r="D644" s="14" t="s">
        <v>9118</v>
      </c>
      <c r="E644" s="14" t="s">
        <v>6925</v>
      </c>
      <c r="F644" s="14" t="s">
        <v>7067</v>
      </c>
      <c r="G644" s="14" t="s">
        <v>6927</v>
      </c>
    </row>
    <row r="645" spans="1:7" ht="60">
      <c r="A645" s="14" t="s">
        <v>6921</v>
      </c>
      <c r="B645" s="14" t="s">
        <v>9119</v>
      </c>
      <c r="C645" s="14" t="s">
        <v>9120</v>
      </c>
      <c r="D645" s="14" t="s">
        <v>9121</v>
      </c>
      <c r="E645" s="14" t="s">
        <v>6925</v>
      </c>
      <c r="F645" s="14" t="s">
        <v>7067</v>
      </c>
      <c r="G645" s="14" t="s">
        <v>6927</v>
      </c>
    </row>
    <row r="646" spans="1:7" ht="45">
      <c r="A646" s="14" t="s">
        <v>6921</v>
      </c>
      <c r="B646" s="14" t="s">
        <v>9122</v>
      </c>
      <c r="C646" s="14" t="s">
        <v>9123</v>
      </c>
      <c r="D646" s="14" t="s">
        <v>9124</v>
      </c>
      <c r="E646" s="14" t="s">
        <v>6925</v>
      </c>
      <c r="F646" s="14" t="s">
        <v>7125</v>
      </c>
      <c r="G646" s="14" t="s">
        <v>6927</v>
      </c>
    </row>
    <row r="647" spans="1:7" ht="45">
      <c r="A647" s="14" t="s">
        <v>6921</v>
      </c>
      <c r="B647" s="14" t="s">
        <v>9125</v>
      </c>
      <c r="C647" s="14" t="s">
        <v>9126</v>
      </c>
      <c r="D647" s="14" t="s">
        <v>9127</v>
      </c>
      <c r="E647" s="14" t="s">
        <v>6925</v>
      </c>
      <c r="F647" s="14" t="s">
        <v>7125</v>
      </c>
      <c r="G647" s="14" t="s">
        <v>6927</v>
      </c>
    </row>
    <row r="648" spans="1:7" ht="60">
      <c r="A648" s="14" t="s">
        <v>6921</v>
      </c>
      <c r="B648" s="14" t="s">
        <v>9128</v>
      </c>
      <c r="C648" s="14" t="s">
        <v>9129</v>
      </c>
      <c r="D648" s="14" t="s">
        <v>9130</v>
      </c>
      <c r="E648" s="14" t="s">
        <v>6925</v>
      </c>
      <c r="F648" s="14" t="s">
        <v>7067</v>
      </c>
      <c r="G648" s="14" t="s">
        <v>6927</v>
      </c>
    </row>
    <row r="649" spans="1:7" ht="135">
      <c r="A649" s="14" t="s">
        <v>6921</v>
      </c>
      <c r="B649" s="14" t="s">
        <v>9131</v>
      </c>
      <c r="C649" s="14" t="s">
        <v>9132</v>
      </c>
      <c r="D649" s="14" t="s">
        <v>9133</v>
      </c>
      <c r="E649" s="14" t="s">
        <v>6931</v>
      </c>
      <c r="F649" s="14" t="s">
        <v>6932</v>
      </c>
      <c r="G649" s="14" t="s">
        <v>7459</v>
      </c>
    </row>
    <row r="650" spans="1:7" ht="210">
      <c r="A650" s="14" t="s">
        <v>6921</v>
      </c>
      <c r="B650" s="14" t="s">
        <v>9134</v>
      </c>
      <c r="C650" s="14" t="s">
        <v>9135</v>
      </c>
      <c r="D650" s="14" t="s">
        <v>9136</v>
      </c>
      <c r="E650" s="14" t="s">
        <v>6931</v>
      </c>
      <c r="F650" s="14" t="s">
        <v>6932</v>
      </c>
      <c r="G650" s="14" t="s">
        <v>7848</v>
      </c>
    </row>
    <row r="651" spans="1:7" ht="90">
      <c r="A651" s="14" t="s">
        <v>6921</v>
      </c>
      <c r="B651" s="14" t="s">
        <v>9137</v>
      </c>
      <c r="C651" s="14" t="s">
        <v>9138</v>
      </c>
      <c r="D651" s="14" t="s">
        <v>9139</v>
      </c>
      <c r="E651" s="14" t="s">
        <v>6931</v>
      </c>
      <c r="F651" s="14" t="s">
        <v>6932</v>
      </c>
      <c r="G651" s="14" t="s">
        <v>7902</v>
      </c>
    </row>
    <row r="652" spans="1:7" ht="300">
      <c r="A652" s="14" t="s">
        <v>6921</v>
      </c>
      <c r="B652" s="14" t="s">
        <v>9140</v>
      </c>
      <c r="C652" s="14" t="s">
        <v>9141</v>
      </c>
      <c r="D652" s="14" t="s">
        <v>9142</v>
      </c>
      <c r="E652" s="14" t="s">
        <v>6931</v>
      </c>
      <c r="F652" s="14" t="s">
        <v>6932</v>
      </c>
      <c r="G652" s="14" t="s">
        <v>9143</v>
      </c>
    </row>
    <row r="653" spans="1:7" ht="30">
      <c r="A653" s="14" t="s">
        <v>6921</v>
      </c>
      <c r="B653" s="14" t="s">
        <v>9144</v>
      </c>
      <c r="C653" s="14" t="s">
        <v>9145</v>
      </c>
      <c r="D653" s="14" t="s">
        <v>9146</v>
      </c>
      <c r="E653" s="14" t="s">
        <v>6956</v>
      </c>
      <c r="F653" s="14" t="s">
        <v>6957</v>
      </c>
      <c r="G653" s="14" t="s">
        <v>6927</v>
      </c>
    </row>
    <row r="654" spans="1:7" ht="135">
      <c r="A654" s="14" t="s">
        <v>6921</v>
      </c>
      <c r="B654" s="14" t="s">
        <v>9147</v>
      </c>
      <c r="C654" s="14" t="s">
        <v>9148</v>
      </c>
      <c r="D654" s="14" t="s">
        <v>9149</v>
      </c>
      <c r="E654" s="14" t="s">
        <v>6931</v>
      </c>
      <c r="F654" s="14" t="s">
        <v>6932</v>
      </c>
      <c r="G654" s="14" t="s">
        <v>9150</v>
      </c>
    </row>
    <row r="655" spans="1:7" ht="30">
      <c r="A655" s="14" t="s">
        <v>6921</v>
      </c>
      <c r="B655" s="14" t="s">
        <v>9151</v>
      </c>
      <c r="C655" s="14" t="s">
        <v>9152</v>
      </c>
      <c r="D655" s="14" t="s">
        <v>9153</v>
      </c>
      <c r="E655" s="14" t="s">
        <v>6956</v>
      </c>
      <c r="F655" s="14" t="s">
        <v>6957</v>
      </c>
      <c r="G655" s="14" t="s">
        <v>6927</v>
      </c>
    </row>
    <row r="656" spans="1:7" ht="240">
      <c r="A656" s="14" t="s">
        <v>6921</v>
      </c>
      <c r="B656" s="14" t="s">
        <v>9154</v>
      </c>
      <c r="C656" s="14" t="s">
        <v>9155</v>
      </c>
      <c r="D656" s="14" t="s">
        <v>9156</v>
      </c>
      <c r="E656" s="14" t="s">
        <v>6931</v>
      </c>
      <c r="F656" s="14" t="s">
        <v>6932</v>
      </c>
      <c r="G656" s="14" t="s">
        <v>9157</v>
      </c>
    </row>
    <row r="657" spans="1:7" ht="60">
      <c r="A657" s="14" t="s">
        <v>6921</v>
      </c>
      <c r="B657" s="14" t="s">
        <v>9158</v>
      </c>
      <c r="C657" s="14" t="s">
        <v>9159</v>
      </c>
      <c r="D657" s="14" t="s">
        <v>9160</v>
      </c>
      <c r="E657" s="14" t="s">
        <v>6931</v>
      </c>
      <c r="F657" s="14" t="s">
        <v>6932</v>
      </c>
      <c r="G657" s="14" t="s">
        <v>9161</v>
      </c>
    </row>
    <row r="658" spans="1:7" ht="60">
      <c r="A658" s="14" t="s">
        <v>6921</v>
      </c>
      <c r="B658" s="14" t="s">
        <v>9162</v>
      </c>
      <c r="C658" s="14" t="s">
        <v>9163</v>
      </c>
      <c r="D658" s="14" t="s">
        <v>9164</v>
      </c>
      <c r="E658" s="14" t="s">
        <v>6925</v>
      </c>
      <c r="F658" s="14" t="s">
        <v>6926</v>
      </c>
      <c r="G658" s="14" t="s">
        <v>6927</v>
      </c>
    </row>
    <row r="659" spans="1:7" ht="60">
      <c r="A659" s="14" t="s">
        <v>6921</v>
      </c>
      <c r="B659" s="14" t="s">
        <v>9165</v>
      </c>
      <c r="C659" s="14" t="s">
        <v>9166</v>
      </c>
      <c r="D659" s="14" t="s">
        <v>9167</v>
      </c>
      <c r="E659" s="14" t="s">
        <v>6931</v>
      </c>
      <c r="F659" s="14" t="s">
        <v>6932</v>
      </c>
      <c r="G659" s="14" t="s">
        <v>9168</v>
      </c>
    </row>
    <row r="660" spans="1:7" ht="45">
      <c r="A660" s="14" t="s">
        <v>6921</v>
      </c>
      <c r="B660" s="14" t="s">
        <v>9169</v>
      </c>
      <c r="C660" s="14" t="s">
        <v>9170</v>
      </c>
      <c r="D660" s="14" t="s">
        <v>9171</v>
      </c>
      <c r="E660" s="14" t="s">
        <v>6925</v>
      </c>
      <c r="F660" s="14" t="s">
        <v>6926</v>
      </c>
      <c r="G660" s="14" t="s">
        <v>6927</v>
      </c>
    </row>
    <row r="661" spans="1:7" ht="60">
      <c r="A661" s="14" t="s">
        <v>6921</v>
      </c>
      <c r="B661" s="14" t="s">
        <v>9172</v>
      </c>
      <c r="C661" s="14" t="s">
        <v>9173</v>
      </c>
      <c r="D661" s="14" t="s">
        <v>9174</v>
      </c>
      <c r="E661" s="14" t="s">
        <v>7006</v>
      </c>
      <c r="F661" s="14" t="s">
        <v>7308</v>
      </c>
      <c r="G661" s="14" t="s">
        <v>6927</v>
      </c>
    </row>
    <row r="662" spans="1:7" ht="30">
      <c r="A662" s="14" t="s">
        <v>6921</v>
      </c>
      <c r="B662" s="14" t="s">
        <v>9175</v>
      </c>
      <c r="C662" s="14" t="s">
        <v>9176</v>
      </c>
      <c r="D662" s="14" t="s">
        <v>9177</v>
      </c>
      <c r="E662" s="14" t="s">
        <v>6956</v>
      </c>
      <c r="F662" s="14" t="s">
        <v>6957</v>
      </c>
      <c r="G662" s="14" t="s">
        <v>6927</v>
      </c>
    </row>
    <row r="663" spans="1:7" ht="30">
      <c r="A663" s="14" t="s">
        <v>6921</v>
      </c>
      <c r="B663" s="14" t="s">
        <v>9178</v>
      </c>
      <c r="C663" s="14" t="s">
        <v>9179</v>
      </c>
      <c r="D663" s="14" t="s">
        <v>9180</v>
      </c>
      <c r="E663" s="14" t="s">
        <v>6956</v>
      </c>
      <c r="F663" s="14" t="s">
        <v>6957</v>
      </c>
      <c r="G663" s="14" t="s">
        <v>6927</v>
      </c>
    </row>
    <row r="664" spans="1:7" ht="270">
      <c r="A664" s="14" t="s">
        <v>6921</v>
      </c>
      <c r="B664" s="14" t="s">
        <v>9181</v>
      </c>
      <c r="C664" s="14" t="s">
        <v>9182</v>
      </c>
      <c r="D664" s="14" t="s">
        <v>9183</v>
      </c>
      <c r="E664" s="14" t="s">
        <v>7006</v>
      </c>
      <c r="F664" s="14" t="s">
        <v>7745</v>
      </c>
      <c r="G664" s="14" t="s">
        <v>9184</v>
      </c>
    </row>
    <row r="665" spans="1:7" ht="30">
      <c r="A665" s="14" t="s">
        <v>6921</v>
      </c>
      <c r="B665" s="14" t="s">
        <v>9185</v>
      </c>
      <c r="C665" s="14" t="s">
        <v>9186</v>
      </c>
      <c r="D665" s="14" t="s">
        <v>9187</v>
      </c>
      <c r="E665" s="14" t="s">
        <v>6956</v>
      </c>
      <c r="F665" s="14" t="s">
        <v>6957</v>
      </c>
      <c r="G665" s="14" t="s">
        <v>6927</v>
      </c>
    </row>
    <row r="666" spans="1:7" ht="30">
      <c r="A666" s="14" t="s">
        <v>6921</v>
      </c>
      <c r="B666" s="14" t="s">
        <v>9188</v>
      </c>
      <c r="C666" s="14" t="s">
        <v>9189</v>
      </c>
      <c r="D666" s="14" t="s">
        <v>9190</v>
      </c>
      <c r="E666" s="14" t="s">
        <v>6956</v>
      </c>
      <c r="F666" s="14" t="s">
        <v>6957</v>
      </c>
      <c r="G666" s="14" t="s">
        <v>6927</v>
      </c>
    </row>
    <row r="667" spans="1:7" ht="285">
      <c r="A667" s="14" t="s">
        <v>6921</v>
      </c>
      <c r="B667" s="14" t="s">
        <v>9191</v>
      </c>
      <c r="C667" s="14" t="s">
        <v>9192</v>
      </c>
      <c r="D667" s="14" t="s">
        <v>9193</v>
      </c>
      <c r="E667" s="14" t="s">
        <v>6931</v>
      </c>
      <c r="F667" s="14" t="s">
        <v>6932</v>
      </c>
      <c r="G667" s="14" t="s">
        <v>9194</v>
      </c>
    </row>
    <row r="668" spans="1:7" ht="30">
      <c r="A668" s="14" t="s">
        <v>6921</v>
      </c>
      <c r="B668" s="14" t="s">
        <v>9195</v>
      </c>
      <c r="C668" s="14" t="s">
        <v>9196</v>
      </c>
      <c r="D668" s="14" t="s">
        <v>9197</v>
      </c>
      <c r="E668" s="14" t="s">
        <v>6925</v>
      </c>
      <c r="F668" s="14" t="s">
        <v>6926</v>
      </c>
      <c r="G668" s="14" t="s">
        <v>6927</v>
      </c>
    </row>
    <row r="669" spans="1:7" ht="60">
      <c r="A669" s="14" t="s">
        <v>6921</v>
      </c>
      <c r="B669" s="14" t="s">
        <v>9198</v>
      </c>
      <c r="C669" s="14" t="s">
        <v>9199</v>
      </c>
      <c r="D669" s="14" t="s">
        <v>9200</v>
      </c>
      <c r="E669" s="14" t="s">
        <v>7006</v>
      </c>
      <c r="F669" s="14" t="s">
        <v>7232</v>
      </c>
      <c r="G669" s="14" t="s">
        <v>6927</v>
      </c>
    </row>
    <row r="670" spans="1:7" ht="45">
      <c r="A670" s="14" t="s">
        <v>6921</v>
      </c>
      <c r="B670" s="14" t="s">
        <v>9201</v>
      </c>
      <c r="C670" s="14" t="s">
        <v>9202</v>
      </c>
      <c r="D670" s="14" t="s">
        <v>9203</v>
      </c>
      <c r="E670" s="14" t="s">
        <v>6925</v>
      </c>
      <c r="F670" s="14" t="s">
        <v>6965</v>
      </c>
      <c r="G670" s="14" t="s">
        <v>6927</v>
      </c>
    </row>
    <row r="671" spans="1:7" ht="75">
      <c r="A671" s="14" t="s">
        <v>6921</v>
      </c>
      <c r="B671" s="14" t="s">
        <v>9204</v>
      </c>
      <c r="C671" s="14" t="s">
        <v>9205</v>
      </c>
      <c r="D671" s="14" t="s">
        <v>9206</v>
      </c>
      <c r="E671" s="14" t="s">
        <v>7006</v>
      </c>
      <c r="F671" s="14" t="s">
        <v>9050</v>
      </c>
      <c r="G671" s="14" t="s">
        <v>6927</v>
      </c>
    </row>
    <row r="672" spans="1:7" ht="45">
      <c r="A672" s="14" t="s">
        <v>6921</v>
      </c>
      <c r="B672" s="14" t="s">
        <v>9207</v>
      </c>
      <c r="C672" s="14" t="s">
        <v>9208</v>
      </c>
      <c r="D672" s="14" t="s">
        <v>9209</v>
      </c>
      <c r="E672" s="14" t="s">
        <v>6925</v>
      </c>
      <c r="F672" s="14" t="s">
        <v>6965</v>
      </c>
      <c r="G672" s="14" t="s">
        <v>6927</v>
      </c>
    </row>
    <row r="673" spans="1:7" ht="45">
      <c r="A673" s="14" t="s">
        <v>6921</v>
      </c>
      <c r="B673" s="14" t="s">
        <v>9210</v>
      </c>
      <c r="C673" s="14" t="s">
        <v>9211</v>
      </c>
      <c r="D673" s="14" t="s">
        <v>9212</v>
      </c>
      <c r="E673" s="14" t="s">
        <v>6931</v>
      </c>
      <c r="F673" s="14" t="s">
        <v>6932</v>
      </c>
      <c r="G673" s="14" t="s">
        <v>9213</v>
      </c>
    </row>
    <row r="674" spans="1:7" ht="30">
      <c r="A674" s="14" t="s">
        <v>6921</v>
      </c>
      <c r="B674" s="14" t="s">
        <v>9214</v>
      </c>
      <c r="C674" s="14" t="s">
        <v>9215</v>
      </c>
      <c r="D674" s="14" t="s">
        <v>9216</v>
      </c>
      <c r="E674" s="14" t="s">
        <v>6956</v>
      </c>
      <c r="F674" s="14" t="s">
        <v>6957</v>
      </c>
      <c r="G674" s="14" t="s">
        <v>6927</v>
      </c>
    </row>
    <row r="675" spans="1:7" ht="45">
      <c r="A675" s="14" t="s">
        <v>6921</v>
      </c>
      <c r="B675" s="14" t="s">
        <v>9217</v>
      </c>
      <c r="C675" s="14" t="s">
        <v>9218</v>
      </c>
      <c r="D675" s="14" t="s">
        <v>9219</v>
      </c>
      <c r="E675" s="14" t="s">
        <v>6956</v>
      </c>
      <c r="F675" s="14" t="s">
        <v>6957</v>
      </c>
      <c r="G675" s="14" t="s">
        <v>6927</v>
      </c>
    </row>
    <row r="676" spans="1:7" ht="30">
      <c r="A676" s="14" t="s">
        <v>6921</v>
      </c>
      <c r="B676" s="14" t="s">
        <v>9220</v>
      </c>
      <c r="C676" s="14" t="s">
        <v>9221</v>
      </c>
      <c r="D676" s="14" t="s">
        <v>9222</v>
      </c>
      <c r="E676" s="14" t="s">
        <v>6956</v>
      </c>
      <c r="F676" s="14" t="s">
        <v>6957</v>
      </c>
      <c r="G676" s="14" t="s">
        <v>6927</v>
      </c>
    </row>
    <row r="677" spans="1:7" ht="75">
      <c r="A677" s="14" t="s">
        <v>6921</v>
      </c>
      <c r="B677" s="14" t="s">
        <v>9223</v>
      </c>
      <c r="C677" s="14" t="s">
        <v>9224</v>
      </c>
      <c r="D677" s="14" t="s">
        <v>9225</v>
      </c>
      <c r="E677" s="14" t="s">
        <v>6931</v>
      </c>
      <c r="F677" s="14" t="s">
        <v>6932</v>
      </c>
      <c r="G677" s="14" t="s">
        <v>9226</v>
      </c>
    </row>
    <row r="678" spans="1:7" ht="75">
      <c r="A678" s="14" t="s">
        <v>6921</v>
      </c>
      <c r="B678" s="14" t="s">
        <v>9227</v>
      </c>
      <c r="C678" s="14" t="s">
        <v>9228</v>
      </c>
      <c r="D678" s="14" t="s">
        <v>9229</v>
      </c>
      <c r="E678" s="14" t="s">
        <v>6925</v>
      </c>
      <c r="F678" s="14" t="s">
        <v>6969</v>
      </c>
      <c r="G678" s="14" t="s">
        <v>6927</v>
      </c>
    </row>
    <row r="679" spans="1:7" ht="60">
      <c r="A679" s="14" t="s">
        <v>6921</v>
      </c>
      <c r="B679" s="14" t="s">
        <v>9230</v>
      </c>
      <c r="C679" s="14" t="s">
        <v>9231</v>
      </c>
      <c r="D679" s="14" t="s">
        <v>9232</v>
      </c>
      <c r="E679" s="14" t="s">
        <v>6925</v>
      </c>
      <c r="F679" s="14" t="s">
        <v>6969</v>
      </c>
      <c r="G679" s="14" t="s">
        <v>6927</v>
      </c>
    </row>
    <row r="680" spans="1:7" ht="30">
      <c r="A680" s="14" t="s">
        <v>6921</v>
      </c>
      <c r="B680" s="14" t="s">
        <v>9233</v>
      </c>
      <c r="C680" s="14" t="s">
        <v>9234</v>
      </c>
      <c r="D680" s="14" t="s">
        <v>9235</v>
      </c>
      <c r="E680" s="14" t="s">
        <v>7006</v>
      </c>
      <c r="F680" s="14" t="s">
        <v>9236</v>
      </c>
      <c r="G680" s="14" t="s">
        <v>6927</v>
      </c>
    </row>
    <row r="681" spans="1:7" ht="60">
      <c r="A681" s="14" t="s">
        <v>6921</v>
      </c>
      <c r="B681" s="14" t="s">
        <v>9237</v>
      </c>
      <c r="C681" s="14" t="s">
        <v>9238</v>
      </c>
      <c r="D681" s="14" t="s">
        <v>9239</v>
      </c>
      <c r="E681" s="14" t="s">
        <v>6925</v>
      </c>
      <c r="F681" s="14" t="s">
        <v>6965</v>
      </c>
      <c r="G681" s="14" t="s">
        <v>6927</v>
      </c>
    </row>
    <row r="682" spans="1:7" ht="60">
      <c r="A682" s="14" t="s">
        <v>6921</v>
      </c>
      <c r="B682" s="14" t="s">
        <v>9240</v>
      </c>
      <c r="C682" s="14" t="s">
        <v>9241</v>
      </c>
      <c r="D682" s="14" t="s">
        <v>9242</v>
      </c>
      <c r="E682" s="14" t="s">
        <v>6925</v>
      </c>
      <c r="F682" s="14" t="s">
        <v>6926</v>
      </c>
      <c r="G682" s="14" t="s">
        <v>6927</v>
      </c>
    </row>
    <row r="683" spans="1:7" ht="135">
      <c r="A683" s="14" t="s">
        <v>6921</v>
      </c>
      <c r="B683" s="14" t="s">
        <v>9243</v>
      </c>
      <c r="C683" s="14" t="s">
        <v>9244</v>
      </c>
      <c r="D683" s="14" t="s">
        <v>9245</v>
      </c>
      <c r="E683" s="14" t="s">
        <v>6931</v>
      </c>
      <c r="F683" s="14" t="s">
        <v>6932</v>
      </c>
      <c r="G683" s="14" t="s">
        <v>9246</v>
      </c>
    </row>
    <row r="684" spans="1:7" ht="30">
      <c r="A684" s="14" t="s">
        <v>6921</v>
      </c>
      <c r="B684" s="14" t="s">
        <v>9247</v>
      </c>
      <c r="C684" s="14" t="s">
        <v>9248</v>
      </c>
      <c r="D684" s="14" t="s">
        <v>9249</v>
      </c>
      <c r="E684" s="14" t="s">
        <v>6956</v>
      </c>
      <c r="F684" s="14" t="s">
        <v>6957</v>
      </c>
      <c r="G684" s="14" t="s">
        <v>6927</v>
      </c>
    </row>
    <row r="685" spans="1:7" ht="90">
      <c r="A685" s="14" t="s">
        <v>6921</v>
      </c>
      <c r="B685" s="14" t="s">
        <v>9250</v>
      </c>
      <c r="C685" s="14" t="s">
        <v>9251</v>
      </c>
      <c r="D685" s="14" t="s">
        <v>9252</v>
      </c>
      <c r="E685" s="14" t="s">
        <v>6931</v>
      </c>
      <c r="F685" s="14" t="s">
        <v>6932</v>
      </c>
      <c r="G685" s="14" t="s">
        <v>9253</v>
      </c>
    </row>
    <row r="686" spans="1:7" ht="150">
      <c r="A686" s="14" t="s">
        <v>6921</v>
      </c>
      <c r="B686" s="14" t="s">
        <v>9254</v>
      </c>
      <c r="C686" s="14" t="s">
        <v>9255</v>
      </c>
      <c r="D686" s="14" t="s">
        <v>9256</v>
      </c>
      <c r="E686" s="14" t="s">
        <v>6931</v>
      </c>
      <c r="F686" s="14" t="s">
        <v>6932</v>
      </c>
      <c r="G686" s="14" t="s">
        <v>6952</v>
      </c>
    </row>
    <row r="687" spans="1:7" ht="75">
      <c r="A687" s="14" t="s">
        <v>6921</v>
      </c>
      <c r="B687" s="14" t="s">
        <v>9257</v>
      </c>
      <c r="C687" s="14" t="s">
        <v>9258</v>
      </c>
      <c r="D687" s="14" t="s">
        <v>9259</v>
      </c>
      <c r="E687" s="14" t="s">
        <v>6925</v>
      </c>
      <c r="F687" s="14" t="s">
        <v>6965</v>
      </c>
      <c r="G687" s="14" t="s">
        <v>6927</v>
      </c>
    </row>
    <row r="688" spans="1:7" ht="45">
      <c r="A688" s="14" t="s">
        <v>6921</v>
      </c>
      <c r="B688" s="14" t="s">
        <v>9260</v>
      </c>
      <c r="C688" s="14" t="s">
        <v>9261</v>
      </c>
      <c r="D688" s="14" t="s">
        <v>9262</v>
      </c>
      <c r="E688" s="14" t="s">
        <v>6985</v>
      </c>
      <c r="F688" s="14" t="s">
        <v>9082</v>
      </c>
      <c r="G688" s="14" t="s">
        <v>6927</v>
      </c>
    </row>
    <row r="689" spans="1:7" ht="60">
      <c r="A689" s="14" t="s">
        <v>6921</v>
      </c>
      <c r="B689" s="14" t="s">
        <v>9263</v>
      </c>
      <c r="C689" s="14" t="s">
        <v>9264</v>
      </c>
      <c r="D689" s="14" t="s">
        <v>9265</v>
      </c>
      <c r="E689" s="14" t="s">
        <v>6956</v>
      </c>
      <c r="F689" s="14" t="s">
        <v>6957</v>
      </c>
      <c r="G689" s="14" t="s">
        <v>6927</v>
      </c>
    </row>
    <row r="690" spans="1:7" ht="60">
      <c r="A690" s="14" t="s">
        <v>6921</v>
      </c>
      <c r="B690" s="14" t="s">
        <v>9266</v>
      </c>
      <c r="C690" s="14" t="s">
        <v>9267</v>
      </c>
      <c r="D690" s="14" t="s">
        <v>9268</v>
      </c>
      <c r="E690" s="14" t="s">
        <v>6956</v>
      </c>
      <c r="F690" s="14" t="s">
        <v>6957</v>
      </c>
      <c r="G690" s="14" t="s">
        <v>6927</v>
      </c>
    </row>
    <row r="691" spans="1:7" ht="75">
      <c r="A691" s="14" t="s">
        <v>6921</v>
      </c>
      <c r="B691" s="14" t="s">
        <v>9269</v>
      </c>
      <c r="C691" s="14" t="s">
        <v>9270</v>
      </c>
      <c r="D691" s="14" t="s">
        <v>9271</v>
      </c>
      <c r="E691" s="14" t="s">
        <v>6931</v>
      </c>
      <c r="F691" s="14" t="s">
        <v>6932</v>
      </c>
      <c r="G691" s="14" t="s">
        <v>9272</v>
      </c>
    </row>
    <row r="692" spans="1:7" ht="180">
      <c r="A692" s="14" t="s">
        <v>6921</v>
      </c>
      <c r="B692" s="14" t="s">
        <v>9273</v>
      </c>
      <c r="C692" s="14" t="s">
        <v>9274</v>
      </c>
      <c r="D692" s="14" t="s">
        <v>9275</v>
      </c>
      <c r="E692" s="14" t="s">
        <v>6931</v>
      </c>
      <c r="F692" s="14" t="s">
        <v>6932</v>
      </c>
      <c r="G692" s="14" t="s">
        <v>9276</v>
      </c>
    </row>
    <row r="693" spans="1:7" ht="165">
      <c r="A693" s="14" t="s">
        <v>6921</v>
      </c>
      <c r="B693" s="14" t="s">
        <v>9277</v>
      </c>
      <c r="C693" s="14" t="s">
        <v>9278</v>
      </c>
      <c r="D693" s="14" t="s">
        <v>9279</v>
      </c>
      <c r="E693" s="14" t="s">
        <v>6931</v>
      </c>
      <c r="F693" s="14" t="s">
        <v>6932</v>
      </c>
      <c r="G693" s="14" t="s">
        <v>9280</v>
      </c>
    </row>
    <row r="694" spans="1:7" ht="60">
      <c r="A694" s="14" t="s">
        <v>6921</v>
      </c>
      <c r="B694" s="14" t="s">
        <v>9281</v>
      </c>
      <c r="C694" s="14" t="s">
        <v>9282</v>
      </c>
      <c r="D694" s="14" t="s">
        <v>9283</v>
      </c>
      <c r="E694" s="14" t="s">
        <v>6931</v>
      </c>
      <c r="F694" s="14" t="s">
        <v>6932</v>
      </c>
      <c r="G694" s="14" t="s">
        <v>9284</v>
      </c>
    </row>
    <row r="695" spans="1:7" ht="45">
      <c r="A695" s="14" t="s">
        <v>6921</v>
      </c>
      <c r="B695" s="14" t="s">
        <v>9285</v>
      </c>
      <c r="C695" s="14" t="s">
        <v>9286</v>
      </c>
      <c r="D695" s="14" t="s">
        <v>9287</v>
      </c>
      <c r="E695" s="14" t="s">
        <v>6925</v>
      </c>
      <c r="F695" s="14" t="s">
        <v>6926</v>
      </c>
      <c r="G695" s="14" t="s">
        <v>6927</v>
      </c>
    </row>
    <row r="696" spans="1:7" ht="60">
      <c r="A696" s="14" t="s">
        <v>6921</v>
      </c>
      <c r="B696" s="14" t="s">
        <v>9288</v>
      </c>
      <c r="C696" s="14" t="s">
        <v>9289</v>
      </c>
      <c r="D696" s="14" t="s">
        <v>9290</v>
      </c>
      <c r="E696" s="14" t="s">
        <v>6925</v>
      </c>
      <c r="F696" s="14" t="s">
        <v>7067</v>
      </c>
      <c r="G696" s="14" t="s">
        <v>6927</v>
      </c>
    </row>
    <row r="697" spans="1:7" ht="60">
      <c r="A697" s="14" t="s">
        <v>6921</v>
      </c>
      <c r="B697" s="14" t="s">
        <v>9291</v>
      </c>
      <c r="C697" s="14" t="s">
        <v>9292</v>
      </c>
      <c r="D697" s="14" t="s">
        <v>9293</v>
      </c>
      <c r="E697" s="14" t="s">
        <v>6931</v>
      </c>
      <c r="F697" s="14" t="s">
        <v>6932</v>
      </c>
      <c r="G697" s="14" t="s">
        <v>9294</v>
      </c>
    </row>
    <row r="698" spans="1:7" ht="45">
      <c r="A698" s="14" t="s">
        <v>6921</v>
      </c>
      <c r="B698" s="14" t="s">
        <v>9295</v>
      </c>
      <c r="C698" s="14" t="s">
        <v>9296</v>
      </c>
      <c r="D698" s="14" t="s">
        <v>9297</v>
      </c>
      <c r="E698" s="14" t="s">
        <v>6956</v>
      </c>
      <c r="F698" s="14" t="s">
        <v>6957</v>
      </c>
      <c r="G698" s="14" t="s">
        <v>6927</v>
      </c>
    </row>
    <row r="699" spans="1:7" ht="75">
      <c r="A699" s="14" t="s">
        <v>6921</v>
      </c>
      <c r="B699" s="14" t="s">
        <v>9298</v>
      </c>
      <c r="C699" s="14" t="s">
        <v>9299</v>
      </c>
      <c r="D699" s="14" t="s">
        <v>9300</v>
      </c>
      <c r="E699" s="14" t="s">
        <v>6925</v>
      </c>
      <c r="F699" s="14" t="s">
        <v>6969</v>
      </c>
      <c r="G699" s="14" t="s">
        <v>6927</v>
      </c>
    </row>
    <row r="700" spans="1:7" ht="45">
      <c r="A700" s="14" t="s">
        <v>6921</v>
      </c>
      <c r="B700" s="14" t="s">
        <v>9301</v>
      </c>
      <c r="C700" s="14" t="s">
        <v>9302</v>
      </c>
      <c r="D700" s="14" t="s">
        <v>9303</v>
      </c>
      <c r="E700" s="14" t="s">
        <v>6956</v>
      </c>
      <c r="F700" s="14" t="s">
        <v>6957</v>
      </c>
      <c r="G700" s="14" t="s">
        <v>6927</v>
      </c>
    </row>
    <row r="701" spans="1:7" ht="30">
      <c r="A701" s="14" t="s">
        <v>6921</v>
      </c>
      <c r="B701" s="14" t="s">
        <v>9304</v>
      </c>
      <c r="C701" s="14" t="s">
        <v>9305</v>
      </c>
      <c r="D701" s="14" t="s">
        <v>9306</v>
      </c>
      <c r="E701" s="14" t="s">
        <v>6925</v>
      </c>
      <c r="F701" s="14" t="s">
        <v>6926</v>
      </c>
      <c r="G701" s="14" t="s">
        <v>6927</v>
      </c>
    </row>
    <row r="702" spans="1:7" ht="45">
      <c r="A702" s="14" t="s">
        <v>6921</v>
      </c>
      <c r="B702" s="14" t="s">
        <v>9307</v>
      </c>
      <c r="C702" s="14" t="s">
        <v>9308</v>
      </c>
      <c r="D702" s="14" t="s">
        <v>9309</v>
      </c>
      <c r="E702" s="14" t="s">
        <v>6931</v>
      </c>
      <c r="F702" s="14" t="s">
        <v>6932</v>
      </c>
      <c r="G702" s="14" t="s">
        <v>9310</v>
      </c>
    </row>
    <row r="703" spans="1:7" ht="60">
      <c r="A703" s="14" t="s">
        <v>6921</v>
      </c>
      <c r="B703" s="14" t="s">
        <v>9311</v>
      </c>
      <c r="C703" s="14" t="s">
        <v>9312</v>
      </c>
      <c r="D703" s="14" t="s">
        <v>9313</v>
      </c>
      <c r="E703" s="14" t="s">
        <v>6931</v>
      </c>
      <c r="F703" s="14" t="s">
        <v>6932</v>
      </c>
      <c r="G703" s="14" t="s">
        <v>9314</v>
      </c>
    </row>
    <row r="704" spans="1:7" ht="90">
      <c r="A704" s="14" t="s">
        <v>6921</v>
      </c>
      <c r="B704" s="14" t="s">
        <v>9315</v>
      </c>
      <c r="C704" s="14" t="s">
        <v>9316</v>
      </c>
      <c r="D704" s="14" t="s">
        <v>9317</v>
      </c>
      <c r="E704" s="14" t="s">
        <v>6931</v>
      </c>
      <c r="F704" s="14" t="s">
        <v>6932</v>
      </c>
      <c r="G704" s="14" t="s">
        <v>9318</v>
      </c>
    </row>
    <row r="705" spans="1:7" ht="75">
      <c r="A705" s="14" t="s">
        <v>6921</v>
      </c>
      <c r="B705" s="14" t="s">
        <v>9319</v>
      </c>
      <c r="C705" s="14" t="s">
        <v>9320</v>
      </c>
      <c r="D705" s="14" t="s">
        <v>9321</v>
      </c>
      <c r="E705" s="14" t="s">
        <v>6931</v>
      </c>
      <c r="F705" s="14" t="s">
        <v>6932</v>
      </c>
      <c r="G705" s="14" t="s">
        <v>6952</v>
      </c>
    </row>
    <row r="706" spans="1:7" ht="45">
      <c r="A706" s="14" t="s">
        <v>6921</v>
      </c>
      <c r="B706" s="14" t="s">
        <v>9322</v>
      </c>
      <c r="C706" s="14" t="s">
        <v>9323</v>
      </c>
      <c r="D706" s="14" t="s">
        <v>9324</v>
      </c>
      <c r="E706" s="14" t="s">
        <v>6931</v>
      </c>
      <c r="F706" s="14" t="s">
        <v>6932</v>
      </c>
      <c r="G706" s="14" t="s">
        <v>6952</v>
      </c>
    </row>
    <row r="707" spans="1:7" ht="45">
      <c r="A707" s="14" t="s">
        <v>6921</v>
      </c>
      <c r="B707" s="14" t="s">
        <v>9325</v>
      </c>
      <c r="C707" s="14" t="s">
        <v>9326</v>
      </c>
      <c r="D707" s="14" t="s">
        <v>9327</v>
      </c>
      <c r="E707" s="14" t="s">
        <v>6925</v>
      </c>
      <c r="F707" s="14" t="s">
        <v>7067</v>
      </c>
      <c r="G707" s="14" t="s">
        <v>6927</v>
      </c>
    </row>
    <row r="708" spans="1:7" ht="30">
      <c r="A708" s="14" t="s">
        <v>6921</v>
      </c>
      <c r="B708" s="14" t="s">
        <v>9328</v>
      </c>
      <c r="C708" s="14" t="s">
        <v>9329</v>
      </c>
      <c r="D708" s="14" t="s">
        <v>9330</v>
      </c>
      <c r="E708" s="14" t="s">
        <v>6925</v>
      </c>
      <c r="F708" s="14" t="s">
        <v>6926</v>
      </c>
      <c r="G708" s="14" t="s">
        <v>6927</v>
      </c>
    </row>
    <row r="709" spans="1:7" ht="75">
      <c r="A709" s="14" t="s">
        <v>6921</v>
      </c>
      <c r="B709" s="14" t="s">
        <v>9331</v>
      </c>
      <c r="C709" s="14" t="s">
        <v>9332</v>
      </c>
      <c r="D709" s="14" t="s">
        <v>9333</v>
      </c>
      <c r="E709" s="14" t="s">
        <v>6931</v>
      </c>
      <c r="F709" s="14" t="s">
        <v>6932</v>
      </c>
      <c r="G709" s="14" t="s">
        <v>6952</v>
      </c>
    </row>
    <row r="710" spans="1:7" ht="45">
      <c r="A710" s="14" t="s">
        <v>6921</v>
      </c>
      <c r="B710" s="14" t="s">
        <v>9334</v>
      </c>
      <c r="C710" s="14" t="s">
        <v>9335</v>
      </c>
      <c r="D710" s="14" t="s">
        <v>9336</v>
      </c>
      <c r="E710" s="14" t="s">
        <v>6925</v>
      </c>
      <c r="F710" s="14" t="s">
        <v>6926</v>
      </c>
      <c r="G710" s="14" t="s">
        <v>6927</v>
      </c>
    </row>
    <row r="711" spans="1:7" ht="135">
      <c r="A711" s="14" t="s">
        <v>6921</v>
      </c>
      <c r="B711" s="14" t="s">
        <v>9337</v>
      </c>
      <c r="C711" s="14" t="s">
        <v>9338</v>
      </c>
      <c r="D711" s="14" t="s">
        <v>9339</v>
      </c>
      <c r="E711" s="14" t="s">
        <v>6925</v>
      </c>
      <c r="F711" s="14" t="s">
        <v>6932</v>
      </c>
      <c r="G711" s="14" t="s">
        <v>6927</v>
      </c>
    </row>
    <row r="712" spans="1:7" ht="409.5">
      <c r="A712" s="14" t="s">
        <v>6921</v>
      </c>
      <c r="B712" s="14" t="s">
        <v>9340</v>
      </c>
      <c r="C712" s="14" t="s">
        <v>9341</v>
      </c>
      <c r="D712" s="14" t="s">
        <v>9342</v>
      </c>
      <c r="E712" s="14" t="s">
        <v>6931</v>
      </c>
      <c r="F712" s="14" t="s">
        <v>6932</v>
      </c>
      <c r="G712" s="14" t="s">
        <v>9343</v>
      </c>
    </row>
    <row r="713" spans="1:7" ht="45">
      <c r="A713" s="14" t="s">
        <v>6921</v>
      </c>
      <c r="B713" s="14" t="s">
        <v>9344</v>
      </c>
      <c r="C713" s="14" t="s">
        <v>9345</v>
      </c>
      <c r="D713" s="14" t="s">
        <v>9346</v>
      </c>
      <c r="E713" s="14" t="s">
        <v>6925</v>
      </c>
      <c r="F713" s="14" t="s">
        <v>6969</v>
      </c>
      <c r="G713" s="14" t="s">
        <v>6927</v>
      </c>
    </row>
    <row r="714" spans="1:7" ht="30">
      <c r="A714" s="14" t="s">
        <v>6921</v>
      </c>
      <c r="B714" s="14" t="s">
        <v>9347</v>
      </c>
      <c r="C714" s="14" t="s">
        <v>9348</v>
      </c>
      <c r="D714" s="14" t="s">
        <v>9349</v>
      </c>
      <c r="E714" s="14" t="s">
        <v>6956</v>
      </c>
      <c r="F714" s="14" t="s">
        <v>6957</v>
      </c>
      <c r="G714" s="14" t="s">
        <v>6927</v>
      </c>
    </row>
    <row r="715" spans="1:7" ht="30">
      <c r="A715" s="14" t="s">
        <v>6921</v>
      </c>
      <c r="B715" s="14" t="s">
        <v>9350</v>
      </c>
      <c r="C715" s="14" t="s">
        <v>9351</v>
      </c>
      <c r="D715" s="14" t="s">
        <v>9352</v>
      </c>
      <c r="E715" s="14" t="s">
        <v>6925</v>
      </c>
      <c r="F715" s="14" t="s">
        <v>7067</v>
      </c>
      <c r="G715" s="14" t="s">
        <v>6927</v>
      </c>
    </row>
    <row r="716" spans="1:7" ht="105">
      <c r="A716" s="14" t="s">
        <v>6921</v>
      </c>
      <c r="B716" s="14" t="s">
        <v>9353</v>
      </c>
      <c r="C716" s="14" t="s">
        <v>9354</v>
      </c>
      <c r="D716" s="14" t="s">
        <v>9355</v>
      </c>
      <c r="E716" s="14" t="s">
        <v>6931</v>
      </c>
      <c r="F716" s="14" t="s">
        <v>6932</v>
      </c>
      <c r="G716" s="14" t="s">
        <v>9356</v>
      </c>
    </row>
    <row r="717" spans="1:7" ht="60">
      <c r="A717" s="14" t="s">
        <v>6921</v>
      </c>
      <c r="B717" s="14" t="s">
        <v>9357</v>
      </c>
      <c r="C717" s="14" t="s">
        <v>9358</v>
      </c>
      <c r="D717" s="14" t="s">
        <v>9359</v>
      </c>
      <c r="E717" s="14" t="s">
        <v>6931</v>
      </c>
      <c r="F717" s="14" t="s">
        <v>6932</v>
      </c>
      <c r="G717" s="14" t="s">
        <v>6952</v>
      </c>
    </row>
    <row r="718" spans="1:7" ht="120">
      <c r="A718" s="14" t="s">
        <v>6921</v>
      </c>
      <c r="B718" s="14" t="s">
        <v>9360</v>
      </c>
      <c r="C718" s="14" t="s">
        <v>9361</v>
      </c>
      <c r="D718" s="14" t="s">
        <v>9362</v>
      </c>
      <c r="E718" s="14" t="s">
        <v>6925</v>
      </c>
      <c r="F718" s="14" t="s">
        <v>6926</v>
      </c>
      <c r="G718" s="14" t="s">
        <v>6927</v>
      </c>
    </row>
    <row r="719" spans="1:7" ht="30">
      <c r="A719" s="14" t="s">
        <v>6921</v>
      </c>
      <c r="B719" s="14" t="s">
        <v>9363</v>
      </c>
      <c r="C719" s="14" t="s">
        <v>9364</v>
      </c>
      <c r="D719" s="14" t="s">
        <v>9365</v>
      </c>
      <c r="E719" s="14" t="s">
        <v>6956</v>
      </c>
      <c r="F719" s="14" t="s">
        <v>6957</v>
      </c>
      <c r="G719" s="14" t="s">
        <v>6927</v>
      </c>
    </row>
    <row r="720" spans="1:7" ht="45">
      <c r="A720" s="14" t="s">
        <v>6921</v>
      </c>
      <c r="B720" s="14" t="s">
        <v>9366</v>
      </c>
      <c r="C720" s="14" t="s">
        <v>9367</v>
      </c>
      <c r="D720" s="14" t="s">
        <v>9368</v>
      </c>
      <c r="E720" s="14" t="s">
        <v>6956</v>
      </c>
      <c r="F720" s="14" t="s">
        <v>6957</v>
      </c>
      <c r="G720" s="14" t="s">
        <v>6927</v>
      </c>
    </row>
    <row r="721" spans="1:7" ht="60">
      <c r="A721" s="14" t="s">
        <v>6921</v>
      </c>
      <c r="B721" s="14" t="s">
        <v>9369</v>
      </c>
      <c r="C721" s="14" t="s">
        <v>9370</v>
      </c>
      <c r="D721" s="14" t="s">
        <v>9371</v>
      </c>
      <c r="E721" s="14" t="s">
        <v>6925</v>
      </c>
      <c r="F721" s="14" t="s">
        <v>6969</v>
      </c>
      <c r="G721" s="14" t="s">
        <v>6927</v>
      </c>
    </row>
    <row r="722" spans="1:7" ht="75">
      <c r="A722" s="14" t="s">
        <v>6921</v>
      </c>
      <c r="B722" s="14" t="s">
        <v>9372</v>
      </c>
      <c r="C722" s="14" t="s">
        <v>9373</v>
      </c>
      <c r="D722" s="14" t="s">
        <v>9374</v>
      </c>
      <c r="E722" s="14" t="s">
        <v>6925</v>
      </c>
      <c r="F722" s="14" t="s">
        <v>6926</v>
      </c>
      <c r="G722" s="14" t="s">
        <v>6927</v>
      </c>
    </row>
    <row r="723" spans="1:7" ht="45">
      <c r="A723" s="14" t="s">
        <v>6921</v>
      </c>
      <c r="B723" s="14" t="s">
        <v>9375</v>
      </c>
      <c r="C723" s="14" t="s">
        <v>9376</v>
      </c>
      <c r="D723" s="14" t="s">
        <v>9377</v>
      </c>
      <c r="E723" s="14" t="s">
        <v>6925</v>
      </c>
      <c r="F723" s="14" t="s">
        <v>7067</v>
      </c>
      <c r="G723" s="14" t="s">
        <v>6927</v>
      </c>
    </row>
    <row r="724" spans="1:7" ht="135">
      <c r="A724" s="14" t="s">
        <v>6921</v>
      </c>
      <c r="B724" s="14" t="s">
        <v>9378</v>
      </c>
      <c r="C724" s="14" t="s">
        <v>9379</v>
      </c>
      <c r="D724" s="14" t="s">
        <v>9380</v>
      </c>
      <c r="E724" s="14" t="s">
        <v>6931</v>
      </c>
      <c r="F724" s="14" t="s">
        <v>6932</v>
      </c>
      <c r="G724" s="14" t="s">
        <v>9381</v>
      </c>
    </row>
    <row r="725" spans="1:7" ht="30">
      <c r="A725" s="14" t="s">
        <v>6921</v>
      </c>
      <c r="B725" s="14" t="s">
        <v>9382</v>
      </c>
      <c r="C725" s="14" t="s">
        <v>9383</v>
      </c>
      <c r="D725" s="14" t="s">
        <v>9384</v>
      </c>
      <c r="E725" s="14" t="s">
        <v>6925</v>
      </c>
      <c r="F725" s="14" t="s">
        <v>9385</v>
      </c>
      <c r="G725" s="14" t="s">
        <v>6927</v>
      </c>
    </row>
    <row r="726" spans="1:7" ht="75">
      <c r="A726" s="14" t="s">
        <v>6921</v>
      </c>
      <c r="B726" s="14" t="s">
        <v>9386</v>
      </c>
      <c r="C726" s="14" t="s">
        <v>9387</v>
      </c>
      <c r="D726" s="14" t="s">
        <v>9388</v>
      </c>
      <c r="E726" s="14" t="s">
        <v>6931</v>
      </c>
      <c r="F726" s="14" t="s">
        <v>6932</v>
      </c>
      <c r="G726" s="14" t="s">
        <v>6952</v>
      </c>
    </row>
    <row r="727" spans="1:7" ht="60">
      <c r="A727" s="14" t="s">
        <v>6921</v>
      </c>
      <c r="B727" s="14" t="s">
        <v>9389</v>
      </c>
      <c r="C727" s="14" t="s">
        <v>9390</v>
      </c>
      <c r="D727" s="14" t="s">
        <v>9391</v>
      </c>
      <c r="E727" s="14" t="s">
        <v>6925</v>
      </c>
      <c r="F727" s="14" t="s">
        <v>6965</v>
      </c>
      <c r="G727" s="14" t="s">
        <v>6927</v>
      </c>
    </row>
    <row r="728" spans="1:7" ht="30">
      <c r="A728" s="14" t="s">
        <v>6921</v>
      </c>
      <c r="B728" s="14" t="s">
        <v>9392</v>
      </c>
      <c r="C728" s="14" t="s">
        <v>9393</v>
      </c>
      <c r="D728" s="14" t="s">
        <v>9394</v>
      </c>
      <c r="E728" s="14" t="s">
        <v>6925</v>
      </c>
      <c r="F728" s="14" t="s">
        <v>6969</v>
      </c>
      <c r="G728" s="14" t="s">
        <v>6927</v>
      </c>
    </row>
    <row r="729" spans="1:7" ht="30">
      <c r="A729" s="14" t="s">
        <v>6921</v>
      </c>
      <c r="B729" s="14" t="s">
        <v>9395</v>
      </c>
      <c r="C729" s="14" t="s">
        <v>9396</v>
      </c>
      <c r="D729" s="14" t="s">
        <v>9397</v>
      </c>
      <c r="E729" s="14" t="s">
        <v>6956</v>
      </c>
      <c r="F729" s="14" t="s">
        <v>6957</v>
      </c>
      <c r="G729" s="14" t="s">
        <v>6927</v>
      </c>
    </row>
    <row r="730" spans="1:7" ht="30">
      <c r="A730" s="14" t="s">
        <v>6921</v>
      </c>
      <c r="B730" s="14" t="s">
        <v>9398</v>
      </c>
      <c r="C730" s="14" t="s">
        <v>9399</v>
      </c>
      <c r="D730" s="14" t="s">
        <v>9400</v>
      </c>
      <c r="E730" s="14" t="s">
        <v>7006</v>
      </c>
      <c r="F730" s="14" t="s">
        <v>7007</v>
      </c>
      <c r="G730" s="14" t="s">
        <v>6927</v>
      </c>
    </row>
    <row r="731" spans="1:7" ht="30">
      <c r="A731" s="14" t="s">
        <v>6921</v>
      </c>
      <c r="B731" s="14" t="s">
        <v>9401</v>
      </c>
      <c r="C731" s="14" t="s">
        <v>9402</v>
      </c>
      <c r="D731" s="14" t="s">
        <v>9403</v>
      </c>
      <c r="E731" s="14" t="s">
        <v>6925</v>
      </c>
      <c r="F731" s="14" t="s">
        <v>6926</v>
      </c>
      <c r="G731" s="14" t="s">
        <v>6927</v>
      </c>
    </row>
    <row r="732" spans="1:7" ht="30">
      <c r="A732" s="14" t="s">
        <v>6921</v>
      </c>
      <c r="B732" s="14" t="s">
        <v>9404</v>
      </c>
      <c r="C732" s="14" t="s">
        <v>9405</v>
      </c>
      <c r="D732" s="14" t="s">
        <v>9406</v>
      </c>
      <c r="E732" s="14" t="s">
        <v>6956</v>
      </c>
      <c r="F732" s="14" t="s">
        <v>6957</v>
      </c>
      <c r="G732" s="14" t="s">
        <v>6927</v>
      </c>
    </row>
    <row r="733" spans="1:7" ht="60">
      <c r="A733" s="14" t="s">
        <v>6921</v>
      </c>
      <c r="B733" s="14" t="s">
        <v>9407</v>
      </c>
      <c r="C733" s="14" t="s">
        <v>9408</v>
      </c>
      <c r="D733" s="14" t="s">
        <v>9409</v>
      </c>
      <c r="E733" s="14" t="s">
        <v>6925</v>
      </c>
      <c r="F733" s="14" t="s">
        <v>7067</v>
      </c>
      <c r="G733" s="14" t="s">
        <v>6927</v>
      </c>
    </row>
    <row r="734" spans="1:7" ht="165">
      <c r="A734" s="14" t="s">
        <v>6921</v>
      </c>
      <c r="B734" s="14" t="s">
        <v>9410</v>
      </c>
      <c r="C734" s="14" t="s">
        <v>9411</v>
      </c>
      <c r="D734" s="14" t="s">
        <v>9412</v>
      </c>
      <c r="E734" s="14" t="s">
        <v>6931</v>
      </c>
      <c r="F734" s="14" t="s">
        <v>6932</v>
      </c>
      <c r="G734" s="14" t="s">
        <v>9413</v>
      </c>
    </row>
    <row r="735" spans="1:7" ht="30">
      <c r="A735" s="14" t="s">
        <v>6921</v>
      </c>
      <c r="B735" s="14" t="s">
        <v>9414</v>
      </c>
      <c r="C735" s="14" t="s">
        <v>9415</v>
      </c>
      <c r="D735" s="14" t="s">
        <v>9416</v>
      </c>
      <c r="E735" s="14" t="s">
        <v>6925</v>
      </c>
      <c r="F735" s="14" t="s">
        <v>6926</v>
      </c>
      <c r="G735" s="14" t="s">
        <v>6927</v>
      </c>
    </row>
    <row r="736" spans="1:7" ht="45">
      <c r="A736" s="14" t="s">
        <v>6921</v>
      </c>
      <c r="B736" s="14" t="s">
        <v>9417</v>
      </c>
      <c r="C736" s="14" t="s">
        <v>9418</v>
      </c>
      <c r="D736" s="14" t="s">
        <v>9419</v>
      </c>
      <c r="E736" s="14" t="s">
        <v>6925</v>
      </c>
      <c r="F736" s="14" t="s">
        <v>7067</v>
      </c>
      <c r="G736" s="14" t="s">
        <v>6927</v>
      </c>
    </row>
    <row r="737" spans="1:7" ht="30">
      <c r="A737" s="14" t="s">
        <v>6921</v>
      </c>
      <c r="B737" s="14" t="s">
        <v>9420</v>
      </c>
      <c r="C737" s="14" t="s">
        <v>9421</v>
      </c>
      <c r="D737" s="14" t="s">
        <v>9422</v>
      </c>
      <c r="E737" s="14" t="s">
        <v>6925</v>
      </c>
      <c r="F737" s="14" t="s">
        <v>6926</v>
      </c>
      <c r="G737" s="14" t="s">
        <v>6927</v>
      </c>
    </row>
    <row r="738" spans="1:7" ht="150">
      <c r="A738" s="14" t="s">
        <v>6921</v>
      </c>
      <c r="B738" s="14" t="s">
        <v>9423</v>
      </c>
      <c r="C738" s="14" t="s">
        <v>9424</v>
      </c>
      <c r="D738" s="14" t="s">
        <v>9425</v>
      </c>
      <c r="E738" s="14" t="s">
        <v>6931</v>
      </c>
      <c r="F738" s="14" t="s">
        <v>6932</v>
      </c>
      <c r="G738" s="14" t="s">
        <v>9426</v>
      </c>
    </row>
    <row r="739" spans="1:7" ht="105">
      <c r="A739" s="14" t="s">
        <v>6921</v>
      </c>
      <c r="B739" s="14" t="s">
        <v>9427</v>
      </c>
      <c r="C739" s="14" t="s">
        <v>9428</v>
      </c>
      <c r="D739" s="14" t="s">
        <v>9429</v>
      </c>
      <c r="E739" s="14" t="s">
        <v>6931</v>
      </c>
      <c r="F739" s="14" t="s">
        <v>6932</v>
      </c>
      <c r="G739" s="14" t="s">
        <v>9430</v>
      </c>
    </row>
    <row r="740" spans="1:7" ht="30">
      <c r="A740" s="14" t="s">
        <v>6921</v>
      </c>
      <c r="B740" s="14" t="s">
        <v>9431</v>
      </c>
      <c r="C740" s="14" t="s">
        <v>9432</v>
      </c>
      <c r="D740" s="14" t="s">
        <v>9433</v>
      </c>
      <c r="E740" s="14" t="s">
        <v>6925</v>
      </c>
      <c r="F740" s="14" t="s">
        <v>6965</v>
      </c>
      <c r="G740" s="14" t="s">
        <v>6927</v>
      </c>
    </row>
    <row r="741" spans="1:7" ht="150">
      <c r="A741" s="14" t="s">
        <v>6921</v>
      </c>
      <c r="B741" s="14" t="s">
        <v>9434</v>
      </c>
      <c r="C741" s="14" t="s">
        <v>9435</v>
      </c>
      <c r="D741" s="14" t="s">
        <v>9436</v>
      </c>
      <c r="E741" s="14" t="s">
        <v>6931</v>
      </c>
      <c r="F741" s="14" t="s">
        <v>6932</v>
      </c>
      <c r="G741" s="14" t="s">
        <v>9437</v>
      </c>
    </row>
    <row r="742" spans="1:7" ht="90">
      <c r="A742" s="14" t="s">
        <v>6921</v>
      </c>
      <c r="B742" s="14" t="s">
        <v>9438</v>
      </c>
      <c r="C742" s="14" t="s">
        <v>9439</v>
      </c>
      <c r="D742" s="14" t="s">
        <v>9440</v>
      </c>
      <c r="E742" s="14" t="s">
        <v>6925</v>
      </c>
      <c r="F742" s="14" t="s">
        <v>6965</v>
      </c>
      <c r="G742" s="14" t="s">
        <v>6927</v>
      </c>
    </row>
    <row r="743" spans="1:7" ht="75">
      <c r="A743" s="14" t="s">
        <v>6921</v>
      </c>
      <c r="B743" s="14" t="s">
        <v>9441</v>
      </c>
      <c r="C743" s="14" t="s">
        <v>9442</v>
      </c>
      <c r="D743" s="14" t="s">
        <v>9443</v>
      </c>
      <c r="E743" s="14" t="s">
        <v>6925</v>
      </c>
      <c r="F743" s="14" t="s">
        <v>7067</v>
      </c>
      <c r="G743" s="14" t="s">
        <v>6927</v>
      </c>
    </row>
    <row r="744" spans="1:7" ht="60">
      <c r="A744" s="14" t="s">
        <v>6921</v>
      </c>
      <c r="B744" s="14" t="s">
        <v>9444</v>
      </c>
      <c r="C744" s="14" t="s">
        <v>9445</v>
      </c>
      <c r="D744" s="14" t="s">
        <v>9446</v>
      </c>
      <c r="E744" s="14" t="s">
        <v>6931</v>
      </c>
      <c r="F744" s="14" t="s">
        <v>6932</v>
      </c>
      <c r="G744" s="14" t="s">
        <v>9447</v>
      </c>
    </row>
    <row r="745" spans="1:7" ht="90">
      <c r="A745" s="14" t="s">
        <v>6921</v>
      </c>
      <c r="B745" s="14" t="s">
        <v>9448</v>
      </c>
      <c r="C745" s="14" t="s">
        <v>9449</v>
      </c>
      <c r="D745" s="14" t="s">
        <v>9450</v>
      </c>
      <c r="E745" s="14" t="s">
        <v>7006</v>
      </c>
      <c r="F745" s="14" t="s">
        <v>7007</v>
      </c>
      <c r="G745" s="14" t="s">
        <v>6927</v>
      </c>
    </row>
    <row r="746" spans="1:7" ht="45">
      <c r="A746" s="14" t="s">
        <v>6921</v>
      </c>
      <c r="B746" s="14" t="s">
        <v>9451</v>
      </c>
      <c r="C746" s="14" t="s">
        <v>9452</v>
      </c>
      <c r="D746" s="14" t="s">
        <v>9453</v>
      </c>
      <c r="E746" s="14" t="s">
        <v>6931</v>
      </c>
      <c r="F746" s="14" t="s">
        <v>6932</v>
      </c>
      <c r="G746" s="14" t="s">
        <v>6952</v>
      </c>
    </row>
    <row r="747" spans="1:7" ht="30">
      <c r="A747" s="14" t="s">
        <v>6921</v>
      </c>
      <c r="B747" s="14" t="s">
        <v>9454</v>
      </c>
      <c r="C747" s="14" t="s">
        <v>9455</v>
      </c>
      <c r="D747" s="14" t="s">
        <v>9456</v>
      </c>
      <c r="E747" s="14" t="s">
        <v>6925</v>
      </c>
      <c r="F747" s="14" t="s">
        <v>7924</v>
      </c>
      <c r="G747" s="14" t="s">
        <v>6927</v>
      </c>
    </row>
    <row r="748" spans="1:7" ht="30">
      <c r="A748" s="14" t="s">
        <v>6921</v>
      </c>
      <c r="B748" s="14" t="s">
        <v>9457</v>
      </c>
      <c r="C748" s="14" t="s">
        <v>9458</v>
      </c>
      <c r="D748" s="14" t="s">
        <v>9459</v>
      </c>
      <c r="E748" s="14" t="s">
        <v>6925</v>
      </c>
      <c r="F748" s="14" t="s">
        <v>7924</v>
      </c>
      <c r="G748" s="14" t="s">
        <v>6927</v>
      </c>
    </row>
    <row r="749" spans="1:7" ht="30">
      <c r="A749" s="14" t="s">
        <v>6921</v>
      </c>
      <c r="B749" s="14" t="s">
        <v>9460</v>
      </c>
      <c r="C749" s="14" t="s">
        <v>9461</v>
      </c>
      <c r="D749" s="14" t="s">
        <v>9462</v>
      </c>
      <c r="E749" s="14" t="s">
        <v>6925</v>
      </c>
      <c r="F749" s="14" t="s">
        <v>7924</v>
      </c>
      <c r="G749" s="14" t="s">
        <v>6927</v>
      </c>
    </row>
    <row r="750" spans="1:7" ht="60">
      <c r="A750" s="14" t="s">
        <v>6921</v>
      </c>
      <c r="B750" s="14" t="s">
        <v>9463</v>
      </c>
      <c r="C750" s="14" t="s">
        <v>9464</v>
      </c>
      <c r="D750" s="14" t="s">
        <v>9465</v>
      </c>
      <c r="E750" s="14" t="s">
        <v>6925</v>
      </c>
      <c r="F750" s="14" t="s">
        <v>6965</v>
      </c>
      <c r="G750" s="14" t="s">
        <v>6927</v>
      </c>
    </row>
    <row r="751" spans="1:7" ht="60">
      <c r="A751" s="14" t="s">
        <v>6921</v>
      </c>
      <c r="B751" s="14" t="s">
        <v>9466</v>
      </c>
      <c r="C751" s="14" t="s">
        <v>9467</v>
      </c>
      <c r="D751" s="14" t="s">
        <v>9468</v>
      </c>
      <c r="E751" s="14" t="s">
        <v>6925</v>
      </c>
      <c r="F751" s="14" t="s">
        <v>6965</v>
      </c>
      <c r="G751" s="14" t="s">
        <v>6927</v>
      </c>
    </row>
    <row r="752" spans="1:7" ht="75">
      <c r="A752" s="14" t="s">
        <v>6921</v>
      </c>
      <c r="B752" s="14" t="s">
        <v>9469</v>
      </c>
      <c r="C752" s="14" t="s">
        <v>9470</v>
      </c>
      <c r="D752" s="14" t="s">
        <v>9471</v>
      </c>
      <c r="E752" s="14" t="s">
        <v>6925</v>
      </c>
      <c r="F752" s="14" t="s">
        <v>9472</v>
      </c>
      <c r="G752" s="14" t="s">
        <v>6927</v>
      </c>
    </row>
    <row r="753" spans="1:7" ht="45">
      <c r="A753" s="14" t="s">
        <v>6921</v>
      </c>
      <c r="B753" s="14" t="s">
        <v>9473</v>
      </c>
      <c r="C753" s="14" t="s">
        <v>9474</v>
      </c>
      <c r="D753" s="14" t="s">
        <v>9475</v>
      </c>
      <c r="E753" s="14" t="s">
        <v>6925</v>
      </c>
      <c r="F753" s="14" t="s">
        <v>6965</v>
      </c>
      <c r="G753" s="14" t="s">
        <v>6927</v>
      </c>
    </row>
    <row r="754" spans="1:7" ht="240">
      <c r="A754" s="14" t="s">
        <v>6921</v>
      </c>
      <c r="B754" s="14" t="s">
        <v>9476</v>
      </c>
      <c r="C754" s="14" t="s">
        <v>9477</v>
      </c>
      <c r="D754" s="14" t="s">
        <v>9478</v>
      </c>
      <c r="E754" s="14" t="s">
        <v>6931</v>
      </c>
      <c r="F754" s="14" t="s">
        <v>6932</v>
      </c>
      <c r="G754" s="14" t="s">
        <v>9479</v>
      </c>
    </row>
    <row r="755" spans="1:7" ht="30">
      <c r="A755" s="14" t="s">
        <v>6921</v>
      </c>
      <c r="B755" s="14" t="s">
        <v>9480</v>
      </c>
      <c r="C755" s="14" t="s">
        <v>9481</v>
      </c>
      <c r="D755" s="14" t="s">
        <v>9482</v>
      </c>
      <c r="E755" s="14" t="s">
        <v>6925</v>
      </c>
      <c r="F755" s="14" t="s">
        <v>7125</v>
      </c>
      <c r="G755" s="14" t="s">
        <v>6927</v>
      </c>
    </row>
    <row r="756" spans="1:7" ht="45">
      <c r="A756" s="14" t="s">
        <v>6921</v>
      </c>
      <c r="B756" s="14" t="s">
        <v>9483</v>
      </c>
      <c r="C756" s="14" t="s">
        <v>9484</v>
      </c>
      <c r="D756" s="14" t="s">
        <v>9485</v>
      </c>
      <c r="E756" s="14" t="s">
        <v>6925</v>
      </c>
      <c r="F756" s="14" t="s">
        <v>6926</v>
      </c>
      <c r="G756" s="14" t="s">
        <v>6927</v>
      </c>
    </row>
    <row r="757" spans="1:7" ht="45">
      <c r="A757" s="14" t="s">
        <v>6921</v>
      </c>
      <c r="B757" s="14" t="s">
        <v>9486</v>
      </c>
      <c r="C757" s="14" t="s">
        <v>9487</v>
      </c>
      <c r="D757" s="14" t="s">
        <v>9488</v>
      </c>
      <c r="E757" s="14" t="s">
        <v>6956</v>
      </c>
      <c r="F757" s="14" t="s">
        <v>6957</v>
      </c>
      <c r="G757" s="14" t="s">
        <v>6927</v>
      </c>
    </row>
    <row r="758" spans="1:7" ht="75">
      <c r="A758" s="14" t="s">
        <v>6921</v>
      </c>
      <c r="B758" s="14" t="s">
        <v>9489</v>
      </c>
      <c r="C758" s="14" t="s">
        <v>9490</v>
      </c>
      <c r="D758" s="14" t="s">
        <v>9491</v>
      </c>
      <c r="E758" s="14" t="s">
        <v>6931</v>
      </c>
      <c r="F758" s="14" t="s">
        <v>6932</v>
      </c>
      <c r="G758" s="14" t="s">
        <v>9492</v>
      </c>
    </row>
    <row r="759" spans="1:7" ht="45">
      <c r="A759" s="14" t="s">
        <v>6921</v>
      </c>
      <c r="B759" s="14" t="s">
        <v>9493</v>
      </c>
      <c r="C759" s="14" t="s">
        <v>9494</v>
      </c>
      <c r="D759" s="14" t="s">
        <v>9495</v>
      </c>
      <c r="E759" s="14" t="s">
        <v>6956</v>
      </c>
      <c r="F759" s="14" t="s">
        <v>6957</v>
      </c>
      <c r="G759" s="14" t="s">
        <v>6927</v>
      </c>
    </row>
    <row r="760" spans="1:7" ht="60">
      <c r="A760" s="14" t="s">
        <v>6921</v>
      </c>
      <c r="B760" s="14" t="s">
        <v>9496</v>
      </c>
      <c r="C760" s="14" t="s">
        <v>9497</v>
      </c>
      <c r="D760" s="14" t="s">
        <v>9498</v>
      </c>
      <c r="E760" s="14" t="s">
        <v>6931</v>
      </c>
      <c r="F760" s="14" t="s">
        <v>6932</v>
      </c>
      <c r="G760" s="14" t="s">
        <v>9499</v>
      </c>
    </row>
    <row r="761" spans="1:7" ht="135">
      <c r="A761" s="14" t="s">
        <v>6921</v>
      </c>
      <c r="B761" s="14" t="s">
        <v>9500</v>
      </c>
      <c r="C761" s="14" t="s">
        <v>9501</v>
      </c>
      <c r="D761" s="14" t="s">
        <v>9502</v>
      </c>
      <c r="E761" s="14" t="s">
        <v>6925</v>
      </c>
      <c r="F761" s="14" t="s">
        <v>6965</v>
      </c>
      <c r="G761" s="14" t="s">
        <v>6927</v>
      </c>
    </row>
    <row r="762" spans="1:7" ht="90">
      <c r="A762" s="14" t="s">
        <v>6921</v>
      </c>
      <c r="B762" s="14" t="s">
        <v>9503</v>
      </c>
      <c r="C762" s="14" t="s">
        <v>9504</v>
      </c>
      <c r="D762" s="14" t="s">
        <v>9505</v>
      </c>
      <c r="E762" s="14" t="s">
        <v>6931</v>
      </c>
      <c r="F762" s="14" t="s">
        <v>6932</v>
      </c>
      <c r="G762" s="14" t="s">
        <v>9506</v>
      </c>
    </row>
    <row r="763" spans="1:7" ht="90">
      <c r="A763" s="14" t="s">
        <v>6921</v>
      </c>
      <c r="B763" s="14" t="s">
        <v>9507</v>
      </c>
      <c r="C763" s="14" t="s">
        <v>9508</v>
      </c>
      <c r="D763" s="14" t="s">
        <v>9509</v>
      </c>
      <c r="E763" s="14" t="s">
        <v>6931</v>
      </c>
      <c r="F763" s="14" t="s">
        <v>6932</v>
      </c>
      <c r="G763" s="14" t="s">
        <v>9510</v>
      </c>
    </row>
    <row r="764" spans="1:7" ht="240">
      <c r="A764" s="14" t="s">
        <v>6921</v>
      </c>
      <c r="B764" s="14" t="s">
        <v>9511</v>
      </c>
      <c r="C764" s="14" t="s">
        <v>9512</v>
      </c>
      <c r="D764" s="14" t="s">
        <v>9513</v>
      </c>
      <c r="E764" s="14" t="s">
        <v>6931</v>
      </c>
      <c r="F764" s="14" t="s">
        <v>6932</v>
      </c>
      <c r="G764" s="14" t="s">
        <v>9514</v>
      </c>
    </row>
    <row r="765" spans="1:7" ht="195">
      <c r="A765" s="14" t="s">
        <v>6921</v>
      </c>
      <c r="B765" s="14" t="s">
        <v>9515</v>
      </c>
      <c r="C765" s="14" t="s">
        <v>9516</v>
      </c>
      <c r="D765" s="14" t="s">
        <v>9517</v>
      </c>
      <c r="E765" s="14" t="s">
        <v>6931</v>
      </c>
      <c r="F765" s="14" t="s">
        <v>6932</v>
      </c>
      <c r="G765" s="14" t="s">
        <v>9518</v>
      </c>
    </row>
    <row r="766" spans="1:7" ht="90">
      <c r="A766" s="14" t="s">
        <v>6921</v>
      </c>
      <c r="B766" s="14" t="s">
        <v>9519</v>
      </c>
      <c r="C766" s="14" t="s">
        <v>9520</v>
      </c>
      <c r="D766" s="14" t="s">
        <v>9521</v>
      </c>
      <c r="E766" s="14" t="s">
        <v>6931</v>
      </c>
      <c r="F766" s="14" t="s">
        <v>6932</v>
      </c>
      <c r="G766" s="14" t="s">
        <v>9522</v>
      </c>
    </row>
    <row r="767" spans="1:7" ht="135">
      <c r="A767" s="14" t="s">
        <v>6921</v>
      </c>
      <c r="B767" s="14" t="s">
        <v>9523</v>
      </c>
      <c r="C767" s="14" t="s">
        <v>9524</v>
      </c>
      <c r="D767" s="14" t="s">
        <v>9525</v>
      </c>
      <c r="E767" s="14" t="s">
        <v>6931</v>
      </c>
      <c r="F767" s="14" t="s">
        <v>6932</v>
      </c>
      <c r="G767" s="14" t="s">
        <v>9526</v>
      </c>
    </row>
    <row r="768" spans="1:7" ht="45">
      <c r="A768" s="14" t="s">
        <v>6921</v>
      </c>
      <c r="B768" s="14" t="s">
        <v>9527</v>
      </c>
      <c r="C768" s="14" t="s">
        <v>9528</v>
      </c>
      <c r="D768" s="14" t="s">
        <v>9529</v>
      </c>
      <c r="E768" s="14" t="s">
        <v>6925</v>
      </c>
      <c r="F768" s="14" t="s">
        <v>6969</v>
      </c>
      <c r="G768" s="14" t="s">
        <v>6927</v>
      </c>
    </row>
    <row r="769" spans="1:7" ht="210">
      <c r="A769" s="14" t="s">
        <v>6921</v>
      </c>
      <c r="B769" s="14" t="s">
        <v>9530</v>
      </c>
      <c r="C769" s="14" t="s">
        <v>9531</v>
      </c>
      <c r="D769" s="14" t="s">
        <v>9532</v>
      </c>
      <c r="E769" s="14" t="s">
        <v>6931</v>
      </c>
      <c r="F769" s="14" t="s">
        <v>6932</v>
      </c>
      <c r="G769" s="14" t="s">
        <v>9533</v>
      </c>
    </row>
    <row r="770" spans="1:7" ht="45">
      <c r="A770" s="14" t="s">
        <v>6921</v>
      </c>
      <c r="B770" s="14" t="s">
        <v>9534</v>
      </c>
      <c r="C770" s="14" t="s">
        <v>9535</v>
      </c>
      <c r="D770" s="14" t="s">
        <v>9536</v>
      </c>
      <c r="E770" s="14" t="s">
        <v>6931</v>
      </c>
      <c r="F770" s="14" t="s">
        <v>6932</v>
      </c>
      <c r="G770" s="14" t="s">
        <v>6952</v>
      </c>
    </row>
    <row r="771" spans="1:7" ht="105">
      <c r="A771" s="14" t="s">
        <v>6921</v>
      </c>
      <c r="B771" s="14" t="s">
        <v>9537</v>
      </c>
      <c r="C771" s="14" t="s">
        <v>9538</v>
      </c>
      <c r="D771" s="14" t="s">
        <v>9539</v>
      </c>
      <c r="E771" s="14" t="s">
        <v>6931</v>
      </c>
      <c r="F771" s="14" t="s">
        <v>6932</v>
      </c>
      <c r="G771" s="14" t="s">
        <v>9540</v>
      </c>
    </row>
    <row r="772" spans="1:7" ht="45">
      <c r="A772" s="14" t="s">
        <v>6921</v>
      </c>
      <c r="B772" s="14" t="s">
        <v>9541</v>
      </c>
      <c r="C772" s="14" t="s">
        <v>9542</v>
      </c>
      <c r="D772" s="14" t="s">
        <v>9543</v>
      </c>
      <c r="E772" s="14" t="s">
        <v>6956</v>
      </c>
      <c r="F772" s="14" t="s">
        <v>6957</v>
      </c>
      <c r="G772" s="14" t="s">
        <v>6927</v>
      </c>
    </row>
    <row r="773" spans="1:7" ht="75">
      <c r="A773" s="14" t="s">
        <v>6921</v>
      </c>
      <c r="B773" s="14" t="s">
        <v>9544</v>
      </c>
      <c r="C773" s="14" t="s">
        <v>9545</v>
      </c>
      <c r="D773" s="14" t="s">
        <v>9546</v>
      </c>
      <c r="E773" s="14" t="s">
        <v>6925</v>
      </c>
      <c r="F773" s="14" t="s">
        <v>7125</v>
      </c>
      <c r="G773" s="14" t="s">
        <v>6927</v>
      </c>
    </row>
    <row r="774" spans="1:7" ht="75">
      <c r="A774" s="14" t="s">
        <v>6921</v>
      </c>
      <c r="B774" s="14" t="s">
        <v>9547</v>
      </c>
      <c r="C774" s="14" t="s">
        <v>9548</v>
      </c>
      <c r="D774" s="14" t="s">
        <v>9549</v>
      </c>
      <c r="E774" s="14" t="s">
        <v>6931</v>
      </c>
      <c r="F774" s="14" t="s">
        <v>6932</v>
      </c>
      <c r="G774" s="14" t="s">
        <v>9550</v>
      </c>
    </row>
    <row r="775" spans="1:7" ht="45">
      <c r="A775" s="14" t="s">
        <v>6921</v>
      </c>
      <c r="B775" s="14" t="s">
        <v>9551</v>
      </c>
      <c r="C775" s="14" t="s">
        <v>9552</v>
      </c>
      <c r="D775" s="14" t="s">
        <v>9553</v>
      </c>
      <c r="E775" s="14" t="s">
        <v>6925</v>
      </c>
      <c r="F775" s="14" t="s">
        <v>7098</v>
      </c>
      <c r="G775" s="14" t="s">
        <v>6927</v>
      </c>
    </row>
    <row r="776" spans="1:7" ht="90">
      <c r="A776" s="14" t="s">
        <v>6921</v>
      </c>
      <c r="B776" s="14" t="s">
        <v>9554</v>
      </c>
      <c r="C776" s="14" t="s">
        <v>9555</v>
      </c>
      <c r="D776" s="14" t="s">
        <v>9556</v>
      </c>
      <c r="E776" s="14" t="s">
        <v>6931</v>
      </c>
      <c r="F776" s="14" t="s">
        <v>6932</v>
      </c>
      <c r="G776" s="14" t="s">
        <v>9557</v>
      </c>
    </row>
    <row r="777" spans="1:7" ht="30">
      <c r="A777" s="14" t="s">
        <v>6921</v>
      </c>
      <c r="B777" s="14" t="s">
        <v>9558</v>
      </c>
      <c r="C777" s="14" t="s">
        <v>9559</v>
      </c>
      <c r="D777" s="14" t="s">
        <v>9560</v>
      </c>
      <c r="E777" s="14" t="s">
        <v>6925</v>
      </c>
      <c r="F777" s="14" t="s">
        <v>6926</v>
      </c>
      <c r="G777" s="14" t="s">
        <v>6927</v>
      </c>
    </row>
    <row r="778" spans="1:7" ht="45">
      <c r="A778" s="14" t="s">
        <v>6921</v>
      </c>
      <c r="B778" s="14" t="s">
        <v>9561</v>
      </c>
      <c r="C778" s="14" t="s">
        <v>9562</v>
      </c>
      <c r="D778" s="14" t="s">
        <v>9563</v>
      </c>
      <c r="E778" s="14" t="s">
        <v>6956</v>
      </c>
      <c r="F778" s="14" t="s">
        <v>6957</v>
      </c>
      <c r="G778" s="14" t="s">
        <v>6927</v>
      </c>
    </row>
    <row r="779" spans="1:7" ht="210">
      <c r="A779" s="14" t="s">
        <v>6921</v>
      </c>
      <c r="B779" s="14" t="s">
        <v>9564</v>
      </c>
      <c r="C779" s="14" t="s">
        <v>9565</v>
      </c>
      <c r="D779" s="14" t="s">
        <v>9566</v>
      </c>
      <c r="E779" s="14" t="s">
        <v>6931</v>
      </c>
      <c r="F779" s="14" t="s">
        <v>6932</v>
      </c>
      <c r="G779" s="14" t="s">
        <v>7848</v>
      </c>
    </row>
    <row r="780" spans="1:7" ht="30">
      <c r="A780" s="14" t="s">
        <v>6921</v>
      </c>
      <c r="B780" s="14" t="s">
        <v>9567</v>
      </c>
      <c r="C780" s="14" t="s">
        <v>9568</v>
      </c>
      <c r="D780" s="14" t="s">
        <v>9569</v>
      </c>
      <c r="E780" s="14" t="s">
        <v>6956</v>
      </c>
      <c r="F780" s="14" t="s">
        <v>6957</v>
      </c>
      <c r="G780" s="14" t="s">
        <v>6927</v>
      </c>
    </row>
    <row r="781" spans="1:7" ht="60">
      <c r="A781" s="14" t="s">
        <v>6921</v>
      </c>
      <c r="B781" s="14" t="s">
        <v>9570</v>
      </c>
      <c r="C781" s="14" t="s">
        <v>9571</v>
      </c>
      <c r="D781" s="14" t="s">
        <v>9572</v>
      </c>
      <c r="E781" s="14" t="s">
        <v>6985</v>
      </c>
      <c r="F781" s="14" t="s">
        <v>6986</v>
      </c>
      <c r="G781" s="14" t="s">
        <v>6927</v>
      </c>
    </row>
    <row r="782" spans="1:7" ht="90">
      <c r="A782" s="14" t="s">
        <v>6921</v>
      </c>
      <c r="B782" s="14" t="s">
        <v>9573</v>
      </c>
      <c r="C782" s="14" t="s">
        <v>9574</v>
      </c>
      <c r="D782" s="14" t="s">
        <v>9575</v>
      </c>
      <c r="E782" s="14" t="s">
        <v>6931</v>
      </c>
      <c r="F782" s="14" t="s">
        <v>6932</v>
      </c>
      <c r="G782" s="14" t="s">
        <v>7902</v>
      </c>
    </row>
    <row r="783" spans="1:7" ht="300">
      <c r="A783" s="14" t="s">
        <v>6921</v>
      </c>
      <c r="B783" s="14" t="s">
        <v>9576</v>
      </c>
      <c r="C783" s="14" t="s">
        <v>9577</v>
      </c>
      <c r="D783" s="14" t="s">
        <v>9578</v>
      </c>
      <c r="E783" s="14" t="s">
        <v>6931</v>
      </c>
      <c r="F783" s="14" t="s">
        <v>6932</v>
      </c>
      <c r="G783" s="14" t="s">
        <v>9579</v>
      </c>
    </row>
    <row r="784" spans="1:7" ht="210">
      <c r="A784" s="14" t="s">
        <v>6921</v>
      </c>
      <c r="B784" s="14" t="s">
        <v>9580</v>
      </c>
      <c r="C784" s="14" t="s">
        <v>9581</v>
      </c>
      <c r="D784" s="14" t="s">
        <v>9582</v>
      </c>
      <c r="E784" s="14" t="s">
        <v>6931</v>
      </c>
      <c r="F784" s="14" t="s">
        <v>6932</v>
      </c>
      <c r="G784" s="14" t="s">
        <v>9583</v>
      </c>
    </row>
    <row r="785" spans="1:7" ht="45">
      <c r="A785" s="14" t="s">
        <v>6921</v>
      </c>
      <c r="B785" s="14" t="s">
        <v>9584</v>
      </c>
      <c r="C785" s="14" t="s">
        <v>9585</v>
      </c>
      <c r="D785" s="14" t="s">
        <v>9586</v>
      </c>
      <c r="E785" s="14" t="s">
        <v>6925</v>
      </c>
      <c r="F785" s="14" t="s">
        <v>7276</v>
      </c>
      <c r="G785" s="14" t="s">
        <v>6927</v>
      </c>
    </row>
    <row r="786" spans="1:7" ht="135">
      <c r="A786" s="14" t="s">
        <v>6921</v>
      </c>
      <c r="B786" s="14" t="s">
        <v>9587</v>
      </c>
      <c r="C786" s="14" t="s">
        <v>9588</v>
      </c>
      <c r="D786" s="14" t="s">
        <v>9589</v>
      </c>
      <c r="E786" s="14" t="s">
        <v>7006</v>
      </c>
      <c r="F786" s="14" t="s">
        <v>7007</v>
      </c>
      <c r="G786" s="14" t="s">
        <v>6927</v>
      </c>
    </row>
    <row r="787" spans="1:7" ht="75">
      <c r="A787" s="14" t="s">
        <v>6921</v>
      </c>
      <c r="B787" s="14" t="s">
        <v>9590</v>
      </c>
      <c r="C787" s="14" t="s">
        <v>9591</v>
      </c>
      <c r="D787" s="14" t="s">
        <v>9592</v>
      </c>
      <c r="E787" s="14" t="s">
        <v>7006</v>
      </c>
      <c r="F787" s="14" t="s">
        <v>7870</v>
      </c>
      <c r="G787" s="14" t="s">
        <v>6927</v>
      </c>
    </row>
    <row r="788" spans="1:7" ht="270">
      <c r="A788" s="14" t="s">
        <v>6921</v>
      </c>
      <c r="B788" s="14" t="s">
        <v>9593</v>
      </c>
      <c r="C788" s="14" t="s">
        <v>9594</v>
      </c>
      <c r="D788" s="14" t="s">
        <v>9595</v>
      </c>
      <c r="E788" s="14" t="s">
        <v>6931</v>
      </c>
      <c r="F788" s="14" t="s">
        <v>6932</v>
      </c>
      <c r="G788" s="14" t="s">
        <v>9596</v>
      </c>
    </row>
    <row r="789" spans="1:7" ht="75">
      <c r="A789" s="14" t="s">
        <v>6921</v>
      </c>
      <c r="B789" s="14" t="s">
        <v>9597</v>
      </c>
      <c r="C789" s="14" t="s">
        <v>9598</v>
      </c>
      <c r="D789" s="14" t="s">
        <v>9599</v>
      </c>
      <c r="E789" s="14" t="s">
        <v>6931</v>
      </c>
      <c r="F789" s="14" t="s">
        <v>6932</v>
      </c>
      <c r="G789" s="14" t="s">
        <v>9600</v>
      </c>
    </row>
    <row r="790" spans="1:7" ht="45">
      <c r="A790" s="14" t="s">
        <v>6921</v>
      </c>
      <c r="B790" s="14" t="s">
        <v>9601</v>
      </c>
      <c r="C790" s="14" t="s">
        <v>9602</v>
      </c>
      <c r="D790" s="14" t="s">
        <v>9603</v>
      </c>
      <c r="E790" s="14" t="s">
        <v>6925</v>
      </c>
      <c r="F790" s="14" t="s">
        <v>7924</v>
      </c>
      <c r="G790" s="14" t="s">
        <v>6927</v>
      </c>
    </row>
    <row r="791" spans="1:7" ht="30">
      <c r="A791" s="14" t="s">
        <v>6921</v>
      </c>
      <c r="B791" s="14" t="s">
        <v>9604</v>
      </c>
      <c r="C791" s="14" t="s">
        <v>9605</v>
      </c>
      <c r="D791" s="14" t="s">
        <v>9606</v>
      </c>
      <c r="E791" s="14" t="s">
        <v>6925</v>
      </c>
      <c r="F791" s="14" t="s">
        <v>6965</v>
      </c>
      <c r="G791" s="14" t="s">
        <v>6927</v>
      </c>
    </row>
    <row r="792" spans="1:7" ht="240">
      <c r="A792" s="14" t="s">
        <v>6921</v>
      </c>
      <c r="B792" s="14" t="s">
        <v>9607</v>
      </c>
      <c r="C792" s="14" t="s">
        <v>9608</v>
      </c>
      <c r="D792" s="14" t="s">
        <v>9609</v>
      </c>
      <c r="E792" s="14" t="s">
        <v>6931</v>
      </c>
      <c r="F792" s="14" t="s">
        <v>6932</v>
      </c>
      <c r="G792" s="14" t="s">
        <v>9610</v>
      </c>
    </row>
    <row r="793" spans="1:7" ht="90">
      <c r="A793" s="14" t="s">
        <v>6921</v>
      </c>
      <c r="B793" s="14" t="s">
        <v>9611</v>
      </c>
      <c r="C793" s="14" t="s">
        <v>9612</v>
      </c>
      <c r="D793" s="14" t="s">
        <v>9613</v>
      </c>
      <c r="E793" s="14" t="s">
        <v>9614</v>
      </c>
      <c r="F793" s="14" t="s">
        <v>6932</v>
      </c>
      <c r="G793" s="14" t="s">
        <v>9615</v>
      </c>
    </row>
    <row r="794" spans="1:7" ht="75">
      <c r="A794" s="14" t="s">
        <v>6921</v>
      </c>
      <c r="B794" s="14" t="s">
        <v>9616</v>
      </c>
      <c r="C794" s="14" t="s">
        <v>9617</v>
      </c>
      <c r="D794" s="14" t="s">
        <v>9618</v>
      </c>
      <c r="E794" s="14" t="s">
        <v>6931</v>
      </c>
      <c r="F794" s="14" t="s">
        <v>6932</v>
      </c>
      <c r="G794" s="14" t="s">
        <v>9619</v>
      </c>
    </row>
    <row r="795" spans="1:7" ht="120">
      <c r="A795" s="14" t="s">
        <v>6921</v>
      </c>
      <c r="B795" s="14" t="s">
        <v>9620</v>
      </c>
      <c r="C795" s="14" t="s">
        <v>9621</v>
      </c>
      <c r="D795" s="14" t="s">
        <v>9622</v>
      </c>
      <c r="E795" s="14" t="s">
        <v>6931</v>
      </c>
      <c r="F795" s="14" t="s">
        <v>6932</v>
      </c>
      <c r="G795" s="14" t="s">
        <v>9623</v>
      </c>
    </row>
    <row r="796" spans="1:7" ht="60">
      <c r="A796" s="14" t="s">
        <v>6921</v>
      </c>
      <c r="B796" s="14" t="s">
        <v>9624</v>
      </c>
      <c r="C796" s="14" t="s">
        <v>9625</v>
      </c>
      <c r="D796" s="14" t="s">
        <v>9626</v>
      </c>
      <c r="E796" s="14" t="s">
        <v>6925</v>
      </c>
      <c r="F796" s="14" t="s">
        <v>7067</v>
      </c>
      <c r="G796" s="14" t="s">
        <v>6927</v>
      </c>
    </row>
    <row r="797" spans="1:7" ht="255">
      <c r="A797" s="14" t="s">
        <v>6921</v>
      </c>
      <c r="B797" s="14" t="s">
        <v>9627</v>
      </c>
      <c r="C797" s="14" t="s">
        <v>9628</v>
      </c>
      <c r="D797" s="14" t="s">
        <v>9629</v>
      </c>
      <c r="E797" s="14" t="s">
        <v>6931</v>
      </c>
      <c r="F797" s="14" t="s">
        <v>6932</v>
      </c>
      <c r="G797" s="14" t="s">
        <v>9630</v>
      </c>
    </row>
    <row r="798" spans="1:7" ht="75">
      <c r="A798" s="14" t="s">
        <v>6921</v>
      </c>
      <c r="B798" s="14" t="s">
        <v>9631</v>
      </c>
      <c r="C798" s="14" t="s">
        <v>9632</v>
      </c>
      <c r="D798" s="14" t="s">
        <v>9633</v>
      </c>
      <c r="E798" s="14" t="s">
        <v>6985</v>
      </c>
      <c r="F798" s="14" t="s">
        <v>7828</v>
      </c>
      <c r="G798" s="14" t="s">
        <v>6927</v>
      </c>
    </row>
    <row r="799" spans="1:7" ht="255">
      <c r="A799" s="14" t="s">
        <v>6921</v>
      </c>
      <c r="B799" s="14" t="s">
        <v>9634</v>
      </c>
      <c r="C799" s="14" t="s">
        <v>9635</v>
      </c>
      <c r="D799" s="14" t="s">
        <v>9636</v>
      </c>
      <c r="E799" s="14" t="s">
        <v>6925</v>
      </c>
      <c r="F799" s="14" t="s">
        <v>6926</v>
      </c>
      <c r="G799" s="14" t="s">
        <v>6927</v>
      </c>
    </row>
    <row r="800" spans="1:7" ht="90">
      <c r="A800" s="14" t="s">
        <v>6921</v>
      </c>
      <c r="B800" s="14" t="s">
        <v>9637</v>
      </c>
      <c r="C800" s="14" t="s">
        <v>9638</v>
      </c>
      <c r="D800" s="14" t="s">
        <v>9639</v>
      </c>
      <c r="E800" s="14" t="s">
        <v>6931</v>
      </c>
      <c r="F800" s="14" t="s">
        <v>6932</v>
      </c>
      <c r="G800" s="14" t="s">
        <v>9640</v>
      </c>
    </row>
    <row r="801" spans="1:7" ht="60">
      <c r="A801" s="14" t="s">
        <v>6921</v>
      </c>
      <c r="B801" s="14" t="s">
        <v>9641</v>
      </c>
      <c r="C801" s="14" t="s">
        <v>9642</v>
      </c>
      <c r="D801" s="14" t="s">
        <v>9643</v>
      </c>
      <c r="E801" s="14" t="s">
        <v>6925</v>
      </c>
      <c r="F801" s="14" t="s">
        <v>6926</v>
      </c>
      <c r="G801" s="14" t="s">
        <v>6927</v>
      </c>
    </row>
    <row r="802" spans="1:7" ht="60">
      <c r="A802" s="14" t="s">
        <v>6921</v>
      </c>
      <c r="B802" s="14" t="s">
        <v>9644</v>
      </c>
      <c r="C802" s="14" t="s">
        <v>9645</v>
      </c>
      <c r="D802" s="14" t="s">
        <v>9646</v>
      </c>
      <c r="E802" s="14" t="s">
        <v>6925</v>
      </c>
      <c r="F802" s="14" t="s">
        <v>6969</v>
      </c>
      <c r="G802" s="14" t="s">
        <v>6927</v>
      </c>
    </row>
    <row r="803" spans="1:7" ht="75">
      <c r="A803" s="14" t="s">
        <v>6921</v>
      </c>
      <c r="B803" s="14" t="s">
        <v>5415</v>
      </c>
      <c r="C803" s="14" t="s">
        <v>9647</v>
      </c>
      <c r="D803" s="14" t="s">
        <v>9648</v>
      </c>
      <c r="E803" s="14" t="s">
        <v>7006</v>
      </c>
      <c r="F803" s="14" t="s">
        <v>7745</v>
      </c>
      <c r="G803" s="14" t="s">
        <v>6927</v>
      </c>
    </row>
    <row r="804" spans="1:7" ht="165">
      <c r="A804" s="14" t="s">
        <v>6921</v>
      </c>
      <c r="B804" s="14" t="s">
        <v>9649</v>
      </c>
      <c r="C804" s="14" t="s">
        <v>9650</v>
      </c>
      <c r="D804" s="14" t="s">
        <v>9651</v>
      </c>
      <c r="E804" s="14" t="s">
        <v>6931</v>
      </c>
      <c r="F804" s="14" t="s">
        <v>6932</v>
      </c>
      <c r="G804" s="14" t="s">
        <v>6952</v>
      </c>
    </row>
    <row r="805" spans="1:7" ht="315">
      <c r="A805" s="14" t="s">
        <v>6921</v>
      </c>
      <c r="B805" s="14" t="s">
        <v>9652</v>
      </c>
      <c r="C805" s="14" t="s">
        <v>9653</v>
      </c>
      <c r="D805" s="14" t="s">
        <v>9654</v>
      </c>
      <c r="E805" s="14" t="s">
        <v>6931</v>
      </c>
      <c r="F805" s="14" t="s">
        <v>6932</v>
      </c>
      <c r="G805" s="14" t="s">
        <v>9655</v>
      </c>
    </row>
    <row r="806" spans="1:7" ht="135">
      <c r="A806" s="14" t="s">
        <v>6921</v>
      </c>
      <c r="B806" s="14" t="s">
        <v>9656</v>
      </c>
      <c r="C806" s="14" t="s">
        <v>9657</v>
      </c>
      <c r="D806" s="14" t="s">
        <v>9658</v>
      </c>
      <c r="E806" s="14" t="s">
        <v>6931</v>
      </c>
      <c r="F806" s="14" t="s">
        <v>6932</v>
      </c>
      <c r="G806" s="14" t="s">
        <v>9659</v>
      </c>
    </row>
    <row r="807" spans="1:7" ht="45">
      <c r="A807" s="14" t="s">
        <v>6921</v>
      </c>
      <c r="B807" s="14" t="s">
        <v>9660</v>
      </c>
      <c r="C807" s="14" t="s">
        <v>9661</v>
      </c>
      <c r="D807" s="14" t="s">
        <v>9662</v>
      </c>
      <c r="E807" s="14" t="s">
        <v>6925</v>
      </c>
      <c r="F807" s="14" t="s">
        <v>6965</v>
      </c>
      <c r="G807" s="14" t="s">
        <v>6927</v>
      </c>
    </row>
    <row r="808" spans="1:7" ht="45">
      <c r="A808" s="14" t="s">
        <v>6921</v>
      </c>
      <c r="B808" s="14" t="s">
        <v>9663</v>
      </c>
      <c r="C808" s="14" t="s">
        <v>9664</v>
      </c>
      <c r="D808" s="14" t="s">
        <v>9665</v>
      </c>
      <c r="E808" s="14" t="s">
        <v>6925</v>
      </c>
      <c r="F808" s="14" t="s">
        <v>6969</v>
      </c>
      <c r="G808" s="14" t="s">
        <v>6927</v>
      </c>
    </row>
    <row r="809" spans="1:7" ht="45">
      <c r="A809" s="14" t="s">
        <v>6921</v>
      </c>
      <c r="B809" s="14" t="s">
        <v>9666</v>
      </c>
      <c r="C809" s="14" t="s">
        <v>9667</v>
      </c>
      <c r="D809" s="14" t="s">
        <v>9668</v>
      </c>
      <c r="E809" s="14" t="s">
        <v>6925</v>
      </c>
      <c r="F809" s="14" t="s">
        <v>6926</v>
      </c>
      <c r="G809" s="14" t="s">
        <v>6927</v>
      </c>
    </row>
    <row r="810" spans="1:7" ht="30">
      <c r="A810" s="14" t="s">
        <v>6921</v>
      </c>
      <c r="B810" s="14" t="s">
        <v>9669</v>
      </c>
      <c r="C810" s="14" t="s">
        <v>9670</v>
      </c>
      <c r="D810" s="14" t="s">
        <v>9671</v>
      </c>
      <c r="E810" s="14" t="s">
        <v>6925</v>
      </c>
      <c r="F810" s="14" t="s">
        <v>6965</v>
      </c>
      <c r="G810" s="14" t="s">
        <v>6927</v>
      </c>
    </row>
    <row r="811" spans="1:7" ht="150">
      <c r="A811" s="14" t="s">
        <v>6921</v>
      </c>
      <c r="B811" s="14" t="s">
        <v>9672</v>
      </c>
      <c r="C811" s="14" t="s">
        <v>9673</v>
      </c>
      <c r="D811" s="14" t="s">
        <v>9674</v>
      </c>
      <c r="E811" s="14" t="s">
        <v>6931</v>
      </c>
      <c r="F811" s="14" t="s">
        <v>6932</v>
      </c>
      <c r="G811" s="14" t="s">
        <v>8486</v>
      </c>
    </row>
    <row r="812" spans="1:7" ht="45">
      <c r="A812" s="14" t="s">
        <v>6921</v>
      </c>
      <c r="B812" s="14" t="s">
        <v>9675</v>
      </c>
      <c r="C812" s="14" t="s">
        <v>9676</v>
      </c>
      <c r="D812" s="14" t="s">
        <v>9677</v>
      </c>
      <c r="E812" s="14" t="s">
        <v>6931</v>
      </c>
      <c r="F812" s="14" t="s">
        <v>6932</v>
      </c>
      <c r="G812" s="14" t="s">
        <v>9678</v>
      </c>
    </row>
    <row r="813" spans="1:7" ht="135">
      <c r="A813" s="14" t="s">
        <v>6921</v>
      </c>
      <c r="B813" s="14" t="s">
        <v>9679</v>
      </c>
      <c r="C813" s="14" t="s">
        <v>9680</v>
      </c>
      <c r="D813" s="14" t="s">
        <v>9681</v>
      </c>
      <c r="E813" s="14" t="s">
        <v>6931</v>
      </c>
      <c r="F813" s="14" t="s">
        <v>6932</v>
      </c>
      <c r="G813" s="14" t="s">
        <v>9682</v>
      </c>
    </row>
    <row r="814" spans="1:7" ht="60">
      <c r="A814" s="14" t="s">
        <v>6921</v>
      </c>
      <c r="B814" s="14" t="s">
        <v>9683</v>
      </c>
      <c r="C814" s="14" t="s">
        <v>9684</v>
      </c>
      <c r="D814" s="14" t="s">
        <v>9685</v>
      </c>
      <c r="E814" s="14" t="s">
        <v>6956</v>
      </c>
      <c r="F814" s="14" t="s">
        <v>6986</v>
      </c>
      <c r="G814" s="14" t="s">
        <v>6927</v>
      </c>
    </row>
    <row r="815" spans="1:7" ht="45">
      <c r="A815" s="14" t="s">
        <v>6921</v>
      </c>
      <c r="B815" s="14" t="s">
        <v>9686</v>
      </c>
      <c r="C815" s="14" t="s">
        <v>9687</v>
      </c>
      <c r="D815" s="14" t="s">
        <v>9688</v>
      </c>
      <c r="E815" s="14" t="s">
        <v>6956</v>
      </c>
      <c r="F815" s="14" t="s">
        <v>6957</v>
      </c>
      <c r="G815" s="14" t="s">
        <v>6927</v>
      </c>
    </row>
    <row r="816" spans="1:7" ht="45">
      <c r="A816" s="14" t="s">
        <v>6921</v>
      </c>
      <c r="B816" s="14" t="s">
        <v>9689</v>
      </c>
      <c r="C816" s="14" t="s">
        <v>9690</v>
      </c>
      <c r="D816" s="14" t="s">
        <v>9691</v>
      </c>
      <c r="E816" s="14" t="s">
        <v>6985</v>
      </c>
      <c r="F816" s="14" t="s">
        <v>6932</v>
      </c>
      <c r="G816" s="14" t="s">
        <v>6927</v>
      </c>
    </row>
    <row r="817" spans="1:7" ht="409.5">
      <c r="A817" s="14" t="s">
        <v>6921</v>
      </c>
      <c r="B817" s="14" t="s">
        <v>9692</v>
      </c>
      <c r="C817" s="14" t="s">
        <v>9693</v>
      </c>
      <c r="D817" s="14" t="s">
        <v>9694</v>
      </c>
      <c r="E817" s="14" t="s">
        <v>6931</v>
      </c>
      <c r="F817" s="14" t="s">
        <v>6932</v>
      </c>
      <c r="G817" s="14" t="s">
        <v>9695</v>
      </c>
    </row>
    <row r="818" spans="1:7" ht="105">
      <c r="A818" s="14" t="s">
        <v>6921</v>
      </c>
      <c r="B818" s="14" t="s">
        <v>9696</v>
      </c>
      <c r="C818" s="14" t="s">
        <v>9697</v>
      </c>
      <c r="D818" s="14" t="s">
        <v>9698</v>
      </c>
      <c r="E818" s="14" t="s">
        <v>6931</v>
      </c>
      <c r="F818" s="14" t="s">
        <v>6932</v>
      </c>
      <c r="G818" s="14" t="s">
        <v>9699</v>
      </c>
    </row>
    <row r="819" spans="1:7" ht="45">
      <c r="A819" s="14" t="s">
        <v>6921</v>
      </c>
      <c r="B819" s="14" t="s">
        <v>9700</v>
      </c>
      <c r="C819" s="14" t="s">
        <v>9701</v>
      </c>
      <c r="D819" s="14" t="s">
        <v>9702</v>
      </c>
      <c r="E819" s="14" t="s">
        <v>6931</v>
      </c>
      <c r="F819" s="14" t="s">
        <v>6932</v>
      </c>
      <c r="G819" s="14" t="s">
        <v>6952</v>
      </c>
    </row>
    <row r="820" spans="1:7" ht="195">
      <c r="A820" s="14" t="s">
        <v>6921</v>
      </c>
      <c r="B820" s="14" t="s">
        <v>9703</v>
      </c>
      <c r="C820" s="14" t="s">
        <v>9704</v>
      </c>
      <c r="D820" s="14" t="s">
        <v>9705</v>
      </c>
      <c r="E820" s="14" t="s">
        <v>6931</v>
      </c>
      <c r="F820" s="14" t="s">
        <v>6932</v>
      </c>
      <c r="G820" s="14" t="s">
        <v>9706</v>
      </c>
    </row>
    <row r="821" spans="1:7" ht="45">
      <c r="A821" s="14" t="s">
        <v>6921</v>
      </c>
      <c r="B821" s="14" t="s">
        <v>9707</v>
      </c>
      <c r="C821" s="14" t="s">
        <v>9708</v>
      </c>
      <c r="D821" s="14" t="s">
        <v>9709</v>
      </c>
      <c r="E821" s="14" t="s">
        <v>6925</v>
      </c>
      <c r="F821" s="14" t="s">
        <v>6926</v>
      </c>
      <c r="G821" s="14" t="s">
        <v>6927</v>
      </c>
    </row>
    <row r="822" spans="1:7" ht="30">
      <c r="A822" s="14" t="s">
        <v>6921</v>
      </c>
      <c r="B822" s="14" t="s">
        <v>9710</v>
      </c>
      <c r="C822" s="14" t="s">
        <v>9711</v>
      </c>
      <c r="D822" s="14" t="s">
        <v>9712</v>
      </c>
      <c r="E822" s="14" t="s">
        <v>6925</v>
      </c>
      <c r="F822" s="14" t="s">
        <v>7125</v>
      </c>
      <c r="G822" s="14" t="s">
        <v>6927</v>
      </c>
    </row>
    <row r="823" spans="1:7" ht="30">
      <c r="A823" s="14" t="s">
        <v>6921</v>
      </c>
      <c r="B823" s="14" t="s">
        <v>9713</v>
      </c>
      <c r="C823" s="14" t="s">
        <v>9714</v>
      </c>
      <c r="D823" s="14" t="s">
        <v>9715</v>
      </c>
      <c r="E823" s="14" t="s">
        <v>6925</v>
      </c>
      <c r="F823" s="14" t="s">
        <v>7125</v>
      </c>
      <c r="G823" s="14" t="s">
        <v>6927</v>
      </c>
    </row>
    <row r="824" spans="1:7" ht="90">
      <c r="A824" s="14" t="s">
        <v>6921</v>
      </c>
      <c r="B824" s="14" t="s">
        <v>9716</v>
      </c>
      <c r="C824" s="14" t="s">
        <v>9717</v>
      </c>
      <c r="D824" s="14" t="s">
        <v>9718</v>
      </c>
      <c r="E824" s="14" t="s">
        <v>6931</v>
      </c>
      <c r="F824" s="14" t="s">
        <v>6932</v>
      </c>
      <c r="G824" s="14" t="s">
        <v>9719</v>
      </c>
    </row>
    <row r="825" spans="1:7" ht="45">
      <c r="A825" s="14" t="s">
        <v>6921</v>
      </c>
      <c r="B825" s="14" t="s">
        <v>9720</v>
      </c>
      <c r="C825" s="14" t="s">
        <v>9721</v>
      </c>
      <c r="D825" s="14" t="s">
        <v>9722</v>
      </c>
      <c r="E825" s="14" t="s">
        <v>6931</v>
      </c>
      <c r="F825" s="14" t="s">
        <v>6932</v>
      </c>
      <c r="G825" s="14" t="s">
        <v>9723</v>
      </c>
    </row>
    <row r="826" spans="1:7" ht="60">
      <c r="A826" s="14" t="s">
        <v>6921</v>
      </c>
      <c r="B826" s="14" t="s">
        <v>9724</v>
      </c>
      <c r="C826" s="14" t="s">
        <v>9725</v>
      </c>
      <c r="D826" s="14" t="s">
        <v>9726</v>
      </c>
      <c r="E826" s="14" t="s">
        <v>6925</v>
      </c>
      <c r="F826" s="14" t="s">
        <v>7125</v>
      </c>
      <c r="G826" s="14" t="s">
        <v>6927</v>
      </c>
    </row>
    <row r="827" spans="1:7" ht="60">
      <c r="A827" s="14" t="s">
        <v>6921</v>
      </c>
      <c r="B827" s="14" t="s">
        <v>9727</v>
      </c>
      <c r="C827" s="14" t="s">
        <v>9728</v>
      </c>
      <c r="D827" s="14" t="s">
        <v>9729</v>
      </c>
      <c r="E827" s="14" t="s">
        <v>6931</v>
      </c>
      <c r="F827" s="14" t="s">
        <v>6932</v>
      </c>
      <c r="G827" s="14" t="s">
        <v>9730</v>
      </c>
    </row>
    <row r="828" spans="1:7" ht="60">
      <c r="A828" s="14" t="s">
        <v>6921</v>
      </c>
      <c r="B828" s="14" t="s">
        <v>9731</v>
      </c>
      <c r="C828" s="14" t="s">
        <v>9732</v>
      </c>
      <c r="D828" s="14" t="s">
        <v>9733</v>
      </c>
      <c r="E828" s="14" t="s">
        <v>6925</v>
      </c>
      <c r="F828" s="14" t="s">
        <v>9734</v>
      </c>
      <c r="G828" s="14" t="s">
        <v>6927</v>
      </c>
    </row>
    <row r="829" spans="1:7" ht="165">
      <c r="A829" s="14" t="s">
        <v>6921</v>
      </c>
      <c r="B829" s="14" t="s">
        <v>9735</v>
      </c>
      <c r="C829" s="14" t="s">
        <v>9736</v>
      </c>
      <c r="D829" s="14" t="s">
        <v>9737</v>
      </c>
      <c r="E829" s="14" t="s">
        <v>6931</v>
      </c>
      <c r="F829" s="14" t="s">
        <v>6932</v>
      </c>
      <c r="G829" s="14" t="s">
        <v>9738</v>
      </c>
    </row>
    <row r="830" spans="1:7" ht="120">
      <c r="A830" s="14" t="s">
        <v>6921</v>
      </c>
      <c r="B830" s="14" t="s">
        <v>9739</v>
      </c>
      <c r="C830" s="14" t="s">
        <v>9740</v>
      </c>
      <c r="D830" s="14" t="s">
        <v>9741</v>
      </c>
      <c r="E830" s="14" t="s">
        <v>6925</v>
      </c>
      <c r="F830" s="14" t="s">
        <v>6965</v>
      </c>
      <c r="G830" s="14" t="s">
        <v>6927</v>
      </c>
    </row>
    <row r="831" spans="1:7" ht="60">
      <c r="A831" s="14" t="s">
        <v>6921</v>
      </c>
      <c r="B831" s="14" t="s">
        <v>9742</v>
      </c>
      <c r="C831" s="14" t="s">
        <v>9743</v>
      </c>
      <c r="D831" s="14" t="s">
        <v>9744</v>
      </c>
      <c r="E831" s="14" t="s">
        <v>6931</v>
      </c>
      <c r="F831" s="14" t="s">
        <v>6932</v>
      </c>
      <c r="G831" s="14" t="s">
        <v>9745</v>
      </c>
    </row>
    <row r="832" spans="1:7" ht="60">
      <c r="A832" s="14" t="s">
        <v>6921</v>
      </c>
      <c r="B832" s="14" t="s">
        <v>9746</v>
      </c>
      <c r="C832" s="14" t="s">
        <v>9747</v>
      </c>
      <c r="D832" s="14" t="s">
        <v>9748</v>
      </c>
      <c r="E832" s="14" t="s">
        <v>6931</v>
      </c>
      <c r="F832" s="14" t="s">
        <v>6932</v>
      </c>
      <c r="G832" s="14" t="s">
        <v>9749</v>
      </c>
    </row>
    <row r="833" spans="1:7" ht="409.5">
      <c r="A833" s="14" t="s">
        <v>6921</v>
      </c>
      <c r="B833" s="14" t="s">
        <v>9750</v>
      </c>
      <c r="C833" s="14" t="s">
        <v>9751</v>
      </c>
      <c r="D833" s="14" t="s">
        <v>9752</v>
      </c>
      <c r="E833" s="14" t="s">
        <v>6931</v>
      </c>
      <c r="F833" s="14" t="s">
        <v>6932</v>
      </c>
      <c r="G833" s="14" t="s">
        <v>9753</v>
      </c>
    </row>
    <row r="834" spans="1:7" ht="30">
      <c r="A834" s="14" t="s">
        <v>6921</v>
      </c>
      <c r="B834" s="14" t="s">
        <v>9754</v>
      </c>
      <c r="C834" s="14" t="s">
        <v>9755</v>
      </c>
      <c r="D834" s="14" t="s">
        <v>9756</v>
      </c>
      <c r="E834" s="14" t="s">
        <v>6956</v>
      </c>
      <c r="F834" s="14" t="s">
        <v>6957</v>
      </c>
      <c r="G834" s="14" t="s">
        <v>6927</v>
      </c>
    </row>
    <row r="835" spans="1:7" ht="60">
      <c r="A835" s="14" t="s">
        <v>6921</v>
      </c>
      <c r="B835" s="14" t="s">
        <v>9757</v>
      </c>
      <c r="C835" s="14" t="s">
        <v>9758</v>
      </c>
      <c r="D835" s="14" t="s">
        <v>9759</v>
      </c>
      <c r="E835" s="14" t="s">
        <v>6925</v>
      </c>
      <c r="F835" s="14" t="s">
        <v>7125</v>
      </c>
      <c r="G835" s="14" t="s">
        <v>6927</v>
      </c>
    </row>
    <row r="836" spans="1:7" ht="180">
      <c r="A836" s="14" t="s">
        <v>6921</v>
      </c>
      <c r="B836" s="14" t="s">
        <v>9760</v>
      </c>
      <c r="C836" s="14" t="s">
        <v>9761</v>
      </c>
      <c r="D836" s="14" t="s">
        <v>9762</v>
      </c>
      <c r="E836" s="14" t="s">
        <v>6931</v>
      </c>
      <c r="F836" s="14" t="s">
        <v>6932</v>
      </c>
      <c r="G836" s="14" t="s">
        <v>9763</v>
      </c>
    </row>
    <row r="837" spans="1:7" ht="225">
      <c r="A837" s="14" t="s">
        <v>6921</v>
      </c>
      <c r="B837" s="14" t="s">
        <v>9764</v>
      </c>
      <c r="C837" s="14" t="s">
        <v>9765</v>
      </c>
      <c r="D837" s="14" t="s">
        <v>9766</v>
      </c>
      <c r="E837" s="14" t="s">
        <v>6931</v>
      </c>
      <c r="F837" s="14" t="s">
        <v>6932</v>
      </c>
      <c r="G837" s="14" t="s">
        <v>9767</v>
      </c>
    </row>
    <row r="838" spans="1:7" ht="150">
      <c r="A838" s="14" t="s">
        <v>6921</v>
      </c>
      <c r="B838" s="14" t="s">
        <v>9768</v>
      </c>
      <c r="C838" s="14" t="s">
        <v>9769</v>
      </c>
      <c r="D838" s="14" t="s">
        <v>9770</v>
      </c>
      <c r="E838" s="14" t="s">
        <v>6931</v>
      </c>
      <c r="F838" s="14" t="s">
        <v>6932</v>
      </c>
      <c r="G838" s="14" t="s">
        <v>9771</v>
      </c>
    </row>
    <row r="839" spans="1:7" ht="409.5">
      <c r="A839" s="14" t="s">
        <v>6921</v>
      </c>
      <c r="B839" s="14" t="s">
        <v>9772</v>
      </c>
      <c r="C839" s="14" t="s">
        <v>9773</v>
      </c>
      <c r="D839" s="14" t="s">
        <v>9774</v>
      </c>
      <c r="E839" s="14" t="s">
        <v>6931</v>
      </c>
      <c r="F839" s="14" t="s">
        <v>6932</v>
      </c>
      <c r="G839" s="14" t="s">
        <v>9775</v>
      </c>
    </row>
    <row r="840" spans="1:7" ht="409.5">
      <c r="A840" s="14" t="s">
        <v>6921</v>
      </c>
      <c r="B840" s="14" t="s">
        <v>9776</v>
      </c>
      <c r="C840" s="14" t="s">
        <v>9777</v>
      </c>
      <c r="D840" s="14" t="s">
        <v>9778</v>
      </c>
      <c r="E840" s="14" t="s">
        <v>6931</v>
      </c>
      <c r="F840" s="14" t="s">
        <v>6932</v>
      </c>
      <c r="G840" s="14" t="s">
        <v>9775</v>
      </c>
    </row>
    <row r="841" spans="1:7" ht="225">
      <c r="A841" s="14" t="s">
        <v>6921</v>
      </c>
      <c r="B841" s="14" t="s">
        <v>9779</v>
      </c>
      <c r="C841" s="14" t="s">
        <v>9780</v>
      </c>
      <c r="D841" s="14" t="s">
        <v>9781</v>
      </c>
      <c r="E841" s="14" t="s">
        <v>6931</v>
      </c>
      <c r="F841" s="14" t="s">
        <v>6932</v>
      </c>
      <c r="G841" s="14" t="s">
        <v>8941</v>
      </c>
    </row>
    <row r="842" spans="1:7" ht="255">
      <c r="A842" s="14" t="s">
        <v>6921</v>
      </c>
      <c r="B842" s="14" t="s">
        <v>9782</v>
      </c>
      <c r="C842" s="14" t="s">
        <v>9783</v>
      </c>
      <c r="D842" s="14" t="s">
        <v>9784</v>
      </c>
      <c r="E842" s="14" t="s">
        <v>6931</v>
      </c>
      <c r="F842" s="14" t="s">
        <v>6932</v>
      </c>
      <c r="G842" s="14" t="s">
        <v>9785</v>
      </c>
    </row>
    <row r="843" spans="1:7" ht="60">
      <c r="A843" s="14" t="s">
        <v>6921</v>
      </c>
      <c r="B843" s="14" t="s">
        <v>9786</v>
      </c>
      <c r="C843" s="14" t="s">
        <v>9787</v>
      </c>
      <c r="D843" s="14" t="s">
        <v>9788</v>
      </c>
      <c r="E843" s="14" t="s">
        <v>6931</v>
      </c>
      <c r="F843" s="14" t="s">
        <v>6932</v>
      </c>
      <c r="G843" s="14" t="s">
        <v>9789</v>
      </c>
    </row>
    <row r="844" spans="1:7" ht="105">
      <c r="A844" s="14" t="s">
        <v>6921</v>
      </c>
      <c r="B844" s="14" t="s">
        <v>9790</v>
      </c>
      <c r="C844" s="14" t="s">
        <v>9791</v>
      </c>
      <c r="D844" s="14" t="s">
        <v>9792</v>
      </c>
      <c r="E844" s="14" t="s">
        <v>6931</v>
      </c>
      <c r="F844" s="14" t="s">
        <v>6932</v>
      </c>
      <c r="G844" s="14" t="s">
        <v>9793</v>
      </c>
    </row>
    <row r="845" spans="1:7" ht="60">
      <c r="A845" s="14" t="s">
        <v>6921</v>
      </c>
      <c r="B845" s="14" t="s">
        <v>9794</v>
      </c>
      <c r="C845" s="14" t="s">
        <v>9795</v>
      </c>
      <c r="D845" s="14" t="s">
        <v>9796</v>
      </c>
      <c r="E845" s="14" t="s">
        <v>6931</v>
      </c>
      <c r="F845" s="14" t="s">
        <v>6932</v>
      </c>
      <c r="G845" s="14" t="s">
        <v>6952</v>
      </c>
    </row>
    <row r="846" spans="1:7" ht="105">
      <c r="A846" s="14" t="s">
        <v>6921</v>
      </c>
      <c r="B846" s="14" t="s">
        <v>9797</v>
      </c>
      <c r="C846" s="14" t="s">
        <v>9798</v>
      </c>
      <c r="D846" s="14" t="s">
        <v>9799</v>
      </c>
      <c r="E846" s="14" t="s">
        <v>6931</v>
      </c>
      <c r="F846" s="14" t="s">
        <v>6932</v>
      </c>
      <c r="G846" s="14" t="s">
        <v>9800</v>
      </c>
    </row>
    <row r="847" spans="1:7" ht="105">
      <c r="A847" s="14" t="s">
        <v>6921</v>
      </c>
      <c r="B847" s="14" t="s">
        <v>9801</v>
      </c>
      <c r="C847" s="14" t="s">
        <v>9802</v>
      </c>
      <c r="D847" s="14" t="s">
        <v>9803</v>
      </c>
      <c r="E847" s="14" t="s">
        <v>6925</v>
      </c>
      <c r="F847" s="14" t="s">
        <v>6926</v>
      </c>
      <c r="G847" s="14" t="s">
        <v>6927</v>
      </c>
    </row>
    <row r="848" spans="1:7" ht="30">
      <c r="A848" s="14" t="s">
        <v>6921</v>
      </c>
      <c r="B848" s="14" t="s">
        <v>9804</v>
      </c>
      <c r="C848" s="14" t="s">
        <v>9805</v>
      </c>
      <c r="D848" s="14" t="s">
        <v>9806</v>
      </c>
      <c r="E848" s="14" t="s">
        <v>6956</v>
      </c>
      <c r="F848" s="14" t="s">
        <v>6957</v>
      </c>
      <c r="G848" s="14" t="s">
        <v>6927</v>
      </c>
    </row>
    <row r="849" spans="1:7" ht="210">
      <c r="A849" s="14" t="s">
        <v>6921</v>
      </c>
      <c r="B849" s="14" t="s">
        <v>9807</v>
      </c>
      <c r="C849" s="14" t="s">
        <v>9808</v>
      </c>
      <c r="D849" s="14" t="s">
        <v>9809</v>
      </c>
      <c r="E849" s="14" t="s">
        <v>6931</v>
      </c>
      <c r="F849" s="14" t="s">
        <v>6932</v>
      </c>
      <c r="G849" s="14" t="s">
        <v>9533</v>
      </c>
    </row>
    <row r="850" spans="1:7" ht="90">
      <c r="A850" s="14" t="s">
        <v>6921</v>
      </c>
      <c r="B850" s="14" t="s">
        <v>9810</v>
      </c>
      <c r="C850" s="14" t="s">
        <v>9811</v>
      </c>
      <c r="D850" s="14" t="s">
        <v>9812</v>
      </c>
      <c r="E850" s="14" t="s">
        <v>6931</v>
      </c>
      <c r="F850" s="14" t="s">
        <v>6932</v>
      </c>
      <c r="G850" s="14" t="s">
        <v>9813</v>
      </c>
    </row>
    <row r="851" spans="1:7" ht="90">
      <c r="A851" s="14" t="s">
        <v>6921</v>
      </c>
      <c r="B851" s="14" t="s">
        <v>9814</v>
      </c>
      <c r="C851" s="14" t="s">
        <v>9815</v>
      </c>
      <c r="D851" s="14" t="s">
        <v>9816</v>
      </c>
      <c r="E851" s="14" t="s">
        <v>6931</v>
      </c>
      <c r="F851" s="14" t="s">
        <v>6932</v>
      </c>
      <c r="G851" s="14" t="s">
        <v>9817</v>
      </c>
    </row>
    <row r="852" spans="1:7" ht="90">
      <c r="A852" s="14" t="s">
        <v>6921</v>
      </c>
      <c r="B852" s="14" t="s">
        <v>9818</v>
      </c>
      <c r="C852" s="14" t="s">
        <v>9819</v>
      </c>
      <c r="D852" s="14" t="s">
        <v>9820</v>
      </c>
      <c r="E852" s="14" t="s">
        <v>6931</v>
      </c>
      <c r="F852" s="14" t="s">
        <v>6932</v>
      </c>
      <c r="G852" s="14" t="s">
        <v>9821</v>
      </c>
    </row>
    <row r="853" spans="1:7" ht="150">
      <c r="A853" s="14" t="s">
        <v>6921</v>
      </c>
      <c r="B853" s="14" t="s">
        <v>9822</v>
      </c>
      <c r="C853" s="14" t="s">
        <v>9823</v>
      </c>
      <c r="D853" s="14" t="s">
        <v>9824</v>
      </c>
      <c r="E853" s="14" t="s">
        <v>6925</v>
      </c>
      <c r="F853" s="14" t="s">
        <v>7067</v>
      </c>
      <c r="G853" s="14" t="s">
        <v>6927</v>
      </c>
    </row>
    <row r="854" spans="1:7" ht="270">
      <c r="A854" s="14" t="s">
        <v>6921</v>
      </c>
      <c r="B854" s="14" t="s">
        <v>9825</v>
      </c>
      <c r="C854" s="14" t="s">
        <v>9826</v>
      </c>
      <c r="D854" s="14" t="s">
        <v>9827</v>
      </c>
      <c r="E854" s="14" t="s">
        <v>7006</v>
      </c>
      <c r="F854" s="14" t="s">
        <v>7745</v>
      </c>
      <c r="G854" s="14" t="s">
        <v>6927</v>
      </c>
    </row>
    <row r="855" spans="1:7" ht="120">
      <c r="A855" s="14" t="s">
        <v>6921</v>
      </c>
      <c r="B855" s="14" t="s">
        <v>9828</v>
      </c>
      <c r="C855" s="14" t="s">
        <v>9829</v>
      </c>
      <c r="D855" s="14" t="s">
        <v>9830</v>
      </c>
      <c r="E855" s="14" t="s">
        <v>7006</v>
      </c>
      <c r="F855" s="14" t="s">
        <v>7745</v>
      </c>
      <c r="G855" s="14" t="s">
        <v>6927</v>
      </c>
    </row>
    <row r="856" spans="1:7" ht="30">
      <c r="A856" s="14" t="s">
        <v>6921</v>
      </c>
      <c r="B856" s="14" t="s">
        <v>9831</v>
      </c>
      <c r="C856" s="14" t="s">
        <v>9832</v>
      </c>
      <c r="D856" s="14" t="s">
        <v>9833</v>
      </c>
      <c r="E856" s="14" t="s">
        <v>6925</v>
      </c>
      <c r="F856" s="14" t="s">
        <v>9385</v>
      </c>
      <c r="G856" s="14" t="s">
        <v>6927</v>
      </c>
    </row>
    <row r="857" spans="1:7" ht="45">
      <c r="A857" s="14" t="s">
        <v>6921</v>
      </c>
      <c r="B857" s="14" t="s">
        <v>9834</v>
      </c>
      <c r="C857" s="14" t="s">
        <v>9835</v>
      </c>
      <c r="D857" s="14" t="s">
        <v>9836</v>
      </c>
      <c r="E857" s="14" t="s">
        <v>6931</v>
      </c>
      <c r="F857" s="14" t="s">
        <v>6932</v>
      </c>
      <c r="G857" s="14" t="s">
        <v>9837</v>
      </c>
    </row>
    <row r="858" spans="1:7" ht="30">
      <c r="A858" s="14" t="s">
        <v>6921</v>
      </c>
      <c r="B858" s="14" t="s">
        <v>9838</v>
      </c>
      <c r="C858" s="14" t="s">
        <v>9839</v>
      </c>
      <c r="D858" s="14" t="s">
        <v>9840</v>
      </c>
      <c r="E858" s="14" t="s">
        <v>6925</v>
      </c>
      <c r="F858" s="14" t="s">
        <v>7276</v>
      </c>
      <c r="G858" s="14" t="s">
        <v>6927</v>
      </c>
    </row>
    <row r="859" spans="1:7" ht="30">
      <c r="A859" s="14" t="s">
        <v>6921</v>
      </c>
      <c r="B859" s="14" t="s">
        <v>9841</v>
      </c>
      <c r="C859" s="14" t="s">
        <v>9842</v>
      </c>
      <c r="D859" s="14" t="s">
        <v>9843</v>
      </c>
      <c r="E859" s="14" t="s">
        <v>6925</v>
      </c>
      <c r="F859" s="14" t="s">
        <v>7125</v>
      </c>
      <c r="G859" s="14" t="s">
        <v>6927</v>
      </c>
    </row>
    <row r="860" spans="1:7" ht="30">
      <c r="A860" s="14" t="s">
        <v>6921</v>
      </c>
      <c r="B860" s="14" t="s">
        <v>9844</v>
      </c>
      <c r="C860" s="14" t="s">
        <v>9845</v>
      </c>
      <c r="D860" s="14" t="s">
        <v>9846</v>
      </c>
      <c r="E860" s="14" t="s">
        <v>6925</v>
      </c>
      <c r="F860" s="14" t="s">
        <v>7276</v>
      </c>
      <c r="G860" s="14" t="s">
        <v>6927</v>
      </c>
    </row>
    <row r="861" spans="1:7" ht="45">
      <c r="A861" s="14" t="s">
        <v>6921</v>
      </c>
      <c r="B861" s="14" t="s">
        <v>9847</v>
      </c>
      <c r="C861" s="14" t="s">
        <v>9848</v>
      </c>
      <c r="D861" s="14" t="s">
        <v>9849</v>
      </c>
      <c r="E861" s="14" t="s">
        <v>6931</v>
      </c>
      <c r="F861" s="14" t="s">
        <v>6932</v>
      </c>
      <c r="G861" s="14" t="s">
        <v>6952</v>
      </c>
    </row>
    <row r="862" spans="1:7" ht="60">
      <c r="A862" s="14" t="s">
        <v>6921</v>
      </c>
      <c r="B862" s="14" t="s">
        <v>9850</v>
      </c>
      <c r="C862" s="14" t="s">
        <v>9851</v>
      </c>
      <c r="D862" s="14" t="s">
        <v>9852</v>
      </c>
      <c r="E862" s="14" t="s">
        <v>6985</v>
      </c>
      <c r="F862" s="14" t="s">
        <v>7828</v>
      </c>
      <c r="G862" s="14" t="s">
        <v>6927</v>
      </c>
    </row>
    <row r="863" spans="1:7" ht="120">
      <c r="A863" s="14" t="s">
        <v>6921</v>
      </c>
      <c r="B863" s="14" t="s">
        <v>9853</v>
      </c>
      <c r="C863" s="14" t="s">
        <v>9854</v>
      </c>
      <c r="D863" s="14" t="s">
        <v>9855</v>
      </c>
      <c r="E863" s="14" t="s">
        <v>6931</v>
      </c>
      <c r="F863" s="14" t="s">
        <v>6932</v>
      </c>
      <c r="G863" s="14" t="s">
        <v>9856</v>
      </c>
    </row>
    <row r="864" spans="1:7" ht="105">
      <c r="A864" s="14" t="s">
        <v>6921</v>
      </c>
      <c r="B864" s="14" t="s">
        <v>9857</v>
      </c>
      <c r="C864" s="14" t="s">
        <v>9858</v>
      </c>
      <c r="D864" s="14" t="s">
        <v>9859</v>
      </c>
      <c r="E864" s="14" t="s">
        <v>6931</v>
      </c>
      <c r="F864" s="14" t="s">
        <v>6932</v>
      </c>
      <c r="G864" s="14" t="s">
        <v>9860</v>
      </c>
    </row>
    <row r="865" spans="1:7" ht="30">
      <c r="A865" s="14" t="s">
        <v>6921</v>
      </c>
      <c r="B865" s="14" t="s">
        <v>9861</v>
      </c>
      <c r="C865" s="14" t="s">
        <v>9862</v>
      </c>
      <c r="D865" s="14" t="s">
        <v>9863</v>
      </c>
      <c r="E865" s="14" t="s">
        <v>7006</v>
      </c>
      <c r="F865" s="14" t="s">
        <v>7365</v>
      </c>
      <c r="G865" s="14" t="s">
        <v>6927</v>
      </c>
    </row>
    <row r="866" spans="1:7" ht="30">
      <c r="A866" s="14" t="s">
        <v>6921</v>
      </c>
      <c r="B866" s="14" t="s">
        <v>9864</v>
      </c>
      <c r="C866" s="14" t="s">
        <v>9865</v>
      </c>
      <c r="D866" s="14" t="s">
        <v>9866</v>
      </c>
      <c r="E866" s="14" t="s">
        <v>7006</v>
      </c>
      <c r="F866" s="14" t="s">
        <v>7365</v>
      </c>
      <c r="G866" s="14" t="s">
        <v>6927</v>
      </c>
    </row>
    <row r="867" spans="1:7" ht="45">
      <c r="A867" s="14" t="s">
        <v>6921</v>
      </c>
      <c r="B867" s="14" t="s">
        <v>9867</v>
      </c>
      <c r="C867" s="14" t="s">
        <v>9868</v>
      </c>
      <c r="D867" s="14" t="s">
        <v>9869</v>
      </c>
      <c r="E867" s="14" t="s">
        <v>6985</v>
      </c>
      <c r="F867" s="14" t="s">
        <v>7828</v>
      </c>
      <c r="G867" s="14" t="s">
        <v>6927</v>
      </c>
    </row>
    <row r="868" spans="1:7" ht="45">
      <c r="A868" s="14" t="s">
        <v>6921</v>
      </c>
      <c r="B868" s="14" t="s">
        <v>9870</v>
      </c>
      <c r="C868" s="14" t="s">
        <v>9871</v>
      </c>
      <c r="D868" s="14" t="s">
        <v>9872</v>
      </c>
      <c r="E868" s="14" t="s">
        <v>7006</v>
      </c>
      <c r="F868" s="14" t="s">
        <v>7455</v>
      </c>
      <c r="G868" s="14" t="s">
        <v>6927</v>
      </c>
    </row>
    <row r="869" spans="1:7" ht="45">
      <c r="A869" s="14" t="s">
        <v>6921</v>
      </c>
      <c r="B869" s="14" t="s">
        <v>9873</v>
      </c>
      <c r="C869" s="14" t="s">
        <v>9874</v>
      </c>
      <c r="D869" s="14" t="s">
        <v>9875</v>
      </c>
      <c r="E869" s="14" t="s">
        <v>7006</v>
      </c>
      <c r="F869" s="14" t="s">
        <v>7687</v>
      </c>
      <c r="G869" s="14" t="s">
        <v>6927</v>
      </c>
    </row>
    <row r="870" spans="1:7" ht="30">
      <c r="A870" s="14" t="s">
        <v>6921</v>
      </c>
      <c r="B870" s="14" t="s">
        <v>9876</v>
      </c>
      <c r="C870" s="14" t="s">
        <v>9877</v>
      </c>
      <c r="D870" s="14" t="s">
        <v>9878</v>
      </c>
      <c r="E870" s="14" t="s">
        <v>6925</v>
      </c>
      <c r="F870" s="14" t="s">
        <v>7204</v>
      </c>
      <c r="G870" s="14" t="s">
        <v>6927</v>
      </c>
    </row>
    <row r="871" spans="1:7" ht="45">
      <c r="A871" s="14" t="s">
        <v>6921</v>
      </c>
      <c r="B871" s="14" t="s">
        <v>9879</v>
      </c>
      <c r="C871" s="14" t="s">
        <v>9880</v>
      </c>
      <c r="D871" s="14" t="s">
        <v>9881</v>
      </c>
      <c r="E871" s="14" t="s">
        <v>6956</v>
      </c>
      <c r="F871" s="14" t="s">
        <v>6957</v>
      </c>
      <c r="G871" s="14" t="s">
        <v>6927</v>
      </c>
    </row>
    <row r="872" spans="1:7" ht="45">
      <c r="A872" s="14" t="s">
        <v>6921</v>
      </c>
      <c r="B872" s="14" t="s">
        <v>9882</v>
      </c>
      <c r="C872" s="14" t="s">
        <v>9883</v>
      </c>
      <c r="D872" s="14" t="s">
        <v>9884</v>
      </c>
      <c r="E872" s="14" t="s">
        <v>6956</v>
      </c>
      <c r="F872" s="14" t="s">
        <v>6957</v>
      </c>
      <c r="G872" s="14" t="s">
        <v>6927</v>
      </c>
    </row>
    <row r="873" spans="1:7" ht="45">
      <c r="A873" s="14" t="s">
        <v>6921</v>
      </c>
      <c r="B873" s="14" t="s">
        <v>9885</v>
      </c>
      <c r="C873" s="14" t="s">
        <v>9886</v>
      </c>
      <c r="D873" s="14" t="s">
        <v>9887</v>
      </c>
      <c r="E873" s="14" t="s">
        <v>6931</v>
      </c>
      <c r="F873" s="14" t="s">
        <v>6932</v>
      </c>
      <c r="G873" s="14" t="s">
        <v>9888</v>
      </c>
    </row>
    <row r="874" spans="1:7" ht="45">
      <c r="A874" s="14" t="s">
        <v>6921</v>
      </c>
      <c r="B874" s="14" t="s">
        <v>9889</v>
      </c>
      <c r="C874" s="14" t="s">
        <v>9890</v>
      </c>
      <c r="D874" s="14" t="s">
        <v>9891</v>
      </c>
      <c r="E874" s="14" t="s">
        <v>6931</v>
      </c>
      <c r="F874" s="14" t="s">
        <v>6932</v>
      </c>
      <c r="G874" s="14" t="s">
        <v>6952</v>
      </c>
    </row>
    <row r="875" spans="1:7" ht="30">
      <c r="A875" s="14" t="s">
        <v>6921</v>
      </c>
      <c r="B875" s="14" t="s">
        <v>9892</v>
      </c>
      <c r="C875" s="14" t="s">
        <v>9893</v>
      </c>
      <c r="D875" s="14" t="s">
        <v>9894</v>
      </c>
      <c r="E875" s="14" t="s">
        <v>6956</v>
      </c>
      <c r="F875" s="14" t="s">
        <v>6957</v>
      </c>
      <c r="G875" s="14" t="s">
        <v>6927</v>
      </c>
    </row>
    <row r="876" spans="1:7" ht="30">
      <c r="A876" s="14" t="s">
        <v>6921</v>
      </c>
      <c r="B876" s="14" t="s">
        <v>9895</v>
      </c>
      <c r="C876" s="14" t="s">
        <v>9896</v>
      </c>
      <c r="D876" s="14" t="s">
        <v>9897</v>
      </c>
      <c r="E876" s="14" t="s">
        <v>6956</v>
      </c>
      <c r="F876" s="14" t="s">
        <v>6957</v>
      </c>
      <c r="G876" s="14" t="s">
        <v>6927</v>
      </c>
    </row>
    <row r="877" spans="1:7" ht="30">
      <c r="A877" s="14" t="s">
        <v>6921</v>
      </c>
      <c r="B877" s="14" t="s">
        <v>9898</v>
      </c>
      <c r="C877" s="14" t="s">
        <v>9899</v>
      </c>
      <c r="D877" s="14" t="s">
        <v>9900</v>
      </c>
      <c r="E877" s="14" t="s">
        <v>6925</v>
      </c>
      <c r="F877" s="14" t="s">
        <v>7067</v>
      </c>
      <c r="G877" s="14" t="s">
        <v>6927</v>
      </c>
    </row>
    <row r="878" spans="1:7" ht="30">
      <c r="A878" s="14" t="s">
        <v>6921</v>
      </c>
      <c r="B878" s="14" t="s">
        <v>9901</v>
      </c>
      <c r="C878" s="14" t="s">
        <v>9902</v>
      </c>
      <c r="D878" s="14" t="s">
        <v>9903</v>
      </c>
      <c r="E878" s="14" t="s">
        <v>6925</v>
      </c>
      <c r="F878" s="14" t="s">
        <v>6965</v>
      </c>
      <c r="G878" s="14" t="s">
        <v>6927</v>
      </c>
    </row>
    <row r="879" spans="1:7" ht="30">
      <c r="A879" s="14" t="s">
        <v>6921</v>
      </c>
      <c r="B879" s="14" t="s">
        <v>9904</v>
      </c>
      <c r="C879" s="14" t="s">
        <v>9905</v>
      </c>
      <c r="D879" s="14" t="s">
        <v>9906</v>
      </c>
      <c r="E879" s="14" t="s">
        <v>6925</v>
      </c>
      <c r="F879" s="14" t="s">
        <v>7924</v>
      </c>
      <c r="G879" s="14" t="s">
        <v>6927</v>
      </c>
    </row>
    <row r="880" spans="1:7" ht="105">
      <c r="A880" s="14" t="s">
        <v>6921</v>
      </c>
      <c r="B880" s="14" t="s">
        <v>9907</v>
      </c>
      <c r="C880" s="14" t="s">
        <v>9908</v>
      </c>
      <c r="D880" s="14" t="s">
        <v>9909</v>
      </c>
      <c r="E880" s="14" t="s">
        <v>6925</v>
      </c>
      <c r="F880" s="14" t="s">
        <v>6969</v>
      </c>
      <c r="G880" s="14" t="s">
        <v>6927</v>
      </c>
    </row>
    <row r="881" spans="1:7" ht="45">
      <c r="A881" s="14" t="s">
        <v>6921</v>
      </c>
      <c r="B881" s="14" t="s">
        <v>9910</v>
      </c>
      <c r="C881" s="14" t="s">
        <v>9911</v>
      </c>
      <c r="D881" s="14" t="s">
        <v>9912</v>
      </c>
      <c r="E881" s="14" t="s">
        <v>7006</v>
      </c>
      <c r="F881" s="14" t="s">
        <v>7455</v>
      </c>
      <c r="G881" s="14" t="s">
        <v>6927</v>
      </c>
    </row>
    <row r="882" spans="1:7" ht="60">
      <c r="A882" s="14" t="s">
        <v>6921</v>
      </c>
      <c r="B882" s="14" t="s">
        <v>9913</v>
      </c>
      <c r="C882" s="14" t="s">
        <v>9914</v>
      </c>
      <c r="D882" s="14" t="s">
        <v>9915</v>
      </c>
      <c r="E882" s="14" t="s">
        <v>6931</v>
      </c>
      <c r="F882" s="14" t="s">
        <v>6932</v>
      </c>
      <c r="G882" s="14" t="s">
        <v>6952</v>
      </c>
    </row>
    <row r="883" spans="1:7" ht="90">
      <c r="A883" s="14" t="s">
        <v>6921</v>
      </c>
      <c r="B883" s="14" t="s">
        <v>9916</v>
      </c>
      <c r="C883" s="14" t="s">
        <v>9917</v>
      </c>
      <c r="D883" s="14" t="s">
        <v>9918</v>
      </c>
      <c r="E883" s="14" t="s">
        <v>6925</v>
      </c>
      <c r="F883" s="14" t="s">
        <v>6969</v>
      </c>
      <c r="G883" s="14" t="s">
        <v>6927</v>
      </c>
    </row>
    <row r="884" spans="1:7" ht="135">
      <c r="A884" s="14" t="s">
        <v>6921</v>
      </c>
      <c r="B884" s="14" t="s">
        <v>9919</v>
      </c>
      <c r="C884" s="14" t="s">
        <v>9920</v>
      </c>
      <c r="D884" s="14" t="s">
        <v>9921</v>
      </c>
      <c r="E884" s="14" t="s">
        <v>6925</v>
      </c>
      <c r="F884" s="14" t="s">
        <v>7098</v>
      </c>
      <c r="G884" s="14" t="s">
        <v>6927</v>
      </c>
    </row>
    <row r="885" spans="1:7" ht="45">
      <c r="A885" s="14" t="s">
        <v>6921</v>
      </c>
      <c r="B885" s="14" t="s">
        <v>9922</v>
      </c>
      <c r="C885" s="14" t="s">
        <v>9923</v>
      </c>
      <c r="D885" s="14" t="s">
        <v>9924</v>
      </c>
      <c r="E885" s="14" t="s">
        <v>6925</v>
      </c>
      <c r="F885" s="14" t="s">
        <v>7125</v>
      </c>
      <c r="G885" s="14" t="s">
        <v>6927</v>
      </c>
    </row>
    <row r="886" spans="1:7" ht="30">
      <c r="A886" s="14" t="s">
        <v>6921</v>
      </c>
      <c r="B886" s="14" t="s">
        <v>9925</v>
      </c>
      <c r="C886" s="14" t="s">
        <v>9926</v>
      </c>
      <c r="D886" s="14" t="s">
        <v>9927</v>
      </c>
      <c r="E886" s="14" t="s">
        <v>6925</v>
      </c>
      <c r="F886" s="14" t="s">
        <v>7125</v>
      </c>
      <c r="G886" s="14" t="s">
        <v>6927</v>
      </c>
    </row>
    <row r="887" spans="1:7" ht="30">
      <c r="A887" s="14" t="s">
        <v>6921</v>
      </c>
      <c r="B887" s="14" t="s">
        <v>9928</v>
      </c>
      <c r="C887" s="14" t="s">
        <v>9929</v>
      </c>
      <c r="D887" s="14" t="s">
        <v>9930</v>
      </c>
      <c r="E887" s="14" t="s">
        <v>6925</v>
      </c>
      <c r="F887" s="14" t="s">
        <v>7204</v>
      </c>
      <c r="G887" s="14" t="s">
        <v>6927</v>
      </c>
    </row>
    <row r="888" spans="1:7" ht="30">
      <c r="A888" s="14" t="s">
        <v>6921</v>
      </c>
      <c r="B888" s="14" t="s">
        <v>9931</v>
      </c>
      <c r="C888" s="14" t="s">
        <v>9932</v>
      </c>
      <c r="D888" s="14" t="s">
        <v>9933</v>
      </c>
      <c r="E888" s="14" t="s">
        <v>6925</v>
      </c>
      <c r="F888" s="14" t="s">
        <v>7067</v>
      </c>
      <c r="G888" s="14" t="s">
        <v>6927</v>
      </c>
    </row>
    <row r="889" spans="1:7" ht="315">
      <c r="A889" s="14" t="s">
        <v>6921</v>
      </c>
      <c r="B889" s="14" t="s">
        <v>9934</v>
      </c>
      <c r="C889" s="14" t="s">
        <v>9935</v>
      </c>
      <c r="D889" s="14" t="s">
        <v>9936</v>
      </c>
      <c r="E889" s="14" t="s">
        <v>6931</v>
      </c>
      <c r="F889" s="14" t="s">
        <v>6932</v>
      </c>
      <c r="G889" s="14" t="s">
        <v>9937</v>
      </c>
    </row>
    <row r="890" spans="1:7" ht="105">
      <c r="A890" s="14" t="s">
        <v>6921</v>
      </c>
      <c r="B890" s="14" t="s">
        <v>9938</v>
      </c>
      <c r="C890" s="14" t="s">
        <v>9939</v>
      </c>
      <c r="D890" s="14" t="s">
        <v>9940</v>
      </c>
      <c r="E890" s="14" t="s">
        <v>6925</v>
      </c>
      <c r="F890" s="14" t="s">
        <v>7067</v>
      </c>
      <c r="G890" s="14" t="s">
        <v>6927</v>
      </c>
    </row>
    <row r="891" spans="1:7" ht="45">
      <c r="A891" s="14" t="s">
        <v>6921</v>
      </c>
      <c r="B891" s="14" t="s">
        <v>9941</v>
      </c>
      <c r="C891" s="14" t="s">
        <v>9942</v>
      </c>
      <c r="D891" s="14" t="s">
        <v>9943</v>
      </c>
      <c r="E891" s="14" t="s">
        <v>6931</v>
      </c>
      <c r="F891" s="14" t="s">
        <v>6932</v>
      </c>
      <c r="G891" s="14" t="s">
        <v>6952</v>
      </c>
    </row>
    <row r="892" spans="1:7" ht="75">
      <c r="A892" s="14" t="s">
        <v>6921</v>
      </c>
      <c r="B892" s="14" t="s">
        <v>9944</v>
      </c>
      <c r="C892" s="14" t="s">
        <v>9945</v>
      </c>
      <c r="D892" s="14" t="s">
        <v>9946</v>
      </c>
      <c r="E892" s="14" t="s">
        <v>6931</v>
      </c>
      <c r="F892" s="14" t="s">
        <v>6932</v>
      </c>
      <c r="G892" s="14" t="s">
        <v>6952</v>
      </c>
    </row>
    <row r="893" spans="1:7" ht="60">
      <c r="A893" s="14" t="s">
        <v>6921</v>
      </c>
      <c r="B893" s="14" t="s">
        <v>9947</v>
      </c>
      <c r="C893" s="14" t="s">
        <v>9948</v>
      </c>
      <c r="D893" s="14" t="s">
        <v>9949</v>
      </c>
      <c r="E893" s="14" t="s">
        <v>6931</v>
      </c>
      <c r="F893" s="14" t="s">
        <v>6932</v>
      </c>
      <c r="G893" s="14" t="s">
        <v>6952</v>
      </c>
    </row>
    <row r="894" spans="1:7" ht="45">
      <c r="A894" s="14" t="s">
        <v>6921</v>
      </c>
      <c r="B894" s="14" t="s">
        <v>9950</v>
      </c>
      <c r="C894" s="14" t="s">
        <v>9951</v>
      </c>
      <c r="D894" s="14" t="s">
        <v>9952</v>
      </c>
      <c r="E894" s="14" t="s">
        <v>6925</v>
      </c>
      <c r="F894" s="14" t="s">
        <v>6926</v>
      </c>
      <c r="G894" s="14" t="s">
        <v>6927</v>
      </c>
    </row>
    <row r="895" spans="1:7" ht="45">
      <c r="A895" s="14" t="s">
        <v>6921</v>
      </c>
      <c r="B895" s="14" t="s">
        <v>9953</v>
      </c>
      <c r="C895" s="14" t="s">
        <v>9954</v>
      </c>
      <c r="D895" s="14" t="s">
        <v>9955</v>
      </c>
      <c r="E895" s="14" t="s">
        <v>6925</v>
      </c>
      <c r="F895" s="14" t="s">
        <v>6926</v>
      </c>
      <c r="G895" s="14" t="s">
        <v>6927</v>
      </c>
    </row>
    <row r="896" spans="1:7" ht="75">
      <c r="A896" s="14" t="s">
        <v>6921</v>
      </c>
      <c r="B896" s="14" t="s">
        <v>9956</v>
      </c>
      <c r="C896" s="14" t="s">
        <v>9957</v>
      </c>
      <c r="D896" s="14" t="s">
        <v>9958</v>
      </c>
      <c r="E896" s="14" t="s">
        <v>6985</v>
      </c>
      <c r="F896" s="14" t="s">
        <v>7046</v>
      </c>
      <c r="G896" s="14" t="s">
        <v>6927</v>
      </c>
    </row>
    <row r="897" spans="1:7" ht="45">
      <c r="A897" s="14" t="s">
        <v>6921</v>
      </c>
      <c r="B897" s="14" t="s">
        <v>9959</v>
      </c>
      <c r="C897" s="14" t="s">
        <v>9960</v>
      </c>
      <c r="D897" s="14" t="s">
        <v>9961</v>
      </c>
      <c r="E897" s="14" t="s">
        <v>6931</v>
      </c>
      <c r="F897" s="14" t="s">
        <v>6932</v>
      </c>
      <c r="G897" s="14" t="s">
        <v>9962</v>
      </c>
    </row>
    <row r="898" spans="1:7" ht="165">
      <c r="A898" s="14" t="s">
        <v>6921</v>
      </c>
      <c r="B898" s="14" t="s">
        <v>9963</v>
      </c>
      <c r="C898" s="14" t="s">
        <v>9964</v>
      </c>
      <c r="D898" s="14" t="s">
        <v>9965</v>
      </c>
      <c r="E898" s="14" t="s">
        <v>6931</v>
      </c>
      <c r="F898" s="14" t="s">
        <v>6932</v>
      </c>
      <c r="G898" s="14" t="s">
        <v>9966</v>
      </c>
    </row>
    <row r="899" spans="1:7" ht="60">
      <c r="A899" s="14" t="s">
        <v>6921</v>
      </c>
      <c r="B899" s="14" t="s">
        <v>9967</v>
      </c>
      <c r="C899" s="14" t="s">
        <v>9968</v>
      </c>
      <c r="D899" s="14" t="s">
        <v>9969</v>
      </c>
      <c r="E899" s="14" t="s">
        <v>6931</v>
      </c>
      <c r="F899" s="14" t="s">
        <v>6932</v>
      </c>
      <c r="G899" s="14" t="s">
        <v>9970</v>
      </c>
    </row>
    <row r="900" spans="1:7" ht="45">
      <c r="A900" s="14" t="s">
        <v>6921</v>
      </c>
      <c r="B900" s="14" t="s">
        <v>9971</v>
      </c>
      <c r="C900" s="14" t="s">
        <v>9972</v>
      </c>
      <c r="D900" s="14" t="s">
        <v>9973</v>
      </c>
      <c r="E900" s="14" t="s">
        <v>6956</v>
      </c>
      <c r="F900" s="14" t="s">
        <v>6957</v>
      </c>
      <c r="G900" s="14" t="s">
        <v>6927</v>
      </c>
    </row>
    <row r="901" spans="1:7" ht="105">
      <c r="A901" s="14" t="s">
        <v>6921</v>
      </c>
      <c r="B901" s="14" t="s">
        <v>9974</v>
      </c>
      <c r="C901" s="14" t="s">
        <v>9975</v>
      </c>
      <c r="D901" s="14" t="s">
        <v>9976</v>
      </c>
      <c r="E901" s="14" t="s">
        <v>6931</v>
      </c>
      <c r="F901" s="14" t="s">
        <v>6932</v>
      </c>
      <c r="G901" s="14" t="s">
        <v>9977</v>
      </c>
    </row>
    <row r="902" spans="1:7" ht="75">
      <c r="A902" s="14" t="s">
        <v>6921</v>
      </c>
      <c r="B902" s="14" t="s">
        <v>9978</v>
      </c>
      <c r="C902" s="14" t="s">
        <v>9979</v>
      </c>
      <c r="D902" s="14" t="s">
        <v>9980</v>
      </c>
      <c r="E902" s="14" t="s">
        <v>6931</v>
      </c>
      <c r="F902" s="14" t="s">
        <v>6932</v>
      </c>
      <c r="G902" s="14" t="s">
        <v>9981</v>
      </c>
    </row>
    <row r="903" spans="1:7" ht="45">
      <c r="A903" s="14" t="s">
        <v>6921</v>
      </c>
      <c r="B903" s="14" t="s">
        <v>9982</v>
      </c>
      <c r="C903" s="14" t="s">
        <v>9983</v>
      </c>
      <c r="D903" s="14" t="s">
        <v>9984</v>
      </c>
      <c r="E903" s="14" t="s">
        <v>7006</v>
      </c>
      <c r="F903" s="14" t="s">
        <v>9050</v>
      </c>
      <c r="G903" s="14" t="s">
        <v>6927</v>
      </c>
    </row>
    <row r="904" spans="1:7" ht="45">
      <c r="A904" s="14" t="s">
        <v>6921</v>
      </c>
      <c r="B904" s="14" t="s">
        <v>9985</v>
      </c>
      <c r="C904" s="14" t="s">
        <v>9986</v>
      </c>
      <c r="D904" s="14" t="s">
        <v>9987</v>
      </c>
      <c r="E904" s="14" t="s">
        <v>6925</v>
      </c>
      <c r="F904" s="14" t="s">
        <v>7125</v>
      </c>
      <c r="G904" s="14" t="s">
        <v>6927</v>
      </c>
    </row>
    <row r="905" spans="1:7" ht="45">
      <c r="A905" s="14" t="s">
        <v>6921</v>
      </c>
      <c r="B905" s="14" t="s">
        <v>9988</v>
      </c>
      <c r="C905" s="14" t="s">
        <v>9989</v>
      </c>
      <c r="D905" s="14" t="s">
        <v>9990</v>
      </c>
      <c r="E905" s="14" t="s">
        <v>6931</v>
      </c>
      <c r="F905" s="14" t="s">
        <v>6932</v>
      </c>
      <c r="G905" s="14" t="s">
        <v>6952</v>
      </c>
    </row>
    <row r="906" spans="1:7" ht="180">
      <c r="A906" s="14" t="s">
        <v>6921</v>
      </c>
      <c r="B906" s="14" t="s">
        <v>9991</v>
      </c>
      <c r="C906" s="14" t="s">
        <v>9992</v>
      </c>
      <c r="D906" s="14" t="s">
        <v>9993</v>
      </c>
      <c r="E906" s="14" t="s">
        <v>6931</v>
      </c>
      <c r="F906" s="14" t="s">
        <v>6932</v>
      </c>
      <c r="G906" s="14" t="s">
        <v>9994</v>
      </c>
    </row>
    <row r="907" spans="1:7" ht="90">
      <c r="A907" s="14" t="s">
        <v>6921</v>
      </c>
      <c r="B907" s="14" t="s">
        <v>9995</v>
      </c>
      <c r="C907" s="14" t="s">
        <v>9996</v>
      </c>
      <c r="D907" s="14" t="s">
        <v>9997</v>
      </c>
      <c r="E907" s="14" t="s">
        <v>6931</v>
      </c>
      <c r="F907" s="14" t="s">
        <v>6932</v>
      </c>
      <c r="G907" s="14" t="s">
        <v>6952</v>
      </c>
    </row>
    <row r="908" spans="1:7" ht="75">
      <c r="A908" s="14" t="s">
        <v>6921</v>
      </c>
      <c r="B908" s="14" t="s">
        <v>9998</v>
      </c>
      <c r="C908" s="14" t="s">
        <v>9999</v>
      </c>
      <c r="D908" s="14" t="s">
        <v>10000</v>
      </c>
      <c r="E908" s="14" t="s">
        <v>6956</v>
      </c>
      <c r="F908" s="14" t="s">
        <v>6957</v>
      </c>
      <c r="G908" s="14" t="s">
        <v>6927</v>
      </c>
    </row>
    <row r="909" spans="1:7" ht="60">
      <c r="A909" s="14" t="s">
        <v>6921</v>
      </c>
      <c r="B909" s="14" t="s">
        <v>10001</v>
      </c>
      <c r="C909" s="14" t="s">
        <v>10002</v>
      </c>
      <c r="D909" s="14" t="s">
        <v>10003</v>
      </c>
      <c r="E909" s="14" t="s">
        <v>6925</v>
      </c>
      <c r="F909" s="14" t="s">
        <v>7125</v>
      </c>
      <c r="G909" s="14" t="s">
        <v>6927</v>
      </c>
    </row>
    <row r="910" spans="1:7" ht="30">
      <c r="A910" s="14" t="s">
        <v>6921</v>
      </c>
      <c r="B910" s="14" t="s">
        <v>10004</v>
      </c>
      <c r="C910" s="14" t="s">
        <v>10005</v>
      </c>
      <c r="D910" s="14" t="s">
        <v>10006</v>
      </c>
      <c r="E910" s="14" t="s">
        <v>6925</v>
      </c>
      <c r="F910" s="14" t="s">
        <v>7067</v>
      </c>
      <c r="G910" s="14" t="s">
        <v>6927</v>
      </c>
    </row>
    <row r="911" spans="1:7" ht="60">
      <c r="A911" s="14" t="s">
        <v>6921</v>
      </c>
      <c r="B911" s="14" t="s">
        <v>10007</v>
      </c>
      <c r="C911" s="14" t="s">
        <v>10008</v>
      </c>
      <c r="D911" s="14" t="s">
        <v>10009</v>
      </c>
      <c r="E911" s="14" t="s">
        <v>6931</v>
      </c>
      <c r="F911" s="14" t="s">
        <v>6932</v>
      </c>
      <c r="G911" s="14" t="s">
        <v>10010</v>
      </c>
    </row>
    <row r="912" spans="1:7" ht="60">
      <c r="A912" s="14" t="s">
        <v>6921</v>
      </c>
      <c r="B912" s="14" t="s">
        <v>10011</v>
      </c>
      <c r="C912" s="14" t="s">
        <v>10012</v>
      </c>
      <c r="D912" s="14" t="s">
        <v>10013</v>
      </c>
      <c r="E912" s="14" t="s">
        <v>6931</v>
      </c>
      <c r="F912" s="14" t="s">
        <v>6932</v>
      </c>
      <c r="G912" s="14" t="s">
        <v>10014</v>
      </c>
    </row>
    <row r="913" spans="1:7" ht="30">
      <c r="A913" s="14" t="s">
        <v>6921</v>
      </c>
      <c r="B913" s="14" t="s">
        <v>10015</v>
      </c>
      <c r="C913" s="14" t="s">
        <v>10016</v>
      </c>
      <c r="D913" s="14" t="s">
        <v>10017</v>
      </c>
      <c r="E913" s="14" t="s">
        <v>6956</v>
      </c>
      <c r="F913" s="14" t="s">
        <v>6957</v>
      </c>
      <c r="G913" s="14" t="s">
        <v>6927</v>
      </c>
    </row>
    <row r="914" spans="1:7" ht="45">
      <c r="A914" s="14" t="s">
        <v>6921</v>
      </c>
      <c r="B914" s="14" t="s">
        <v>10018</v>
      </c>
      <c r="C914" s="14" t="s">
        <v>10019</v>
      </c>
      <c r="D914" s="14" t="s">
        <v>10020</v>
      </c>
      <c r="E914" s="14" t="s">
        <v>6956</v>
      </c>
      <c r="F914" s="14" t="s">
        <v>6957</v>
      </c>
      <c r="G914" s="14" t="s">
        <v>6927</v>
      </c>
    </row>
    <row r="915" spans="1:7" ht="60">
      <c r="A915" s="14" t="s">
        <v>6921</v>
      </c>
      <c r="B915" s="14" t="s">
        <v>10021</v>
      </c>
      <c r="C915" s="14" t="s">
        <v>10022</v>
      </c>
      <c r="D915" s="14" t="s">
        <v>10023</v>
      </c>
      <c r="E915" s="14" t="s">
        <v>6931</v>
      </c>
      <c r="F915" s="14" t="s">
        <v>6932</v>
      </c>
      <c r="G915" s="14" t="s">
        <v>10024</v>
      </c>
    </row>
    <row r="916" spans="1:7" ht="30">
      <c r="A916" s="14" t="s">
        <v>6921</v>
      </c>
      <c r="B916" s="14" t="s">
        <v>10025</v>
      </c>
      <c r="C916" s="14" t="s">
        <v>10026</v>
      </c>
      <c r="D916" s="14" t="s">
        <v>10027</v>
      </c>
      <c r="E916" s="14" t="s">
        <v>6925</v>
      </c>
      <c r="F916" s="14" t="s">
        <v>7828</v>
      </c>
      <c r="G916" s="14" t="s">
        <v>6927</v>
      </c>
    </row>
    <row r="917" spans="1:7" ht="330">
      <c r="A917" s="14" t="s">
        <v>6921</v>
      </c>
      <c r="B917" s="14" t="s">
        <v>10028</v>
      </c>
      <c r="C917" s="14" t="s">
        <v>10029</v>
      </c>
      <c r="D917" s="14" t="s">
        <v>10030</v>
      </c>
      <c r="E917" s="14" t="s">
        <v>6931</v>
      </c>
      <c r="F917" s="14" t="s">
        <v>6932</v>
      </c>
      <c r="G917" s="14" t="s">
        <v>10031</v>
      </c>
    </row>
    <row r="918" spans="1:7" ht="45">
      <c r="A918" s="14" t="s">
        <v>6921</v>
      </c>
      <c r="B918" s="14" t="s">
        <v>10032</v>
      </c>
      <c r="C918" s="14" t="s">
        <v>10033</v>
      </c>
      <c r="D918" s="14" t="s">
        <v>10034</v>
      </c>
      <c r="E918" s="14" t="s">
        <v>6985</v>
      </c>
      <c r="F918" s="14" t="s">
        <v>6986</v>
      </c>
      <c r="G918" s="14" t="s">
        <v>6927</v>
      </c>
    </row>
    <row r="919" spans="1:7" ht="30">
      <c r="A919" s="14" t="s">
        <v>6921</v>
      </c>
      <c r="B919" s="14" t="s">
        <v>10035</v>
      </c>
      <c r="C919" s="14" t="s">
        <v>10036</v>
      </c>
      <c r="D919" s="14" t="s">
        <v>10037</v>
      </c>
      <c r="E919" s="14" t="s">
        <v>6985</v>
      </c>
      <c r="F919" s="14" t="s">
        <v>6986</v>
      </c>
      <c r="G919" s="14" t="s">
        <v>6927</v>
      </c>
    </row>
    <row r="920" spans="1:7" ht="45">
      <c r="A920" s="14" t="s">
        <v>6921</v>
      </c>
      <c r="B920" s="14" t="s">
        <v>10038</v>
      </c>
      <c r="C920" s="14" t="s">
        <v>10039</v>
      </c>
      <c r="D920" s="14" t="s">
        <v>10040</v>
      </c>
      <c r="E920" s="14" t="s">
        <v>7006</v>
      </c>
      <c r="F920" s="14" t="s">
        <v>7308</v>
      </c>
      <c r="G920" s="14" t="s">
        <v>6927</v>
      </c>
    </row>
    <row r="921" spans="1:7" ht="60">
      <c r="A921" s="14" t="s">
        <v>6921</v>
      </c>
      <c r="B921" s="14" t="s">
        <v>10041</v>
      </c>
      <c r="C921" s="14" t="s">
        <v>10042</v>
      </c>
      <c r="D921" s="14" t="s">
        <v>10043</v>
      </c>
      <c r="E921" s="14" t="s">
        <v>7006</v>
      </c>
      <c r="F921" s="14" t="s">
        <v>7687</v>
      </c>
      <c r="G921" s="14" t="s">
        <v>6927</v>
      </c>
    </row>
    <row r="922" spans="1:7" ht="105">
      <c r="A922" s="14" t="s">
        <v>6921</v>
      </c>
      <c r="B922" s="14" t="s">
        <v>10044</v>
      </c>
      <c r="C922" s="14" t="s">
        <v>10045</v>
      </c>
      <c r="D922" s="14" t="s">
        <v>10046</v>
      </c>
      <c r="E922" s="14" t="s">
        <v>7006</v>
      </c>
      <c r="F922" s="14" t="s">
        <v>7687</v>
      </c>
      <c r="G922" s="14" t="s">
        <v>6927</v>
      </c>
    </row>
    <row r="923" spans="1:7" ht="60">
      <c r="A923" s="14" t="s">
        <v>6921</v>
      </c>
      <c r="B923" s="14" t="s">
        <v>10047</v>
      </c>
      <c r="C923" s="14" t="s">
        <v>10048</v>
      </c>
      <c r="D923" s="14" t="s">
        <v>10049</v>
      </c>
      <c r="E923" s="14" t="s">
        <v>7006</v>
      </c>
      <c r="F923" s="14" t="s">
        <v>7687</v>
      </c>
      <c r="G923" s="14" t="s">
        <v>6927</v>
      </c>
    </row>
    <row r="924" spans="1:7" ht="45">
      <c r="A924" s="14" t="s">
        <v>6921</v>
      </c>
      <c r="B924" s="14" t="s">
        <v>10050</v>
      </c>
      <c r="C924" s="14" t="s">
        <v>10051</v>
      </c>
      <c r="D924" s="14" t="s">
        <v>10052</v>
      </c>
      <c r="E924" s="14" t="s">
        <v>6985</v>
      </c>
      <c r="F924" s="14" t="s">
        <v>6986</v>
      </c>
      <c r="G924" s="14" t="s">
        <v>6927</v>
      </c>
    </row>
    <row r="925" spans="1:7" ht="75">
      <c r="A925" s="14" t="s">
        <v>6921</v>
      </c>
      <c r="B925" s="14" t="s">
        <v>10053</v>
      </c>
      <c r="C925" s="14" t="s">
        <v>10054</v>
      </c>
      <c r="D925" s="14" t="s">
        <v>10055</v>
      </c>
      <c r="E925" s="14" t="s">
        <v>6925</v>
      </c>
      <c r="F925" s="14" t="s">
        <v>9385</v>
      </c>
      <c r="G925" s="14" t="s">
        <v>6927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New in Version 4</vt:lpstr>
      <vt:lpstr>Updated in Version 4</vt:lpstr>
      <vt:lpstr>Removed from Version 4</vt:lpstr>
      <vt:lpstr>New Associations</vt:lpstr>
      <vt:lpstr>All - By Name</vt:lpstr>
      <vt:lpstr>All - By Domain Entity</vt:lpstr>
      <vt:lpstr>Extend Elements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htello</dc:creator>
  <cp:lastModifiedBy>Jill Parkes</cp:lastModifiedBy>
  <dcterms:created xsi:type="dcterms:W3CDTF">2014-01-23T19:12:06Z</dcterms:created>
  <dcterms:modified xsi:type="dcterms:W3CDTF">2014-02-26T18:57:20Z</dcterms:modified>
</cp:coreProperties>
</file>